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ight\Desktop\master\data\祖传数据\DataAnalysed_new\012王志钰\split\"/>
    </mc:Choice>
  </mc:AlternateContent>
  <xr:revisionPtr revIDLastSave="0" documentId="8_{77E45C64-4F3D-44F9-A304-2F7AB2044967}" xr6:coauthVersionLast="47" xr6:coauthVersionMax="47" xr10:uidLastSave="{00000000-0000-0000-0000-000000000000}"/>
  <bookViews>
    <workbookView xWindow="5640" yWindow="2480" windowWidth="25800" windowHeight="9890"/>
  </bookViews>
  <sheets>
    <sheet name="TestNight_on_with_headDir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B3361" i="1"/>
  <c r="A3362" i="1"/>
  <c r="B3362" i="1"/>
  <c r="A3363" i="1"/>
  <c r="B3363" i="1"/>
  <c r="A3364" i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A3391" i="1"/>
  <c r="B3391" i="1"/>
  <c r="A3392" i="1"/>
  <c r="B3392" i="1"/>
  <c r="A3393" i="1"/>
  <c r="B3393" i="1"/>
  <c r="A3394" i="1"/>
  <c r="B3394" i="1"/>
  <c r="A3395" i="1"/>
  <c r="B3395" i="1"/>
  <c r="A3396" i="1"/>
  <c r="B3396" i="1"/>
  <c r="A3397" i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B3409" i="1"/>
  <c r="A3410" i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B3417" i="1"/>
  <c r="A3418" i="1"/>
  <c r="B3418" i="1"/>
  <c r="A3419" i="1"/>
  <c r="B3419" i="1"/>
  <c r="A3420" i="1"/>
  <c r="B3420" i="1"/>
  <c r="A3421" i="1"/>
  <c r="B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A3433" i="1"/>
  <c r="B3433" i="1"/>
  <c r="A3434" i="1"/>
  <c r="B3434" i="1"/>
  <c r="A3435" i="1"/>
  <c r="B3435" i="1"/>
  <c r="A3436" i="1"/>
  <c r="B3436" i="1"/>
  <c r="A3437" i="1"/>
  <c r="B3437" i="1"/>
  <c r="A3438" i="1"/>
  <c r="B3438" i="1"/>
  <c r="A3439" i="1"/>
  <c r="B3439" i="1"/>
  <c r="A3440" i="1"/>
  <c r="B3440" i="1"/>
  <c r="A3441" i="1"/>
  <c r="B3441" i="1"/>
  <c r="A3442" i="1"/>
  <c r="B3442" i="1"/>
  <c r="A3443" i="1"/>
  <c r="B3443" i="1"/>
  <c r="A3444" i="1"/>
  <c r="B3444" i="1"/>
  <c r="A3445" i="1"/>
  <c r="B3445" i="1"/>
  <c r="A3446" i="1"/>
  <c r="B3446" i="1"/>
  <c r="A3447" i="1"/>
  <c r="B3447" i="1"/>
  <c r="A3448" i="1"/>
  <c r="B3448" i="1"/>
  <c r="A3449" i="1"/>
  <c r="B3449" i="1"/>
  <c r="A3450" i="1"/>
  <c r="B3450" i="1"/>
  <c r="A3451" i="1"/>
  <c r="B3451" i="1"/>
  <c r="A3452" i="1"/>
  <c r="B3452" i="1"/>
  <c r="A3453" i="1"/>
  <c r="B3453" i="1"/>
  <c r="A3454" i="1"/>
  <c r="B3454" i="1"/>
</calcChain>
</file>

<file path=xl/sharedStrings.xml><?xml version="1.0" encoding="utf-8"?>
<sst xmlns="http://schemas.openxmlformats.org/spreadsheetml/2006/main" count="6946" uniqueCount="113">
  <si>
    <t>SystemTime</t>
  </si>
  <si>
    <t>Timestamp</t>
  </si>
  <si>
    <t>NowSsceneName</t>
  </si>
  <si>
    <t>PupilRadiusH</t>
  </si>
  <si>
    <t>GazePointX</t>
  </si>
  <si>
    <t>Hitname</t>
  </si>
  <si>
    <t>HitPointX</t>
  </si>
  <si>
    <t>HitPointY</t>
  </si>
  <si>
    <t>HitPointZ</t>
  </si>
  <si>
    <t>CameraPosX</t>
  </si>
  <si>
    <t>CameraPosY</t>
  </si>
  <si>
    <t>CameraPosZ</t>
  </si>
  <si>
    <t>CarDirX</t>
  </si>
  <si>
    <t>CarDirY</t>
  </si>
  <si>
    <t>CarDirZ</t>
  </si>
  <si>
    <t>CameraDirX</t>
  </si>
  <si>
    <t>CameraDirY</t>
  </si>
  <si>
    <t>CameraDirZ</t>
  </si>
  <si>
    <t>EyeDirX</t>
  </si>
  <si>
    <t>EyeDirY</t>
  </si>
  <si>
    <t>EyeDirZ</t>
  </si>
  <si>
    <t>HeadLocalDirX</t>
  </si>
  <si>
    <t>HeadLocalDirY</t>
  </si>
  <si>
    <t>HeadLocalDirZ</t>
  </si>
  <si>
    <t>EyeLocalDirX</t>
  </si>
  <si>
    <t>EyeLocalDirY</t>
  </si>
  <si>
    <t>EyeLocalDirZ</t>
  </si>
  <si>
    <t>speed</t>
  </si>
  <si>
    <t>VecX</t>
  </si>
  <si>
    <t>VecY</t>
  </si>
  <si>
    <t>VecZ</t>
  </si>
  <si>
    <t>LocalVecX</t>
  </si>
  <si>
    <t>LocalVecY</t>
  </si>
  <si>
    <t>LocalVecZ</t>
  </si>
  <si>
    <t>Theta</t>
  </si>
  <si>
    <t>Phi</t>
  </si>
  <si>
    <t>r</t>
  </si>
  <si>
    <t>Theta_Head</t>
  </si>
  <si>
    <t>Phi_Head</t>
  </si>
  <si>
    <t>r_Head_value_is_1</t>
  </si>
  <si>
    <t>TestNight_on</t>
  </si>
  <si>
    <t>Kooper</t>
  </si>
  <si>
    <t>Building 07 (16)</t>
  </si>
  <si>
    <t>mcp_road_part_02</t>
  </si>
  <si>
    <t>Plane_01</t>
  </si>
  <si>
    <t>Box001</t>
  </si>
  <si>
    <t>mcp_bus_stop_night_LOD_0</t>
  </si>
  <si>
    <t>Building 18 (9)</t>
  </si>
  <si>
    <t>Building 15 (22)</t>
  </si>
  <si>
    <t>FAR</t>
  </si>
  <si>
    <t>mcp_roads_turn_01 (1)</t>
  </si>
  <si>
    <t>Building 07 (17)</t>
  </si>
  <si>
    <t>Building 15 (34)</t>
  </si>
  <si>
    <t>Building 15 (35)</t>
  </si>
  <si>
    <t>mcp_roads_T_cross_01</t>
  </si>
  <si>
    <t>mcp_road_part_01</t>
  </si>
  <si>
    <t>Building 07 (4)</t>
  </si>
  <si>
    <t>Building 15 (33)</t>
  </si>
  <si>
    <t>mcp_roads_cross_01</t>
  </si>
  <si>
    <t>Building 02 (8)</t>
  </si>
  <si>
    <t>Plane_01 (1)</t>
  </si>
  <si>
    <t>Building 15 (31)</t>
  </si>
  <si>
    <t>Building 03</t>
  </si>
  <si>
    <t>Tree 01 (6)</t>
  </si>
  <si>
    <t>Tree 01 (1)</t>
  </si>
  <si>
    <t>Floor 01</t>
  </si>
  <si>
    <t>Building 19</t>
  </si>
  <si>
    <t>Building 07 (11)</t>
  </si>
  <si>
    <t>Building 07 (15)</t>
  </si>
  <si>
    <t>Building 01</t>
  </si>
  <si>
    <t>Building 07 (18)</t>
  </si>
  <si>
    <t>Building 11 (3)</t>
  </si>
  <si>
    <t>Building 18 (5)</t>
  </si>
  <si>
    <t>Building 24</t>
  </si>
  <si>
    <t>Tree 02 (3)</t>
  </si>
  <si>
    <t>Building 24 (1)</t>
  </si>
  <si>
    <t>Building 18 (11)</t>
  </si>
  <si>
    <t>Stand 03 (4)</t>
  </si>
  <si>
    <t>Tree 02 (6)</t>
  </si>
  <si>
    <t>Building 18 (2)</t>
  </si>
  <si>
    <t>Building 15 (30)</t>
  </si>
  <si>
    <t>Building 15 (7)</t>
  </si>
  <si>
    <t>Building 01 (1)</t>
  </si>
  <si>
    <t>Building 15 (32)</t>
  </si>
  <si>
    <t>Canopi 01 (3)</t>
  </si>
  <si>
    <t>Building 09 (4)</t>
  </si>
  <si>
    <t>mcp_roads_cross_02</t>
  </si>
  <si>
    <t>Tree 02 (2)</t>
  </si>
  <si>
    <t>Building 13 (1)</t>
  </si>
  <si>
    <t>mcp_roads_turn_01</t>
  </si>
  <si>
    <t>Building 18 (7)</t>
  </si>
  <si>
    <t>Building 14 (16)</t>
  </si>
  <si>
    <t>mcp_road_part_02 (1)</t>
  </si>
  <si>
    <t>Building 04 (3)</t>
  </si>
  <si>
    <t>mcp_road_part_02 (2)</t>
  </si>
  <si>
    <t>mcp_road_part_02 (3)</t>
  </si>
  <si>
    <t>Shurbs (1)</t>
  </si>
  <si>
    <t>Tree 04 (5)</t>
  </si>
  <si>
    <t>Shurbs (2)</t>
  </si>
  <si>
    <t>Tree 04 (6)</t>
  </si>
  <si>
    <t>Tree 04 (7)</t>
  </si>
  <si>
    <t>Building 23 (4)</t>
  </si>
  <si>
    <t>Building 30 (4)</t>
  </si>
  <si>
    <t>Building 07 (14)</t>
  </si>
  <si>
    <t>mcp_road_part_02 (10)</t>
  </si>
  <si>
    <t>mcp_road_part_02 (8)</t>
  </si>
  <si>
    <t>mcp_road_part_02 (9)</t>
  </si>
  <si>
    <t>mcp_road_part_02 (6)</t>
  </si>
  <si>
    <t>mcp_road_part_02 (12)</t>
  </si>
  <si>
    <t>mcp_road_part_02 (11)</t>
  </si>
  <si>
    <t>Building 15 (24)</t>
  </si>
  <si>
    <t>Building 14 (9)</t>
  </si>
  <si>
    <t>Building 04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</si>
</sst>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54"/>
  <sheetViews>
    <sheetView tabSelected="1" workbookViewId="0"/>
  </sheetViews>
  <sheetFormatPr defaultRowHeight="14" x14ac:dyDescent="0.3"/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A2" t="str">
        <f>"20200111150719149"</f>
        <v>20200111150719149</v>
      </c>
      <c r="B2" t="str">
        <f>"1578726439141211"</f>
        <v>1578726439141211</v>
      </c>
      <c r="C2" t="s">
        <v>40</v>
      </c>
      <c r="D2">
        <v>5.3378949999999996</v>
      </c>
      <c r="E2">
        <v>0.5450488</v>
      </c>
      <c r="F2" t="s">
        <v>41</v>
      </c>
      <c r="G2">
        <v>-475.9271</v>
      </c>
      <c r="H2">
        <v>0.92263700000000004</v>
      </c>
      <c r="I2">
        <v>367.1628</v>
      </c>
      <c r="J2">
        <v>-476.5924</v>
      </c>
      <c r="K2">
        <v>1.109694</v>
      </c>
      <c r="L2">
        <v>367.22030000000001</v>
      </c>
      <c r="M2">
        <v>0.99996459999999998</v>
      </c>
      <c r="N2">
        <v>0</v>
      </c>
      <c r="O2" s="1">
        <v>-4.5555610000000002E-5</v>
      </c>
      <c r="P2">
        <v>0.99206190000000005</v>
      </c>
      <c r="Q2">
        <v>0.1210514</v>
      </c>
      <c r="R2">
        <v>3.4063830000000003E-2</v>
      </c>
      <c r="S2">
        <v>3.1384889999999999</v>
      </c>
      <c r="T2">
        <v>-0.87088049999999995</v>
      </c>
      <c r="U2">
        <v>-0.26437379999999999</v>
      </c>
      <c r="V2">
        <v>-3.410523E-2</v>
      </c>
      <c r="W2">
        <v>0.12941330000000001</v>
      </c>
      <c r="X2">
        <v>0.991004</v>
      </c>
      <c r="Y2">
        <v>8.0860870000000001E-2</v>
      </c>
      <c r="Z2">
        <v>-1.097998E-2</v>
      </c>
      <c r="AA2">
        <v>0.99666489999999996</v>
      </c>
      <c r="AB2">
        <v>1</v>
      </c>
      <c r="AC2">
        <v>0.665300000000002</v>
      </c>
      <c r="AD2">
        <v>-0.187056999999999</v>
      </c>
      <c r="AE2">
        <v>-5.7500000000004499E-2</v>
      </c>
      <c r="AF2">
        <v>5.3288371216878301E-2</v>
      </c>
      <c r="AG2">
        <v>-0.187056999999999</v>
      </c>
      <c r="AH2">
        <v>0.61689722844538097</v>
      </c>
      <c r="AI2">
        <v>106.809425819439</v>
      </c>
      <c r="AJ2">
        <v>85.062972562355398</v>
      </c>
      <c r="AK2">
        <v>0.64683240659350105</v>
      </c>
      <c r="AL2">
        <v>82.564309121282193</v>
      </c>
      <c r="AM2">
        <v>91.971046358951995</v>
      </c>
      <c r="AN2">
        <v>0.99999994847312002</v>
      </c>
    </row>
    <row r="3" spans="1:40" x14ac:dyDescent="0.3">
      <c r="A3" t="str">
        <f>"20200111150719173"</f>
        <v>20200111150719173</v>
      </c>
      <c r="B3" t="str">
        <f>"1578726439170491"</f>
        <v>1578726439170491</v>
      </c>
      <c r="C3" t="s">
        <v>40</v>
      </c>
      <c r="D3">
        <v>5.2999510000000001</v>
      </c>
      <c r="E3">
        <v>0.54532019999999903</v>
      </c>
      <c r="F3" t="s">
        <v>41</v>
      </c>
      <c r="G3">
        <v>-475.91789999999997</v>
      </c>
      <c r="H3">
        <v>0.92151899999999998</v>
      </c>
      <c r="I3">
        <v>367.16149999999999</v>
      </c>
      <c r="J3">
        <v>-476.58010000000002</v>
      </c>
      <c r="K3">
        <v>1.1095090000000001</v>
      </c>
      <c r="L3">
        <v>367.22030000000001</v>
      </c>
      <c r="M3">
        <v>0.99997360000000002</v>
      </c>
      <c r="N3">
        <v>0</v>
      </c>
      <c r="O3" s="1">
        <v>-3.3377760000000001E-5</v>
      </c>
      <c r="P3">
        <v>0.99199020000000004</v>
      </c>
      <c r="Q3">
        <v>0.1216272</v>
      </c>
      <c r="R3">
        <v>3.4093480000000002E-2</v>
      </c>
      <c r="S3">
        <v>3.140228</v>
      </c>
      <c r="T3">
        <v>-0.87622730000000004</v>
      </c>
      <c r="U3">
        <v>-0.27117920000000001</v>
      </c>
      <c r="V3">
        <v>-3.4123340000000002E-2</v>
      </c>
      <c r="W3">
        <v>0.1288501</v>
      </c>
      <c r="X3">
        <v>0.99107679999999998</v>
      </c>
      <c r="Y3">
        <v>8.286201E-2</v>
      </c>
      <c r="Z3">
        <v>-1.1314909999999999E-2</v>
      </c>
      <c r="AA3">
        <v>0.99649679999999996</v>
      </c>
      <c r="AB3">
        <v>1</v>
      </c>
      <c r="AC3">
        <v>0.66220000000004098</v>
      </c>
      <c r="AD3">
        <v>-0.18798999999999999</v>
      </c>
      <c r="AE3">
        <v>-5.8800000000019198E-2</v>
      </c>
      <c r="AF3">
        <v>5.4425923858779097E-2</v>
      </c>
      <c r="AG3">
        <v>-0.18798999999999999</v>
      </c>
      <c r="AH3">
        <v>0.61317188339061102</v>
      </c>
      <c r="AI3">
        <v>106.981911356338</v>
      </c>
      <c r="AJ3">
        <v>84.927646111993099</v>
      </c>
      <c r="AK3">
        <v>0.64364755873744395</v>
      </c>
      <c r="AL3">
        <v>82.5968508484045</v>
      </c>
      <c r="AM3">
        <v>91.971947418891503</v>
      </c>
      <c r="AN3">
        <v>0.99999998705050197</v>
      </c>
    </row>
    <row r="4" spans="1:40" x14ac:dyDescent="0.3">
      <c r="A4" t="str">
        <f>"20200111150719193"</f>
        <v>20200111150719193</v>
      </c>
      <c r="B4" t="str">
        <f>"1578726439190986"</f>
        <v>1578726439190986</v>
      </c>
      <c r="C4" t="s">
        <v>40</v>
      </c>
      <c r="D4">
        <v>5.2703540000000002</v>
      </c>
      <c r="E4">
        <v>0.54571999999999998</v>
      </c>
      <c r="F4" t="s">
        <v>41</v>
      </c>
      <c r="G4">
        <v>-475.9067</v>
      </c>
      <c r="H4">
        <v>0.92042860000000004</v>
      </c>
      <c r="I4">
        <v>367.16109999999998</v>
      </c>
      <c r="J4">
        <v>-476.56610000000001</v>
      </c>
      <c r="K4">
        <v>1.10937</v>
      </c>
      <c r="L4">
        <v>367.22030000000001</v>
      </c>
      <c r="M4">
        <v>0.9999806</v>
      </c>
      <c r="N4">
        <v>0</v>
      </c>
      <c r="O4" s="1">
        <v>-2.0041450000000001E-5</v>
      </c>
      <c r="P4">
        <v>0.9918593</v>
      </c>
      <c r="Q4">
        <v>0.1225521</v>
      </c>
      <c r="R4">
        <v>3.4584009999999998E-2</v>
      </c>
      <c r="S4">
        <v>3.141785</v>
      </c>
      <c r="T4">
        <v>-0.88222489999999998</v>
      </c>
      <c r="U4">
        <v>-0.27316279999999998</v>
      </c>
      <c r="V4">
        <v>-3.4601159999999999E-2</v>
      </c>
      <c r="W4">
        <v>0.1287362</v>
      </c>
      <c r="X4">
        <v>0.99107500000000004</v>
      </c>
      <c r="Y4">
        <v>8.3397319999999997E-2</v>
      </c>
      <c r="Z4">
        <v>-1.146105E-2</v>
      </c>
      <c r="AA4">
        <v>0.99645050000000002</v>
      </c>
      <c r="AB4">
        <v>1</v>
      </c>
      <c r="AC4">
        <v>0.65940000000000498</v>
      </c>
      <c r="AD4">
        <v>-0.18894139999999901</v>
      </c>
      <c r="AE4">
        <v>-5.9200000000032497E-2</v>
      </c>
      <c r="AF4">
        <v>5.4729300304204802E-2</v>
      </c>
      <c r="AG4">
        <v>-0.18894139999999901</v>
      </c>
      <c r="AH4">
        <v>0.609740264054907</v>
      </c>
      <c r="AI4">
        <v>107.15185714108</v>
      </c>
      <c r="AJ4">
        <v>84.870968125752398</v>
      </c>
      <c r="AK4">
        <v>0.64068505410653698</v>
      </c>
      <c r="AL4">
        <v>82.603431389430796</v>
      </c>
      <c r="AM4">
        <v>91.9995414398892</v>
      </c>
      <c r="AN4">
        <v>0.999999952544391</v>
      </c>
    </row>
    <row r="5" spans="1:40" x14ac:dyDescent="0.3">
      <c r="A5" t="str">
        <f>"20200111150719217"</f>
        <v>20200111150719217</v>
      </c>
      <c r="B5" t="str">
        <f>"1578726439210507"</f>
        <v>1578726439210507</v>
      </c>
      <c r="C5" t="s">
        <v>40</v>
      </c>
      <c r="D5">
        <v>5.2827769999999896</v>
      </c>
      <c r="E5">
        <v>0.54615800000000003</v>
      </c>
      <c r="F5" t="s">
        <v>41</v>
      </c>
      <c r="G5">
        <v>-475.89260000000002</v>
      </c>
      <c r="H5">
        <v>0.92078070000000001</v>
      </c>
      <c r="I5">
        <v>367.16070000000002</v>
      </c>
      <c r="J5">
        <v>-476.5478</v>
      </c>
      <c r="K5">
        <v>1.1092280000000001</v>
      </c>
      <c r="L5">
        <v>367.22030000000001</v>
      </c>
      <c r="M5">
        <v>0.99998710000000002</v>
      </c>
      <c r="N5">
        <v>0</v>
      </c>
      <c r="O5" s="1">
        <v>-2.6371480000000002E-6</v>
      </c>
      <c r="P5">
        <v>0.99174200000000001</v>
      </c>
      <c r="Q5">
        <v>0.1233451</v>
      </c>
      <c r="R5">
        <v>3.5124799999999998E-2</v>
      </c>
      <c r="S5">
        <v>3.1430359999999999</v>
      </c>
      <c r="T5">
        <v>-0.88018490000000005</v>
      </c>
      <c r="U5">
        <v>-0.27572629999999998</v>
      </c>
      <c r="V5">
        <v>-3.5124860000000001E-2</v>
      </c>
      <c r="W5">
        <v>0.12840989999999999</v>
      </c>
      <c r="X5">
        <v>0.9910989</v>
      </c>
      <c r="Y5">
        <v>8.4173899999999996E-2</v>
      </c>
      <c r="Z5">
        <v>-1.154204E-2</v>
      </c>
      <c r="AA5">
        <v>0.99638419999999905</v>
      </c>
      <c r="AB5">
        <v>1</v>
      </c>
      <c r="AC5">
        <v>0.65519999999997902</v>
      </c>
      <c r="AD5">
        <v>-0.18844730000000001</v>
      </c>
      <c r="AE5">
        <v>-5.9599999999989002E-2</v>
      </c>
      <c r="AF5">
        <v>5.5079280732548502E-2</v>
      </c>
      <c r="AG5">
        <v>-0.18844730000000001</v>
      </c>
      <c r="AH5">
        <v>0.60552012852750703</v>
      </c>
      <c r="AI5">
        <v>107.22009111948501</v>
      </c>
      <c r="AJ5">
        <v>84.8025683534173</v>
      </c>
      <c r="AK5">
        <v>0.63655379827259995</v>
      </c>
      <c r="AL5">
        <v>82.622283410646602</v>
      </c>
      <c r="AM5">
        <v>92.029731128044105</v>
      </c>
      <c r="AN5">
        <v>0.99999994389461799</v>
      </c>
    </row>
    <row r="6" spans="1:40" x14ac:dyDescent="0.3">
      <c r="A6" t="str">
        <f>"20200111150719239"</f>
        <v>20200111150719239</v>
      </c>
      <c r="B6" t="str">
        <f>"1578726439231004"</f>
        <v>1578726439231004</v>
      </c>
      <c r="C6" t="s">
        <v>40</v>
      </c>
      <c r="D6">
        <v>5.1616569999999999</v>
      </c>
      <c r="E6">
        <v>0.54666899999999996</v>
      </c>
      <c r="F6" t="s">
        <v>41</v>
      </c>
      <c r="G6">
        <v>-475.87560000000002</v>
      </c>
      <c r="H6">
        <v>0.92201880000000003</v>
      </c>
      <c r="I6">
        <v>367.16090000000003</v>
      </c>
      <c r="J6">
        <v>-476.5274</v>
      </c>
      <c r="K6">
        <v>1.109129</v>
      </c>
      <c r="L6">
        <v>367.22039999999998</v>
      </c>
      <c r="M6">
        <v>0.99999159999999998</v>
      </c>
      <c r="N6">
        <v>0</v>
      </c>
      <c r="O6" s="1">
        <v>1.6850210000000001E-5</v>
      </c>
      <c r="P6">
        <v>0.9915834</v>
      </c>
      <c r="Q6">
        <v>0.124725</v>
      </c>
      <c r="R6">
        <v>3.4731539999999998E-2</v>
      </c>
      <c r="S6">
        <v>3.143707</v>
      </c>
      <c r="T6">
        <v>-0.87560329999999997</v>
      </c>
      <c r="U6">
        <v>-0.27682499999999999</v>
      </c>
      <c r="V6">
        <v>-3.4712430000000002E-2</v>
      </c>
      <c r="W6">
        <v>0.1287943</v>
      </c>
      <c r="X6">
        <v>0.99106360000000004</v>
      </c>
      <c r="Y6">
        <v>8.4539980000000001E-2</v>
      </c>
      <c r="Z6">
        <v>-1.1536899999999999E-2</v>
      </c>
      <c r="AA6">
        <v>0.9963533</v>
      </c>
      <c r="AB6">
        <v>2</v>
      </c>
      <c r="AC6">
        <v>0.65179999999997995</v>
      </c>
      <c r="AD6">
        <v>-0.1871102</v>
      </c>
      <c r="AE6">
        <v>-5.9499999999957198E-2</v>
      </c>
      <c r="AF6">
        <v>5.5014821479861198E-2</v>
      </c>
      <c r="AG6">
        <v>-0.1871102</v>
      </c>
      <c r="AH6">
        <v>0.60255441331443604</v>
      </c>
      <c r="AI6">
        <v>107.18380684406701</v>
      </c>
      <c r="AJ6">
        <v>84.783206803293695</v>
      </c>
      <c r="AK6">
        <v>0.63333141287260097</v>
      </c>
      <c r="AL6">
        <v>82.600074851902406</v>
      </c>
      <c r="AM6">
        <v>92.005989352135003</v>
      </c>
      <c r="AN6">
        <v>0.99999999187697697</v>
      </c>
    </row>
    <row r="7" spans="1:40" x14ac:dyDescent="0.3">
      <c r="A7" t="str">
        <f>"20200111150719262"</f>
        <v>20200111150719262</v>
      </c>
      <c r="B7" t="str">
        <f>"1578726439251147"</f>
        <v>1578726439251147</v>
      </c>
      <c r="C7" t="s">
        <v>40</v>
      </c>
      <c r="D7">
        <v>5.0988199999999999</v>
      </c>
      <c r="E7">
        <v>0.54687989999999997</v>
      </c>
      <c r="F7" t="s">
        <v>41</v>
      </c>
      <c r="G7">
        <v>-475.85599999999999</v>
      </c>
      <c r="H7">
        <v>0.92436560000000001</v>
      </c>
      <c r="I7">
        <v>367.16050000000001</v>
      </c>
      <c r="J7">
        <v>-476.50229999999999</v>
      </c>
      <c r="K7">
        <v>1.1090629999999999</v>
      </c>
      <c r="L7">
        <v>367.22039999999998</v>
      </c>
      <c r="M7">
        <v>0.99999499999999997</v>
      </c>
      <c r="N7">
        <v>0</v>
      </c>
      <c r="O7" s="1">
        <v>3.9658469999999998E-5</v>
      </c>
      <c r="P7">
        <v>0.99136500000000005</v>
      </c>
      <c r="Q7">
        <v>0.12641079999999999</v>
      </c>
      <c r="R7">
        <v>3.4869780000000003E-2</v>
      </c>
      <c r="S7">
        <v>3.1440730000000001</v>
      </c>
      <c r="T7">
        <v>-0.86530949999999995</v>
      </c>
      <c r="U7">
        <v>-0.2785339</v>
      </c>
      <c r="V7">
        <v>-3.4828039999999998E-2</v>
      </c>
      <c r="W7">
        <v>0.12955319999999901</v>
      </c>
      <c r="X7">
        <v>0.99096059999999997</v>
      </c>
      <c r="Y7">
        <v>8.5141120000000001E-2</v>
      </c>
      <c r="Z7">
        <v>-1.149181E-2</v>
      </c>
      <c r="AA7">
        <v>0.99630260000000004</v>
      </c>
      <c r="AB7">
        <v>2</v>
      </c>
      <c r="AC7">
        <v>0.64629999999999599</v>
      </c>
      <c r="AD7">
        <v>-0.18469739999999901</v>
      </c>
      <c r="AE7">
        <v>-5.9899999999970498E-2</v>
      </c>
      <c r="AF7">
        <v>5.5436766292313401E-2</v>
      </c>
      <c r="AG7">
        <v>-0.18469739999999901</v>
      </c>
      <c r="AH7">
        <v>0.59788523752289402</v>
      </c>
      <c r="AI7">
        <v>107.09781319240101</v>
      </c>
      <c r="AJ7">
        <v>84.702600542198098</v>
      </c>
      <c r="AK7">
        <v>0.62821423246494201</v>
      </c>
      <c r="AL7">
        <v>82.556225530796297</v>
      </c>
      <c r="AM7">
        <v>92.012873852112406</v>
      </c>
      <c r="AN7">
        <v>0.99999996737642005</v>
      </c>
    </row>
    <row r="8" spans="1:40" x14ac:dyDescent="0.3">
      <c r="A8" t="str">
        <f>"20200111150719283"</f>
        <v>20200111150719283</v>
      </c>
      <c r="B8" t="str">
        <f>"1578726439280425"</f>
        <v>1578726439280425</v>
      </c>
      <c r="C8" t="s">
        <v>40</v>
      </c>
      <c r="D8">
        <v>5.0676199999999998</v>
      </c>
      <c r="E8">
        <v>0.51752029999999904</v>
      </c>
      <c r="F8" t="s">
        <v>41</v>
      </c>
      <c r="G8">
        <v>-475.81310000000002</v>
      </c>
      <c r="H8">
        <v>0.92211520000000002</v>
      </c>
      <c r="I8">
        <v>367.15839999999997</v>
      </c>
      <c r="J8">
        <v>-476.47829999999999</v>
      </c>
      <c r="K8">
        <v>1.1090260000000001</v>
      </c>
      <c r="L8">
        <v>367.22039999999998</v>
      </c>
      <c r="M8">
        <v>0.99999700000000002</v>
      </c>
      <c r="N8">
        <v>0</v>
      </c>
      <c r="O8" s="1">
        <v>6.0677590000000003E-5</v>
      </c>
      <c r="P8">
        <v>0.99116499999999996</v>
      </c>
      <c r="Q8">
        <v>0.12806899999999999</v>
      </c>
      <c r="R8">
        <v>3.4500610000000001E-2</v>
      </c>
      <c r="S8">
        <v>3.144806</v>
      </c>
      <c r="T8">
        <v>-0.85315429999999903</v>
      </c>
      <c r="U8">
        <v>-0.28054810000000002</v>
      </c>
      <c r="V8">
        <v>-3.4438070000000001E-2</v>
      </c>
      <c r="W8">
        <v>0.13051869999999999</v>
      </c>
      <c r="X8">
        <v>0.99084760000000005</v>
      </c>
      <c r="Y8">
        <v>8.5836789999999996E-2</v>
      </c>
      <c r="Z8">
        <v>-1.143129E-2</v>
      </c>
      <c r="AA8">
        <v>0.99624369999999995</v>
      </c>
      <c r="AB8">
        <v>2</v>
      </c>
      <c r="AC8">
        <v>0.66519999999997004</v>
      </c>
      <c r="AD8">
        <v>-0.18691079999999999</v>
      </c>
      <c r="AE8">
        <v>-6.2000000000011803E-2</v>
      </c>
      <c r="AF8">
        <v>5.7536825998405101E-2</v>
      </c>
      <c r="AG8">
        <v>-0.18691079999999999</v>
      </c>
      <c r="AH8">
        <v>0.61690935447021999</v>
      </c>
      <c r="AI8">
        <v>106.78699491917899</v>
      </c>
      <c r="AJ8">
        <v>84.671651180391706</v>
      </c>
      <c r="AK8">
        <v>0.64716557783574502</v>
      </c>
      <c r="AL8">
        <v>82.500433271244802</v>
      </c>
      <c r="AM8">
        <v>91.990580713264904</v>
      </c>
      <c r="AN8">
        <v>1.00000003907038</v>
      </c>
    </row>
    <row r="9" spans="1:40" x14ac:dyDescent="0.3">
      <c r="A9" t="str">
        <f>"20200111150719307"</f>
        <v>20200111150719307</v>
      </c>
      <c r="B9" t="str">
        <f>"1578726439300922"</f>
        <v>1578726439300922</v>
      </c>
      <c r="C9" t="s">
        <v>40</v>
      </c>
      <c r="D9">
        <v>5.6905530000000004</v>
      </c>
      <c r="E9">
        <v>0.51851380000000002</v>
      </c>
      <c r="F9" t="s">
        <v>41</v>
      </c>
      <c r="G9">
        <v>-475.77140000000003</v>
      </c>
      <c r="H9">
        <v>0.95417019999999997</v>
      </c>
      <c r="I9">
        <v>367.20960000000002</v>
      </c>
      <c r="J9">
        <v>-476.44729999999998</v>
      </c>
      <c r="K9">
        <v>1.108989</v>
      </c>
      <c r="L9">
        <v>367.22050000000002</v>
      </c>
      <c r="M9">
        <v>0.99999850000000001</v>
      </c>
      <c r="N9">
        <v>0</v>
      </c>
      <c r="O9" s="1">
        <v>8.8083750000000002E-5</v>
      </c>
      <c r="P9">
        <v>0.99110860000000001</v>
      </c>
      <c r="Q9">
        <v>0.1286648</v>
      </c>
      <c r="R9">
        <v>3.3898339999999999E-2</v>
      </c>
      <c r="S9">
        <v>3.1165470000000002</v>
      </c>
      <c r="T9">
        <v>-0.68271130000000002</v>
      </c>
      <c r="U9">
        <v>-4.669189E-2</v>
      </c>
      <c r="V9">
        <v>-3.380876E-2</v>
      </c>
      <c r="W9">
        <v>0.1304052</v>
      </c>
      <c r="X9">
        <v>0.99088419999999999</v>
      </c>
      <c r="Y9">
        <v>1.4717330000000001E-2</v>
      </c>
      <c r="Z9">
        <v>-1.6120850000000001E-3</v>
      </c>
      <c r="AA9">
        <v>0.99989039999999996</v>
      </c>
      <c r="AB9">
        <v>3</v>
      </c>
      <c r="AC9">
        <v>0.67589999999995598</v>
      </c>
      <c r="AD9">
        <v>-0.15481880000000001</v>
      </c>
      <c r="AE9">
        <v>-1.08999999999923E-2</v>
      </c>
      <c r="AF9">
        <v>1.0413326593320799E-2</v>
      </c>
      <c r="AG9">
        <v>-0.15481880000000001</v>
      </c>
      <c r="AH9">
        <v>0.64221309308003105</v>
      </c>
      <c r="AI9">
        <v>103.55201232335</v>
      </c>
      <c r="AJ9">
        <v>89.071044502175695</v>
      </c>
      <c r="AK9">
        <v>0.66069278422546696</v>
      </c>
      <c r="AL9">
        <v>82.506992280599306</v>
      </c>
      <c r="AM9">
        <v>91.954161833804093</v>
      </c>
      <c r="AN9">
        <v>1.0000000231246999</v>
      </c>
    </row>
    <row r="10" spans="1:40" x14ac:dyDescent="0.3">
      <c r="A10" t="str">
        <f>"20200111150719328"</f>
        <v>20200111150719328</v>
      </c>
      <c r="B10" t="str">
        <f>"1578726439321418"</f>
        <v>1578726439321418</v>
      </c>
      <c r="C10" t="s">
        <v>40</v>
      </c>
      <c r="D10">
        <v>4.8872229999999997</v>
      </c>
      <c r="E10">
        <v>0.52031609999999995</v>
      </c>
      <c r="F10" t="s">
        <v>41</v>
      </c>
      <c r="G10">
        <v>-475.7441</v>
      </c>
      <c r="H10">
        <v>0.95394710000000005</v>
      </c>
      <c r="I10">
        <v>367.2072</v>
      </c>
      <c r="J10">
        <v>-476.41640000000001</v>
      </c>
      <c r="K10">
        <v>1.1089549999999999</v>
      </c>
      <c r="L10">
        <v>367.22050000000002</v>
      </c>
      <c r="M10">
        <v>0.99999930000000004</v>
      </c>
      <c r="N10">
        <v>0</v>
      </c>
      <c r="O10">
        <v>1.143237E-4</v>
      </c>
      <c r="P10">
        <v>0.99109139999999996</v>
      </c>
      <c r="Q10">
        <v>0.1288097</v>
      </c>
      <c r="R10">
        <v>3.3856379999999998E-2</v>
      </c>
      <c r="S10">
        <v>3.1180729999999999</v>
      </c>
      <c r="T10">
        <v>-0.6876177</v>
      </c>
      <c r="U10">
        <v>-5.6335450000000002E-2</v>
      </c>
      <c r="V10">
        <v>-3.3741229999999997E-2</v>
      </c>
      <c r="W10">
        <v>0.12997449999999999</v>
      </c>
      <c r="X10">
        <v>0.99094309999999997</v>
      </c>
      <c r="Y10">
        <v>1.7749669999999999E-2</v>
      </c>
      <c r="Z10">
        <v>-1.958661E-3</v>
      </c>
      <c r="AA10">
        <v>0.99984059999999997</v>
      </c>
      <c r="AB10">
        <v>3</v>
      </c>
      <c r="AC10">
        <v>0.672300000000007</v>
      </c>
      <c r="AD10">
        <v>-0.155007899999999</v>
      </c>
      <c r="AE10">
        <v>-1.33000000000151E-2</v>
      </c>
      <c r="AF10">
        <v>1.2701896607860801E-2</v>
      </c>
      <c r="AG10">
        <v>-0.155007899999999</v>
      </c>
      <c r="AH10">
        <v>0.63837596076081105</v>
      </c>
      <c r="AI10">
        <v>103.645593458183</v>
      </c>
      <c r="AJ10">
        <v>88.860124605942005</v>
      </c>
      <c r="AK10">
        <v>0.657048441530102</v>
      </c>
      <c r="AL10">
        <v>82.531881485958706</v>
      </c>
      <c r="AM10">
        <v>91.950145755300497</v>
      </c>
      <c r="AN10">
        <v>1.0000000343448801</v>
      </c>
    </row>
    <row r="11" spans="1:40" x14ac:dyDescent="0.3">
      <c r="A11" t="str">
        <f>"20200111150719351"</f>
        <v>20200111150719351</v>
      </c>
      <c r="B11" t="str">
        <f>"1578726439340579"</f>
        <v>1578726439340579</v>
      </c>
      <c r="C11" t="s">
        <v>40</v>
      </c>
      <c r="D11">
        <v>4.8517650000000003</v>
      </c>
      <c r="E11">
        <v>0.52078869999999999</v>
      </c>
      <c r="F11" t="s">
        <v>41</v>
      </c>
      <c r="G11">
        <v>-475.7149</v>
      </c>
      <c r="H11">
        <v>0.95319969999999998</v>
      </c>
      <c r="I11">
        <v>367.20440000000002</v>
      </c>
      <c r="J11">
        <v>-476.38130000000001</v>
      </c>
      <c r="K11">
        <v>1.1089249999999999</v>
      </c>
      <c r="L11">
        <v>367.22050000000002</v>
      </c>
      <c r="M11">
        <v>0.99999979999999999</v>
      </c>
      <c r="N11">
        <v>0</v>
      </c>
      <c r="O11">
        <v>1.435427E-4</v>
      </c>
      <c r="P11">
        <v>0.99111899999999997</v>
      </c>
      <c r="Q11">
        <v>0.12851940000000001</v>
      </c>
      <c r="R11">
        <v>3.4152910000000002E-2</v>
      </c>
      <c r="S11">
        <v>3.1193849999999999</v>
      </c>
      <c r="T11">
        <v>-0.69268039999999997</v>
      </c>
      <c r="U11">
        <v>-7.0220950000000004E-2</v>
      </c>
      <c r="V11">
        <v>-3.4008620000000003E-2</v>
      </c>
      <c r="W11">
        <v>0.12914329999999999</v>
      </c>
      <c r="X11">
        <v>0.9910426</v>
      </c>
      <c r="Y11">
        <v>2.210724E-2</v>
      </c>
      <c r="Z11">
        <v>-2.4561880000000002E-3</v>
      </c>
      <c r="AA11">
        <v>0.99975259999999999</v>
      </c>
      <c r="AB11">
        <v>3</v>
      </c>
      <c r="AC11">
        <v>0.66640000000000998</v>
      </c>
      <c r="AD11">
        <v>-0.15572529999999901</v>
      </c>
      <c r="AE11">
        <v>-1.60999999999944E-2</v>
      </c>
      <c r="AF11">
        <v>1.5357517832609E-2</v>
      </c>
      <c r="AG11">
        <v>-0.15572529999999901</v>
      </c>
      <c r="AH11">
        <v>0.63191104079376803</v>
      </c>
      <c r="AI11">
        <v>103.839934987864</v>
      </c>
      <c r="AJ11">
        <v>88.607798062660507</v>
      </c>
      <c r="AK11">
        <v>0.65099753140171901</v>
      </c>
      <c r="AL11">
        <v>82.579910332540507</v>
      </c>
      <c r="AM11">
        <v>91.965390861943604</v>
      </c>
      <c r="AN11">
        <v>1.0000000065919701</v>
      </c>
    </row>
    <row r="12" spans="1:40" x14ac:dyDescent="0.3">
      <c r="A12" t="str">
        <f>"20200111150719372"</f>
        <v>20200111150719372</v>
      </c>
      <c r="B12" t="str">
        <f>"1578726439370835"</f>
        <v>1578726439370835</v>
      </c>
      <c r="C12" t="s">
        <v>40</v>
      </c>
      <c r="D12">
        <v>4.8973990000000001</v>
      </c>
      <c r="E12">
        <v>0.52471389999999996</v>
      </c>
      <c r="F12" t="s">
        <v>41</v>
      </c>
      <c r="G12">
        <v>-475.68259999999998</v>
      </c>
      <c r="H12">
        <v>0.95392350000000004</v>
      </c>
      <c r="I12">
        <v>367.20370000000003</v>
      </c>
      <c r="J12">
        <v>-476.34539999999998</v>
      </c>
      <c r="K12">
        <v>1.108897</v>
      </c>
      <c r="L12">
        <v>367.22059999999999</v>
      </c>
      <c r="M12">
        <v>1</v>
      </c>
      <c r="N12">
        <v>0</v>
      </c>
      <c r="O12">
        <v>1.7230840000000001E-4</v>
      </c>
      <c r="P12">
        <v>0.99116559999999998</v>
      </c>
      <c r="Q12">
        <v>0.12829869999999999</v>
      </c>
      <c r="R12">
        <v>3.3620339999999999E-2</v>
      </c>
      <c r="S12">
        <v>3.1191409999999999</v>
      </c>
      <c r="T12">
        <v>-0.69220360000000003</v>
      </c>
      <c r="U12">
        <v>-7.2418209999999997E-2</v>
      </c>
      <c r="V12">
        <v>-3.3447329999999997E-2</v>
      </c>
      <c r="W12">
        <v>0.1284661</v>
      </c>
      <c r="X12">
        <v>0.99114970000000002</v>
      </c>
      <c r="Y12">
        <v>2.2824190000000001E-2</v>
      </c>
      <c r="Z12">
        <v>-2.5395999999999999E-3</v>
      </c>
      <c r="AA12">
        <v>0.99973619999999996</v>
      </c>
      <c r="AB12">
        <v>3</v>
      </c>
      <c r="AC12">
        <v>0.66280000000000405</v>
      </c>
      <c r="AD12">
        <v>-0.15497349999999999</v>
      </c>
      <c r="AE12">
        <v>-1.68999999999641E-2</v>
      </c>
      <c r="AF12">
        <v>1.6132797132585999E-2</v>
      </c>
      <c r="AG12">
        <v>-0.15497349999999999</v>
      </c>
      <c r="AH12">
        <v>0.62846135493342503</v>
      </c>
      <c r="AI12">
        <v>103.84792884526099</v>
      </c>
      <c r="AJ12">
        <v>88.529522580295307</v>
      </c>
      <c r="AK12">
        <v>0.64748801339509499</v>
      </c>
      <c r="AL12">
        <v>82.619036876532405</v>
      </c>
      <c r="AM12">
        <v>91.932769474464607</v>
      </c>
      <c r="AN12">
        <v>0.99999999527171402</v>
      </c>
    </row>
    <row r="13" spans="1:40" x14ac:dyDescent="0.3">
      <c r="A13" t="str">
        <f>"20200111150719395"</f>
        <v>20200111150719395</v>
      </c>
      <c r="B13" t="str">
        <f>"1578726439391331"</f>
        <v>1578726439391331</v>
      </c>
      <c r="C13" t="s">
        <v>40</v>
      </c>
      <c r="D13">
        <v>4.8922689999999998</v>
      </c>
      <c r="E13">
        <v>0.52426589999999995</v>
      </c>
      <c r="F13" t="s">
        <v>41</v>
      </c>
      <c r="G13">
        <v>-475.66149999999999</v>
      </c>
      <c r="H13">
        <v>0.92523049999999996</v>
      </c>
      <c r="I13">
        <v>367.19729999999998</v>
      </c>
      <c r="J13">
        <v>-476.30500000000001</v>
      </c>
      <c r="K13">
        <v>1.1088659999999999</v>
      </c>
      <c r="L13">
        <v>367.22059999999999</v>
      </c>
      <c r="M13">
        <v>1</v>
      </c>
      <c r="N13">
        <v>0</v>
      </c>
      <c r="O13">
        <v>2.0502540000000001E-4</v>
      </c>
      <c r="P13">
        <v>0.99118680000000003</v>
      </c>
      <c r="Q13">
        <v>0.12825029999999901</v>
      </c>
      <c r="R13">
        <v>3.3177360000000003E-2</v>
      </c>
      <c r="S13">
        <v>3.1394350000000002</v>
      </c>
      <c r="T13">
        <v>-0.8430434</v>
      </c>
      <c r="U13">
        <v>-0.1060791</v>
      </c>
      <c r="V13">
        <v>-3.2971550000000002E-2</v>
      </c>
      <c r="W13">
        <v>0.12799369999999999</v>
      </c>
      <c r="X13">
        <v>0.99122670000000002</v>
      </c>
      <c r="Y13">
        <v>3.2806660000000001E-2</v>
      </c>
      <c r="Z13">
        <v>-4.3810869999999997E-3</v>
      </c>
      <c r="AA13">
        <v>0.99945209999999995</v>
      </c>
      <c r="AB13">
        <v>4</v>
      </c>
      <c r="AC13">
        <v>0.64350000000001695</v>
      </c>
      <c r="AD13">
        <v>-0.18363549999999901</v>
      </c>
      <c r="AE13">
        <v>-2.3300000000006E-2</v>
      </c>
      <c r="AF13">
        <v>2.16695624253661E-2</v>
      </c>
      <c r="AG13">
        <v>-0.18363549999999901</v>
      </c>
      <c r="AH13">
        <v>0.59509641822693304</v>
      </c>
      <c r="AI13">
        <v>107.138544015454</v>
      </c>
      <c r="AJ13">
        <v>87.914579695434497</v>
      </c>
      <c r="AK13">
        <v>0.62316234945837501</v>
      </c>
      <c r="AL13">
        <v>82.646328307277301</v>
      </c>
      <c r="AM13">
        <v>91.905148818922697</v>
      </c>
      <c r="AN13">
        <v>0.99999994057098895</v>
      </c>
    </row>
    <row r="14" spans="1:40" x14ac:dyDescent="0.3">
      <c r="A14" t="str">
        <f>"20200111150719421"</f>
        <v>20200111150719421</v>
      </c>
      <c r="B14" t="str">
        <f>"1578726439410852"</f>
        <v>1578726439410852</v>
      </c>
      <c r="C14" t="s">
        <v>40</v>
      </c>
      <c r="D14">
        <v>4.8396309999999998</v>
      </c>
      <c r="E14">
        <v>0.5247347</v>
      </c>
      <c r="F14" t="s">
        <v>41</v>
      </c>
      <c r="G14">
        <v>-475.62529999999998</v>
      </c>
      <c r="H14">
        <v>0.92452909999999999</v>
      </c>
      <c r="I14">
        <v>367.1977</v>
      </c>
      <c r="J14">
        <v>-476.25749999999999</v>
      </c>
      <c r="K14">
        <v>1.1088370000000001</v>
      </c>
      <c r="L14">
        <v>367.22059999999999</v>
      </c>
      <c r="M14">
        <v>0.99999979999999999</v>
      </c>
      <c r="N14">
        <v>0</v>
      </c>
      <c r="O14">
        <v>2.4218690000000001E-4</v>
      </c>
      <c r="P14">
        <v>0.99123159999999999</v>
      </c>
      <c r="Q14">
        <v>0.12789210000000001</v>
      </c>
      <c r="R14">
        <v>3.3218940000000002E-2</v>
      </c>
      <c r="S14">
        <v>3.1403810000000001</v>
      </c>
      <c r="T14">
        <v>-0.85185889999999997</v>
      </c>
      <c r="U14">
        <v>-0.1036987</v>
      </c>
      <c r="V14">
        <v>-3.2976699999999998E-2</v>
      </c>
      <c r="W14">
        <v>0.1272295</v>
      </c>
      <c r="X14">
        <v>0.99132500000000001</v>
      </c>
      <c r="Y14">
        <v>3.2078379999999997E-2</v>
      </c>
      <c r="Z14">
        <v>-4.3369760000000002E-3</v>
      </c>
      <c r="AA14">
        <v>0.99947600000000003</v>
      </c>
      <c r="AB14">
        <v>4</v>
      </c>
      <c r="AC14">
        <v>0.63220000000001098</v>
      </c>
      <c r="AD14">
        <v>-0.1843079</v>
      </c>
      <c r="AE14">
        <v>-2.2899999999992801E-2</v>
      </c>
      <c r="AF14">
        <v>2.1249440423722801E-2</v>
      </c>
      <c r="AG14">
        <v>-0.1843079</v>
      </c>
      <c r="AH14">
        <v>0.58273170264871099</v>
      </c>
      <c r="AI14">
        <v>107.540314486318</v>
      </c>
      <c r="AJ14">
        <v>87.9116220468932</v>
      </c>
      <c r="AK14">
        <v>0.61155308681470799</v>
      </c>
      <c r="AL14">
        <v>82.690475348946194</v>
      </c>
      <c r="AM14">
        <v>91.905257369614205</v>
      </c>
      <c r="AN14">
        <v>1.0000000320190601</v>
      </c>
    </row>
    <row r="15" spans="1:40" x14ac:dyDescent="0.3">
      <c r="A15" t="str">
        <f>"20200111150719441"</f>
        <v>20200111150719441</v>
      </c>
      <c r="B15" t="str">
        <f>"1578726439431349"</f>
        <v>1578726439431349</v>
      </c>
      <c r="C15" t="s">
        <v>40</v>
      </c>
      <c r="D15">
        <v>4.9981</v>
      </c>
      <c r="E15">
        <v>0.52523750000000002</v>
      </c>
      <c r="F15" t="s">
        <v>41</v>
      </c>
      <c r="G15">
        <v>-475.54919999999998</v>
      </c>
      <c r="H15">
        <v>0.91666599999999998</v>
      </c>
      <c r="I15">
        <v>367.19560000000001</v>
      </c>
      <c r="J15">
        <v>-476.21339999999998</v>
      </c>
      <c r="K15">
        <v>1.1088100000000001</v>
      </c>
      <c r="L15">
        <v>367.22070000000002</v>
      </c>
      <c r="M15">
        <v>0.99999950000000004</v>
      </c>
      <c r="N15">
        <v>0</v>
      </c>
      <c r="O15">
        <v>2.7591859999999998E-4</v>
      </c>
      <c r="P15">
        <v>0.99129149999999999</v>
      </c>
      <c r="Q15">
        <v>0.12750790000000001</v>
      </c>
      <c r="R15">
        <v>3.2905259999999999E-2</v>
      </c>
      <c r="S15">
        <v>3.1401059999999998</v>
      </c>
      <c r="T15">
        <v>-0.8521261</v>
      </c>
      <c r="U15">
        <v>-0.1079712</v>
      </c>
      <c r="V15">
        <v>-3.2629329999999998E-2</v>
      </c>
      <c r="W15">
        <v>0.12653980000000001</v>
      </c>
      <c r="X15">
        <v>0.99142470000000005</v>
      </c>
      <c r="Y15">
        <v>3.3422670000000002E-2</v>
      </c>
      <c r="Z15">
        <v>-4.5266600000000001E-3</v>
      </c>
      <c r="AA15">
        <v>0.99943110000000002</v>
      </c>
      <c r="AB15">
        <v>4</v>
      </c>
      <c r="AC15">
        <v>0.66419999999999302</v>
      </c>
      <c r="AD15">
        <v>-0.19214400000000001</v>
      </c>
      <c r="AE15">
        <v>-2.5100000000009001E-2</v>
      </c>
      <c r="AF15">
        <v>2.3333359401492101E-2</v>
      </c>
      <c r="AG15">
        <v>-0.19214400000000001</v>
      </c>
      <c r="AH15">
        <v>0.61296891756258598</v>
      </c>
      <c r="AI15">
        <v>107.392520321616</v>
      </c>
      <c r="AJ15">
        <v>87.820023495143204</v>
      </c>
      <c r="AK15">
        <v>0.64280219064250799</v>
      </c>
      <c r="AL15">
        <v>82.730313756247895</v>
      </c>
      <c r="AM15">
        <v>91.885012882611505</v>
      </c>
      <c r="AN15">
        <v>0.99999996496518795</v>
      </c>
    </row>
    <row r="16" spans="1:40" x14ac:dyDescent="0.3">
      <c r="A16" t="str">
        <f>"20200111150719463"</f>
        <v>20200111150719463</v>
      </c>
      <c r="B16" t="str">
        <f>"1578726439461020"</f>
        <v>1578726439461020</v>
      </c>
      <c r="C16" t="s">
        <v>40</v>
      </c>
      <c r="D16">
        <v>4.953144</v>
      </c>
      <c r="E16">
        <v>0.52585009999999999</v>
      </c>
      <c r="F16" t="s">
        <v>41</v>
      </c>
      <c r="G16">
        <v>-475.50599999999997</v>
      </c>
      <c r="H16">
        <v>0.91709300000000005</v>
      </c>
      <c r="I16">
        <v>367.19510000000002</v>
      </c>
      <c r="J16">
        <v>-476.16430000000003</v>
      </c>
      <c r="K16">
        <v>1.108781</v>
      </c>
      <c r="L16">
        <v>367.22070000000002</v>
      </c>
      <c r="M16">
        <v>0.99999919999999998</v>
      </c>
      <c r="N16">
        <v>0</v>
      </c>
      <c r="O16">
        <v>3.1253599999999998E-4</v>
      </c>
      <c r="P16">
        <v>0.99133760000000004</v>
      </c>
      <c r="Q16">
        <v>0.127156399999999</v>
      </c>
      <c r="R16">
        <v>3.2881130000000001E-2</v>
      </c>
      <c r="S16">
        <v>3.1395569999999999</v>
      </c>
      <c r="T16">
        <v>-0.85085540000000004</v>
      </c>
      <c r="U16">
        <v>-0.112915</v>
      </c>
      <c r="V16">
        <v>-3.256912E-2</v>
      </c>
      <c r="W16">
        <v>0.12590319999999999</v>
      </c>
      <c r="X16">
        <v>0.99150780000000005</v>
      </c>
      <c r="Y16">
        <v>3.498279E-2</v>
      </c>
      <c r="Z16">
        <v>-4.7381280000000003E-3</v>
      </c>
      <c r="AA16">
        <v>0.99937670000000001</v>
      </c>
      <c r="AB16">
        <v>5</v>
      </c>
      <c r="AC16">
        <v>0.65830000000005295</v>
      </c>
      <c r="AD16">
        <v>-0.191688</v>
      </c>
      <c r="AE16">
        <v>-2.5599999999997101E-2</v>
      </c>
      <c r="AF16">
        <v>2.3791516335841E-2</v>
      </c>
      <c r="AG16">
        <v>-0.191688</v>
      </c>
      <c r="AH16">
        <v>0.60691006200878905</v>
      </c>
      <c r="AI16">
        <v>107.515702084634</v>
      </c>
      <c r="AJ16">
        <v>87.755094305400505</v>
      </c>
      <c r="AK16">
        <v>0.63690670349830003</v>
      </c>
      <c r="AL16">
        <v>82.767082871946201</v>
      </c>
      <c r="AM16">
        <v>91.881379441397797</v>
      </c>
      <c r="AN16">
        <v>1.0000000404043199</v>
      </c>
    </row>
    <row r="17" spans="1:40" x14ac:dyDescent="0.3">
      <c r="A17" t="str">
        <f>"20200111150719485"</f>
        <v>20200111150719485</v>
      </c>
      <c r="B17" t="str">
        <f>"1578726439480541"</f>
        <v>1578726439480541</v>
      </c>
      <c r="C17" t="s">
        <v>40</v>
      </c>
      <c r="D17">
        <v>4.8920120000000002</v>
      </c>
      <c r="E17">
        <v>0.52614949999999905</v>
      </c>
      <c r="F17" t="s">
        <v>41</v>
      </c>
      <c r="G17">
        <v>-475.46039999999999</v>
      </c>
      <c r="H17">
        <v>0.91765649999999999</v>
      </c>
      <c r="I17">
        <v>367.19389999999999</v>
      </c>
      <c r="J17">
        <v>-476.11689999999999</v>
      </c>
      <c r="K17">
        <v>1.1087530000000001</v>
      </c>
      <c r="L17">
        <v>367.2208</v>
      </c>
      <c r="M17">
        <v>0.99999879999999997</v>
      </c>
      <c r="N17">
        <v>0</v>
      </c>
      <c r="O17">
        <v>3.4724339999999998E-4</v>
      </c>
      <c r="P17">
        <v>0.99140760000000006</v>
      </c>
      <c r="Q17">
        <v>0.12653030000000001</v>
      </c>
      <c r="R17">
        <v>3.3180920000000003E-2</v>
      </c>
      <c r="S17">
        <v>3.1394959999999998</v>
      </c>
      <c r="T17">
        <v>-0.85239699999999996</v>
      </c>
      <c r="U17">
        <v>-0.1177979</v>
      </c>
      <c r="V17">
        <v>-3.2834170000000003E-2</v>
      </c>
      <c r="W17">
        <v>0.12504219999999999</v>
      </c>
      <c r="X17">
        <v>0.99160800000000004</v>
      </c>
      <c r="Y17">
        <v>3.6509399999999997E-2</v>
      </c>
      <c r="Z17">
        <v>-4.9591180000000002E-3</v>
      </c>
      <c r="AA17">
        <v>0.99932100000000001</v>
      </c>
      <c r="AB17">
        <v>5</v>
      </c>
      <c r="AC17">
        <v>0.65649999999999398</v>
      </c>
      <c r="AD17">
        <v>-0.1910965</v>
      </c>
      <c r="AE17">
        <v>-2.6900000000011901E-2</v>
      </c>
      <c r="AF17">
        <v>2.5012235278989301E-2</v>
      </c>
      <c r="AG17">
        <v>-0.1910965</v>
      </c>
      <c r="AH17">
        <v>0.60529046253585905</v>
      </c>
      <c r="AI17">
        <v>107.50742177046</v>
      </c>
      <c r="AJ17">
        <v>87.633730019586096</v>
      </c>
      <c r="AK17">
        <v>0.63523226324138804</v>
      </c>
      <c r="AL17">
        <v>82.816807433353205</v>
      </c>
      <c r="AM17">
        <v>91.896487598321102</v>
      </c>
      <c r="AN17">
        <v>1.0000000300822101</v>
      </c>
    </row>
    <row r="18" spans="1:40" x14ac:dyDescent="0.3">
      <c r="A18" t="str">
        <f>"20200111150719508"</f>
        <v>20200111150719508</v>
      </c>
      <c r="B18" t="str">
        <f>"1578726439501037"</f>
        <v>1578726439501037</v>
      </c>
      <c r="C18" t="s">
        <v>40</v>
      </c>
      <c r="D18">
        <v>4.9590750000000003</v>
      </c>
      <c r="E18">
        <v>0.52633560000000001</v>
      </c>
      <c r="F18" t="s">
        <v>41</v>
      </c>
      <c r="G18">
        <v>-475.41309999999999</v>
      </c>
      <c r="H18">
        <v>0.91667940000000003</v>
      </c>
      <c r="I18">
        <v>367.19369999999998</v>
      </c>
      <c r="J18">
        <v>-476.05930000000001</v>
      </c>
      <c r="K18">
        <v>1.108717</v>
      </c>
      <c r="L18">
        <v>367.22089999999997</v>
      </c>
      <c r="M18">
        <v>0.99999839999999995</v>
      </c>
      <c r="N18">
        <v>0</v>
      </c>
      <c r="O18">
        <v>3.8752159999999998E-4</v>
      </c>
      <c r="P18">
        <v>0.99148230000000004</v>
      </c>
      <c r="Q18">
        <v>0.12578710000000001</v>
      </c>
      <c r="R18">
        <v>3.3769599999999997E-2</v>
      </c>
      <c r="S18">
        <v>3.139313</v>
      </c>
      <c r="T18">
        <v>-0.85681669999999999</v>
      </c>
      <c r="U18">
        <v>-0.1193237</v>
      </c>
      <c r="V18">
        <v>-3.3383019999999999E-2</v>
      </c>
      <c r="W18">
        <v>0.1240604</v>
      </c>
      <c r="X18">
        <v>0.99171290000000001</v>
      </c>
      <c r="Y18">
        <v>3.7003609999999999E-2</v>
      </c>
      <c r="Z18">
        <v>-5.0611650000000003E-3</v>
      </c>
      <c r="AA18">
        <v>0.99930229999999998</v>
      </c>
      <c r="AB18">
        <v>5</v>
      </c>
      <c r="AC18">
        <v>0.64620000000002098</v>
      </c>
      <c r="AD18">
        <v>-0.192037599999999</v>
      </c>
      <c r="AE18">
        <v>-2.71999999999934E-2</v>
      </c>
      <c r="AF18">
        <v>2.5226459039990101E-2</v>
      </c>
      <c r="AG18">
        <v>-0.192037599999999</v>
      </c>
      <c r="AH18">
        <v>0.59383695386112101</v>
      </c>
      <c r="AI18">
        <v>107.90528130446501</v>
      </c>
      <c r="AJ18">
        <v>87.567512204440703</v>
      </c>
      <c r="AK18">
        <v>0.62462560131691003</v>
      </c>
      <c r="AL18">
        <v>82.873501272816497</v>
      </c>
      <c r="AM18">
        <v>91.927961405596903</v>
      </c>
      <c r="AN18">
        <v>0.99999994244944301</v>
      </c>
    </row>
    <row r="19" spans="1:40" x14ac:dyDescent="0.3">
      <c r="A19" t="str">
        <f>"20200111150719531"</f>
        <v>20200111150719531</v>
      </c>
      <c r="B19" t="str">
        <f>"1578726439520557"</f>
        <v>1578726439520557</v>
      </c>
      <c r="C19" t="s">
        <v>40</v>
      </c>
      <c r="D19">
        <v>4.9450139999999996</v>
      </c>
      <c r="E19">
        <v>0.52654829999999997</v>
      </c>
      <c r="F19" t="s">
        <v>41</v>
      </c>
      <c r="G19">
        <v>-475.36270000000002</v>
      </c>
      <c r="H19">
        <v>0.91800740000000003</v>
      </c>
      <c r="I19">
        <v>367.19380000000001</v>
      </c>
      <c r="J19">
        <v>-476.00220000000002</v>
      </c>
      <c r="K19">
        <v>1.108687</v>
      </c>
      <c r="L19">
        <v>367.22089999999997</v>
      </c>
      <c r="M19">
        <v>0.99999800000000005</v>
      </c>
      <c r="N19">
        <v>0</v>
      </c>
      <c r="O19">
        <v>4.2608000000000001E-4</v>
      </c>
      <c r="P19">
        <v>0.99157819999999997</v>
      </c>
      <c r="Q19">
        <v>0.1248918</v>
      </c>
      <c r="R19">
        <v>3.4280869999999998E-2</v>
      </c>
      <c r="S19">
        <v>3.138916</v>
      </c>
      <c r="T19">
        <v>-0.85943169999999902</v>
      </c>
      <c r="U19">
        <v>-0.11972049999999999</v>
      </c>
      <c r="V19">
        <v>-3.3856770000000001E-2</v>
      </c>
      <c r="W19">
        <v>0.1229645</v>
      </c>
      <c r="X19">
        <v>0.99183339999999998</v>
      </c>
      <c r="Y19">
        <v>3.715744E-2</v>
      </c>
      <c r="Z19">
        <v>-5.1077070000000004E-3</v>
      </c>
      <c r="AA19">
        <v>0.99929639999999997</v>
      </c>
      <c r="AB19">
        <v>5</v>
      </c>
      <c r="AC19">
        <v>0.63949999999999796</v>
      </c>
      <c r="AD19">
        <v>-0.19067959999999901</v>
      </c>
      <c r="AE19">
        <v>-2.70999999999617E-2</v>
      </c>
      <c r="AF19">
        <v>2.51412904738973E-2</v>
      </c>
      <c r="AG19">
        <v>-0.19067959999999901</v>
      </c>
      <c r="AH19">
        <v>0.58736240623831504</v>
      </c>
      <c r="AI19">
        <v>107.969955871781</v>
      </c>
      <c r="AJ19">
        <v>87.549024160587095</v>
      </c>
      <c r="AK19">
        <v>0.61804966677842099</v>
      </c>
      <c r="AL19">
        <v>82.936776778813098</v>
      </c>
      <c r="AM19">
        <v>91.955063314849696</v>
      </c>
      <c r="AN19">
        <v>1.0000000212453199</v>
      </c>
    </row>
    <row r="20" spans="1:40" x14ac:dyDescent="0.3">
      <c r="A20" t="str">
        <f>"20200111150719552"</f>
        <v>20200111150719552</v>
      </c>
      <c r="B20" t="str">
        <f>"1578726439541052"</f>
        <v>1578726439541052</v>
      </c>
      <c r="C20" t="s">
        <v>40</v>
      </c>
      <c r="D20">
        <v>5.2862220000000004</v>
      </c>
      <c r="E20">
        <v>0.52680499999999997</v>
      </c>
      <c r="F20" t="s">
        <v>41</v>
      </c>
      <c r="G20">
        <v>-475.31060000000002</v>
      </c>
      <c r="H20">
        <v>0.91788150000000002</v>
      </c>
      <c r="I20">
        <v>367.19420000000002</v>
      </c>
      <c r="J20">
        <v>-475.94380000000001</v>
      </c>
      <c r="K20">
        <v>1.108652</v>
      </c>
      <c r="L20">
        <v>367.221</v>
      </c>
      <c r="M20">
        <v>0.99999780000000005</v>
      </c>
      <c r="N20">
        <v>0</v>
      </c>
      <c r="O20">
        <v>4.6470579999999999E-4</v>
      </c>
      <c r="P20">
        <v>0.99170789999999998</v>
      </c>
      <c r="Q20">
        <v>0.12369670000000001</v>
      </c>
      <c r="R20">
        <v>3.4852309999999997E-2</v>
      </c>
      <c r="S20">
        <v>3.138763</v>
      </c>
      <c r="T20">
        <v>-0.86605159999999903</v>
      </c>
      <c r="U20">
        <v>-0.1211243</v>
      </c>
      <c r="V20">
        <v>-3.4389000000000003E-2</v>
      </c>
      <c r="W20">
        <v>0.12159589999999899</v>
      </c>
      <c r="X20">
        <v>0.99198379999999997</v>
      </c>
      <c r="Y20">
        <v>3.7604940000000003E-2</v>
      </c>
      <c r="Z20">
        <v>-5.2168800000000001E-3</v>
      </c>
      <c r="AA20">
        <v>0.99927909999999998</v>
      </c>
      <c r="AB20">
        <v>6</v>
      </c>
      <c r="AC20">
        <v>0.633199999999987</v>
      </c>
      <c r="AD20">
        <v>-0.19077049999999901</v>
      </c>
      <c r="AE20">
        <v>-2.67999999999801E-2</v>
      </c>
      <c r="AF20">
        <v>2.48432673138963E-2</v>
      </c>
      <c r="AG20">
        <v>-0.19077049999999901</v>
      </c>
      <c r="AH20">
        <v>0.58058245168053402</v>
      </c>
      <c r="AI20">
        <v>108.174194833675</v>
      </c>
      <c r="AJ20">
        <v>87.549794080611306</v>
      </c>
      <c r="AK20">
        <v>0.61162615607939697</v>
      </c>
      <c r="AL20">
        <v>83.015784633994599</v>
      </c>
      <c r="AM20">
        <v>91.985471753096505</v>
      </c>
      <c r="AN20">
        <v>1.0000000128401201</v>
      </c>
    </row>
    <row r="21" spans="1:40" x14ac:dyDescent="0.3">
      <c r="A21" t="str">
        <f>"20200111150719575"</f>
        <v>20200111150719575</v>
      </c>
      <c r="B21" t="str">
        <f>"1578726439571309"</f>
        <v>1578726439571309</v>
      </c>
      <c r="C21" t="s">
        <v>40</v>
      </c>
      <c r="D21">
        <v>5.0682510000000001</v>
      </c>
      <c r="E21">
        <v>0.5270243</v>
      </c>
      <c r="F21" t="s">
        <v>41</v>
      </c>
      <c r="G21">
        <v>-475.25630000000001</v>
      </c>
      <c r="H21">
        <v>0.91772509999999996</v>
      </c>
      <c r="I21">
        <v>367.19400000000002</v>
      </c>
      <c r="J21">
        <v>-475.88310000000001</v>
      </c>
      <c r="K21">
        <v>1.1086240000000001</v>
      </c>
      <c r="L21">
        <v>367.22109999999998</v>
      </c>
      <c r="M21">
        <v>0.99999729999999998</v>
      </c>
      <c r="N21">
        <v>0</v>
      </c>
      <c r="O21">
        <v>5.0375509999999997E-4</v>
      </c>
      <c r="P21">
        <v>0.99177839999999995</v>
      </c>
      <c r="Q21">
        <v>0.1229146</v>
      </c>
      <c r="R21">
        <v>3.5607020000000003E-2</v>
      </c>
      <c r="S21">
        <v>3.1380309999999998</v>
      </c>
      <c r="T21">
        <v>-0.87152669999999999</v>
      </c>
      <c r="U21">
        <v>-0.1217346</v>
      </c>
      <c r="V21">
        <v>-3.5105379999999999E-2</v>
      </c>
      <c r="W21">
        <v>0.12065960000000001</v>
      </c>
      <c r="X21">
        <v>0.99207299999999998</v>
      </c>
      <c r="Y21">
        <v>3.7819110000000003E-2</v>
      </c>
      <c r="Z21">
        <v>-5.2896439999999996E-3</v>
      </c>
      <c r="AA21">
        <v>0.99927060000000001</v>
      </c>
      <c r="AB21">
        <v>6</v>
      </c>
      <c r="AC21">
        <v>0.62680000000000202</v>
      </c>
      <c r="AD21">
        <v>-0.19089890000000001</v>
      </c>
      <c r="AE21">
        <v>-2.70999999999617E-2</v>
      </c>
      <c r="AF21">
        <v>2.5092570546497901E-2</v>
      </c>
      <c r="AG21">
        <v>-0.19089890000000001</v>
      </c>
      <c r="AH21">
        <v>0.57367309119929499</v>
      </c>
      <c r="AI21">
        <v>108.389290216445</v>
      </c>
      <c r="AJ21">
        <v>87.495468077025805</v>
      </c>
      <c r="AK21">
        <v>0.605122171700885</v>
      </c>
      <c r="AL21">
        <v>83.069828389035195</v>
      </c>
      <c r="AM21">
        <v>92.026616201062595</v>
      </c>
      <c r="AN21">
        <v>0.99999998205305196</v>
      </c>
    </row>
    <row r="22" spans="1:40" x14ac:dyDescent="0.3">
      <c r="A22" t="str">
        <f>"20200111150719597"</f>
        <v>20200111150719597</v>
      </c>
      <c r="B22" t="str">
        <f>"1578726439590830"</f>
        <v>1578726439590830</v>
      </c>
      <c r="C22" t="s">
        <v>40</v>
      </c>
      <c r="D22">
        <v>5.0206390000000001</v>
      </c>
      <c r="E22">
        <v>0.50244860000000002</v>
      </c>
      <c r="F22" t="s">
        <v>41</v>
      </c>
      <c r="G22">
        <v>-475.1979</v>
      </c>
      <c r="H22">
        <v>0.9217649</v>
      </c>
      <c r="I22">
        <v>367.19450000000001</v>
      </c>
      <c r="J22">
        <v>-475.81729999999999</v>
      </c>
      <c r="K22">
        <v>1.1085989999999999</v>
      </c>
      <c r="L22">
        <v>367.22120000000001</v>
      </c>
      <c r="M22">
        <v>0.99999700000000002</v>
      </c>
      <c r="N22">
        <v>0</v>
      </c>
      <c r="O22">
        <v>5.4590580000000001E-4</v>
      </c>
      <c r="P22">
        <v>0.99168800000000001</v>
      </c>
      <c r="Q22">
        <v>0.1232467</v>
      </c>
      <c r="R22">
        <v>3.694865E-2</v>
      </c>
      <c r="S22">
        <v>3.1351930000000001</v>
      </c>
      <c r="T22">
        <v>-0.85506489999999902</v>
      </c>
      <c r="U22">
        <v>-0.1216125</v>
      </c>
      <c r="V22">
        <v>-3.6405420000000001E-2</v>
      </c>
      <c r="W22">
        <v>0.120848499999999</v>
      </c>
      <c r="X22">
        <v>0.99200310000000003</v>
      </c>
      <c r="Y22">
        <v>3.7903569999999998E-2</v>
      </c>
      <c r="Z22">
        <v>-5.2203999999999896E-3</v>
      </c>
      <c r="AA22">
        <v>0.99926780000000004</v>
      </c>
      <c r="AB22">
        <v>6</v>
      </c>
      <c r="AC22">
        <v>0.61939999999998396</v>
      </c>
      <c r="AD22">
        <v>-0.186834099999999</v>
      </c>
      <c r="AE22">
        <v>-2.6700000000005199E-2</v>
      </c>
      <c r="AF22">
        <v>2.4787062518717502E-2</v>
      </c>
      <c r="AG22">
        <v>-0.186834099999999</v>
      </c>
      <c r="AH22">
        <v>0.56781820183208598</v>
      </c>
      <c r="AI22">
        <v>108.197014297864</v>
      </c>
      <c r="AJ22">
        <v>87.500444706551804</v>
      </c>
      <c r="AK22">
        <v>0.59827994260458095</v>
      </c>
      <c r="AL22">
        <v>83.058925087459102</v>
      </c>
      <c r="AM22">
        <v>92.101748721754504</v>
      </c>
      <c r="AN22">
        <v>0.99999993248361596</v>
      </c>
    </row>
    <row r="23" spans="1:40" x14ac:dyDescent="0.3">
      <c r="A23" t="str">
        <f>"20200111150719621"</f>
        <v>20200111150719621</v>
      </c>
      <c r="B23" t="str">
        <f>"1578726439611324"</f>
        <v>1578726439611324</v>
      </c>
      <c r="C23" t="s">
        <v>40</v>
      </c>
      <c r="D23">
        <v>5.0466199999999999</v>
      </c>
      <c r="E23">
        <v>0.50264609999999998</v>
      </c>
      <c r="F23" t="s">
        <v>41</v>
      </c>
      <c r="G23">
        <v>-475.09370000000001</v>
      </c>
      <c r="H23">
        <v>1.018597</v>
      </c>
      <c r="I23">
        <v>367.24020000000002</v>
      </c>
      <c r="J23">
        <v>-475.74590000000001</v>
      </c>
      <c r="K23">
        <v>1.1085719999999999</v>
      </c>
      <c r="L23">
        <v>367.22129999999999</v>
      </c>
      <c r="M23">
        <v>0.99999669999999896</v>
      </c>
      <c r="N23">
        <v>0</v>
      </c>
      <c r="O23">
        <v>5.902638E-4</v>
      </c>
      <c r="P23">
        <v>0.99165000000000003</v>
      </c>
      <c r="Q23">
        <v>0.123347499999999</v>
      </c>
      <c r="R23">
        <v>3.7630499999999997E-2</v>
      </c>
      <c r="S23">
        <v>3.0695800000000002</v>
      </c>
      <c r="T23">
        <v>-0.3820616</v>
      </c>
      <c r="U23">
        <v>8.2946779999999998E-2</v>
      </c>
      <c r="V23">
        <v>-3.7043199999999998E-2</v>
      </c>
      <c r="W23">
        <v>0.1208163</v>
      </c>
      <c r="X23">
        <v>0.99198350000000002</v>
      </c>
      <c r="Y23">
        <v>-2.6224620000000001E-2</v>
      </c>
      <c r="Z23">
        <v>1.5523119999999999E-3</v>
      </c>
      <c r="AA23">
        <v>0.99965490000000001</v>
      </c>
      <c r="AB23">
        <v>6</v>
      </c>
      <c r="AC23">
        <v>0.65219999999999301</v>
      </c>
      <c r="AD23">
        <v>-8.9974999999999902E-2</v>
      </c>
      <c r="AE23">
        <v>1.89000000000305E-2</v>
      </c>
      <c r="AF23">
        <v>-1.8169515227420299E-2</v>
      </c>
      <c r="AG23">
        <v>-8.9974999999999902E-2</v>
      </c>
      <c r="AH23">
        <v>0.64004008506439203</v>
      </c>
      <c r="AI23">
        <v>97.9988587382296</v>
      </c>
      <c r="AJ23">
        <v>91.626081000745003</v>
      </c>
      <c r="AK23">
        <v>0.64658869646618</v>
      </c>
      <c r="AL23">
        <v>83.060784244125898</v>
      </c>
      <c r="AM23">
        <v>92.138577200962402</v>
      </c>
      <c r="AN23">
        <v>1.00000002064209</v>
      </c>
    </row>
    <row r="24" spans="1:40" x14ac:dyDescent="0.3">
      <c r="A24" t="str">
        <f>"20200111150719642"</f>
        <v>20200111150719642</v>
      </c>
      <c r="B24" t="str">
        <f>"1578726439630844"</f>
        <v>1578726439630844</v>
      </c>
      <c r="C24" t="s">
        <v>40</v>
      </c>
      <c r="D24">
        <v>5.0952650000000004</v>
      </c>
      <c r="E24">
        <v>0.5028203</v>
      </c>
      <c r="F24" t="s">
        <v>41</v>
      </c>
      <c r="G24">
        <v>-474.97340000000003</v>
      </c>
      <c r="H24">
        <v>1.0092350000000001</v>
      </c>
      <c r="I24">
        <v>367.24189999999999</v>
      </c>
      <c r="J24">
        <v>-475.67630000000003</v>
      </c>
      <c r="K24">
        <v>1.1085480000000001</v>
      </c>
      <c r="L24">
        <v>367.22129999999999</v>
      </c>
      <c r="M24">
        <v>0.99999629999999995</v>
      </c>
      <c r="N24">
        <v>0</v>
      </c>
      <c r="O24">
        <v>6.3225809999999897E-4</v>
      </c>
      <c r="P24">
        <v>0.99181779999999997</v>
      </c>
      <c r="Q24">
        <v>0.1222703</v>
      </c>
      <c r="R24">
        <v>3.6710020000000003E-2</v>
      </c>
      <c r="S24">
        <v>3.071167</v>
      </c>
      <c r="T24">
        <v>-0.39507720000000002</v>
      </c>
      <c r="U24">
        <v>8.3648680000000003E-2</v>
      </c>
      <c r="V24">
        <v>-3.6081090000000003E-2</v>
      </c>
      <c r="W24">
        <v>0.1196272</v>
      </c>
      <c r="X24">
        <v>0.99216309999999996</v>
      </c>
      <c r="Y24">
        <v>-2.6382610000000001E-2</v>
      </c>
      <c r="Z24">
        <v>1.608681E-3</v>
      </c>
      <c r="AA24">
        <v>0.99965059999999994</v>
      </c>
      <c r="AB24">
        <v>7</v>
      </c>
      <c r="AC24">
        <v>0.70289999999999897</v>
      </c>
      <c r="AD24">
        <v>-9.9312999999999693E-2</v>
      </c>
      <c r="AE24">
        <v>2.06000000000017E-2</v>
      </c>
      <c r="AF24">
        <v>-1.9761422014902299E-2</v>
      </c>
      <c r="AG24">
        <v>-9.9312999999999693E-2</v>
      </c>
      <c r="AH24">
        <v>0.68916687423526202</v>
      </c>
      <c r="AI24">
        <v>98.196883260796795</v>
      </c>
      <c r="AJ24">
        <v>91.642469996463205</v>
      </c>
      <c r="AK24">
        <v>0.69656626842839098</v>
      </c>
      <c r="AL24">
        <v>83.129412717083</v>
      </c>
      <c r="AM24">
        <v>92.082705527747905</v>
      </c>
      <c r="AN24">
        <v>1.0000000645185101</v>
      </c>
    </row>
    <row r="25" spans="1:40" x14ac:dyDescent="0.3">
      <c r="A25" t="str">
        <f>"20200111150719664"</f>
        <v>20200111150719664</v>
      </c>
      <c r="B25" t="str">
        <f>"1578726439661101"</f>
        <v>1578726439661101</v>
      </c>
      <c r="C25" t="s">
        <v>40</v>
      </c>
      <c r="D25">
        <v>5.1160670000000001</v>
      </c>
      <c r="E25">
        <v>0.500150599999999</v>
      </c>
      <c r="F25" t="s">
        <v>41</v>
      </c>
      <c r="G25">
        <v>-474.9074</v>
      </c>
      <c r="H25">
        <v>1.00987</v>
      </c>
      <c r="I25">
        <v>367.24119999999999</v>
      </c>
      <c r="J25">
        <v>-475.60509999999999</v>
      </c>
      <c r="K25">
        <v>1.1085210000000001</v>
      </c>
      <c r="L25">
        <v>367.22149999999999</v>
      </c>
      <c r="M25">
        <v>0.999996</v>
      </c>
      <c r="N25">
        <v>0</v>
      </c>
      <c r="O25">
        <v>6.749169E-4</v>
      </c>
      <c r="P25">
        <v>0.9918979</v>
      </c>
      <c r="Q25">
        <v>0.12177060000000001</v>
      </c>
      <c r="R25">
        <v>3.6206330000000002E-2</v>
      </c>
      <c r="S25">
        <v>3.0703130000000001</v>
      </c>
      <c r="T25">
        <v>-0.39437260000000002</v>
      </c>
      <c r="U25">
        <v>8.1359860000000006E-2</v>
      </c>
      <c r="V25">
        <v>-3.553535E-2</v>
      </c>
      <c r="W25">
        <v>0.1190264</v>
      </c>
      <c r="X25">
        <v>0.992255</v>
      </c>
      <c r="Y25">
        <v>-2.5610190000000001E-2</v>
      </c>
      <c r="Z25">
        <v>1.5514420000000001E-3</v>
      </c>
      <c r="AA25">
        <v>0.99967079999999997</v>
      </c>
      <c r="AB25">
        <v>7</v>
      </c>
      <c r="AC25">
        <v>0.69769999999999699</v>
      </c>
      <c r="AD25">
        <v>-9.8650999999999794E-2</v>
      </c>
      <c r="AE25">
        <v>1.97000000000002E-2</v>
      </c>
      <c r="AF25">
        <v>-1.8852497273918498E-2</v>
      </c>
      <c r="AG25">
        <v>-9.8650999999999794E-2</v>
      </c>
      <c r="AH25">
        <v>0.68404824612863502</v>
      </c>
      <c r="AI25">
        <v>98.203339432500101</v>
      </c>
      <c r="AJ25">
        <v>91.578682749488095</v>
      </c>
      <c r="AK25">
        <v>0.691382267263288</v>
      </c>
      <c r="AL25">
        <v>83.164083403030901</v>
      </c>
      <c r="AM25">
        <v>92.051041125788004</v>
      </c>
      <c r="AN25">
        <v>1.0000000150107899</v>
      </c>
    </row>
    <row r="26" spans="1:40" x14ac:dyDescent="0.3">
      <c r="A26" t="str">
        <f>"20200111150719685"</f>
        <v>20200111150719685</v>
      </c>
      <c r="B26" t="str">
        <f>"1578726439680621"</f>
        <v>1578726439680621</v>
      </c>
      <c r="C26" t="s">
        <v>40</v>
      </c>
      <c r="D26">
        <v>5.1781110000000004</v>
      </c>
      <c r="E26">
        <v>0.48779640000000002</v>
      </c>
      <c r="F26" t="s">
        <v>42</v>
      </c>
      <c r="G26">
        <v>-158.19499999999999</v>
      </c>
      <c r="H26">
        <v>68.118129999999994</v>
      </c>
      <c r="I26">
        <v>379.05259999999998</v>
      </c>
      <c r="J26">
        <v>-475.53109999999998</v>
      </c>
      <c r="K26">
        <v>1.108501</v>
      </c>
      <c r="L26">
        <v>367.22149999999999</v>
      </c>
      <c r="M26">
        <v>0.99999570000000004</v>
      </c>
      <c r="N26">
        <v>0</v>
      </c>
      <c r="O26">
        <v>7.1758070000000002E-4</v>
      </c>
      <c r="P26">
        <v>0.99186649999999998</v>
      </c>
      <c r="Q26">
        <v>0.1221994</v>
      </c>
      <c r="R26">
        <v>3.5611030000000002E-2</v>
      </c>
      <c r="S26">
        <v>2.9441830000000002</v>
      </c>
      <c r="T26">
        <v>0.62155780000000005</v>
      </c>
      <c r="U26">
        <v>0.1097412</v>
      </c>
      <c r="V26">
        <v>-3.4897549999999999E-2</v>
      </c>
      <c r="W26">
        <v>0.1193621</v>
      </c>
      <c r="X26">
        <v>0.99223729999999999</v>
      </c>
      <c r="Y26">
        <v>-3.5759640000000002E-2</v>
      </c>
      <c r="Z26">
        <v>-3.582488E-3</v>
      </c>
      <c r="AA26">
        <v>0.99935399999999996</v>
      </c>
      <c r="AB26">
        <v>7</v>
      </c>
      <c r="AC26">
        <v>317.33609999999999</v>
      </c>
      <c r="AD26">
        <v>67.009629000000004</v>
      </c>
      <c r="AE26">
        <v>11.8310999999999</v>
      </c>
      <c r="AF26">
        <v>-11.108733202452299</v>
      </c>
      <c r="AG26">
        <v>67.009629000000004</v>
      </c>
      <c r="AH26">
        <v>303.81621003626202</v>
      </c>
      <c r="AI26">
        <v>77.570041809882397</v>
      </c>
      <c r="AJ26">
        <v>92.094029518029103</v>
      </c>
      <c r="AK26">
        <v>311.316533150552</v>
      </c>
      <c r="AL26">
        <v>83.144711033088697</v>
      </c>
      <c r="AM26">
        <v>92.014294876037198</v>
      </c>
      <c r="AN26">
        <v>1.00000000471185</v>
      </c>
    </row>
    <row r="27" spans="1:40" x14ac:dyDescent="0.3">
      <c r="A27" t="str">
        <f>"20200111150719709"</f>
        <v>20200111150719709</v>
      </c>
      <c r="B27" t="str">
        <f>"1578726439701117"</f>
        <v>1578726439701117</v>
      </c>
      <c r="C27" t="s">
        <v>40</v>
      </c>
      <c r="D27">
        <v>5.0978469999999998</v>
      </c>
      <c r="E27">
        <v>0.49553829999999999</v>
      </c>
      <c r="F27" t="s">
        <v>41</v>
      </c>
      <c r="G27">
        <v>-474.77730000000003</v>
      </c>
      <c r="H27">
        <v>0.99013700000000004</v>
      </c>
      <c r="I27">
        <v>367.26920000000001</v>
      </c>
      <c r="J27">
        <v>-475.44560000000001</v>
      </c>
      <c r="K27">
        <v>1.108479</v>
      </c>
      <c r="L27">
        <v>367.2217</v>
      </c>
      <c r="M27">
        <v>0.99999539999999998</v>
      </c>
      <c r="N27">
        <v>0</v>
      </c>
      <c r="O27">
        <v>7.6566009999999996E-4</v>
      </c>
      <c r="P27">
        <v>0.99184640000000002</v>
      </c>
      <c r="Q27">
        <v>0.1226222</v>
      </c>
      <c r="R27">
        <v>3.4710089999999999E-2</v>
      </c>
      <c r="S27">
        <v>3.0771480000000002</v>
      </c>
      <c r="T27">
        <v>-0.48322029999999999</v>
      </c>
      <c r="U27">
        <v>0.19454959999999999</v>
      </c>
      <c r="V27">
        <v>-3.3948970000000002E-2</v>
      </c>
      <c r="W27">
        <v>0.1196892</v>
      </c>
      <c r="X27">
        <v>0.99223079999999997</v>
      </c>
      <c r="Y27">
        <v>-6.1591380000000001E-2</v>
      </c>
      <c r="Z27">
        <v>4.6824600000000003E-3</v>
      </c>
      <c r="AA27">
        <v>0.99809040000000004</v>
      </c>
      <c r="AB27">
        <v>8</v>
      </c>
      <c r="AC27">
        <v>0.66829999999998702</v>
      </c>
      <c r="AD27">
        <v>-0.118341999999999</v>
      </c>
      <c r="AE27">
        <v>4.7500000000013601E-2</v>
      </c>
      <c r="AF27">
        <v>-4.5566640695812601E-2</v>
      </c>
      <c r="AG27">
        <v>-0.118341999999999</v>
      </c>
      <c r="AH27">
        <v>0.64811535325727798</v>
      </c>
      <c r="AI27">
        <v>100.322939636171</v>
      </c>
      <c r="AJ27">
        <v>94.021640933802104</v>
      </c>
      <c r="AK27">
        <v>0.66040492036030995</v>
      </c>
      <c r="AL27">
        <v>83.125834217411295</v>
      </c>
      <c r="AM27">
        <v>91.959598722427103</v>
      </c>
      <c r="AN27">
        <v>0.99999999881467005</v>
      </c>
    </row>
    <row r="28" spans="1:40" x14ac:dyDescent="0.3">
      <c r="A28" t="str">
        <f>"20200111150719731"</f>
        <v>20200111150719731</v>
      </c>
      <c r="B28" t="str">
        <f>"1578726439720636"</f>
        <v>1578726439720636</v>
      </c>
      <c r="C28" t="s">
        <v>40</v>
      </c>
      <c r="D28">
        <v>5.2119589999999896</v>
      </c>
      <c r="E28">
        <v>0.49713109999999999</v>
      </c>
      <c r="F28" t="s">
        <v>41</v>
      </c>
      <c r="G28">
        <v>-474.70179999999999</v>
      </c>
      <c r="H28">
        <v>0.99758639999999998</v>
      </c>
      <c r="I28">
        <v>367.25279999999998</v>
      </c>
      <c r="J28">
        <v>-475.36329999999998</v>
      </c>
      <c r="K28">
        <v>1.108452</v>
      </c>
      <c r="L28">
        <v>367.22179999999997</v>
      </c>
      <c r="M28">
        <v>0.99999519999999997</v>
      </c>
      <c r="N28">
        <v>0</v>
      </c>
      <c r="O28">
        <v>8.1101380000000002E-4</v>
      </c>
      <c r="P28">
        <v>0.99179150000000005</v>
      </c>
      <c r="Q28">
        <v>0.1229943</v>
      </c>
      <c r="R28">
        <v>3.496457E-2</v>
      </c>
      <c r="S28">
        <v>3.0768740000000001</v>
      </c>
      <c r="T28">
        <v>-0.45896009999999998</v>
      </c>
      <c r="U28">
        <v>0.1307373</v>
      </c>
      <c r="V28">
        <v>-3.415878E-2</v>
      </c>
      <c r="W28">
        <v>0.1199799</v>
      </c>
      <c r="X28">
        <v>0.99218850000000003</v>
      </c>
      <c r="Y28">
        <v>-4.119569E-2</v>
      </c>
      <c r="Z28">
        <v>2.9339520000000001E-3</v>
      </c>
      <c r="AA28">
        <v>0.9991468</v>
      </c>
      <c r="AB28">
        <v>8</v>
      </c>
      <c r="AC28">
        <v>0.66149999999998899</v>
      </c>
      <c r="AD28">
        <v>-0.11086559999999999</v>
      </c>
      <c r="AE28">
        <v>3.1000000000005901E-2</v>
      </c>
      <c r="AF28">
        <v>-2.9632969776602399E-2</v>
      </c>
      <c r="AG28">
        <v>-0.11086559999999999</v>
      </c>
      <c r="AH28">
        <v>0.64348964942504605</v>
      </c>
      <c r="AI28">
        <v>99.765263050082396</v>
      </c>
      <c r="AJ28">
        <v>92.636632082776202</v>
      </c>
      <c r="AK28">
        <v>0.65364227454955004</v>
      </c>
      <c r="AL28">
        <v>83.109057509855802</v>
      </c>
      <c r="AM28">
        <v>91.971783815810994</v>
      </c>
      <c r="AN28">
        <v>1.00000000909367</v>
      </c>
    </row>
    <row r="29" spans="1:40" x14ac:dyDescent="0.3">
      <c r="A29" t="str">
        <f>"20200111150719753"</f>
        <v>20200111150719753</v>
      </c>
      <c r="B29" t="str">
        <f>"1578726439750893"</f>
        <v>1578726439750893</v>
      </c>
      <c r="C29" t="s">
        <v>40</v>
      </c>
      <c r="D29">
        <v>5.5565069999999999</v>
      </c>
      <c r="E29">
        <v>0.49978489999999998</v>
      </c>
      <c r="F29" t="s">
        <v>41</v>
      </c>
      <c r="G29">
        <v>-474.6266</v>
      </c>
      <c r="H29">
        <v>0.99851849999999998</v>
      </c>
      <c r="I29">
        <v>367.24990000000003</v>
      </c>
      <c r="J29">
        <v>-475.2808</v>
      </c>
      <c r="K29">
        <v>1.1084290000000001</v>
      </c>
      <c r="L29">
        <v>367.22190000000001</v>
      </c>
      <c r="M29">
        <v>0.99999490000000002</v>
      </c>
      <c r="N29">
        <v>0</v>
      </c>
      <c r="O29">
        <v>8.5554019999999997E-4</v>
      </c>
      <c r="P29">
        <v>0.99170519999999995</v>
      </c>
      <c r="Q29">
        <v>0.12338449999999999</v>
      </c>
      <c r="R29">
        <v>3.6016640000000003E-2</v>
      </c>
      <c r="S29">
        <v>3.0776669999999999</v>
      </c>
      <c r="T29">
        <v>-0.45955059999999898</v>
      </c>
      <c r="U29">
        <v>0.118866</v>
      </c>
      <c r="V29">
        <v>-3.5166559999999999E-2</v>
      </c>
      <c r="W29">
        <v>0.1202947</v>
      </c>
      <c r="X29">
        <v>0.99211510000000003</v>
      </c>
      <c r="Y29">
        <v>-3.7334579999999999E-2</v>
      </c>
      <c r="Z29">
        <v>2.6439810000000001E-3</v>
      </c>
      <c r="AA29">
        <v>0.9992993</v>
      </c>
      <c r="AB29">
        <v>8</v>
      </c>
      <c r="AC29">
        <v>0.654200000000002</v>
      </c>
      <c r="AD29">
        <v>-0.10991049999999999</v>
      </c>
      <c r="AE29">
        <v>2.8000000000019998E-2</v>
      </c>
      <c r="AF29">
        <v>-2.6688350979624201E-2</v>
      </c>
      <c r="AG29">
        <v>-0.10991049999999999</v>
      </c>
      <c r="AH29">
        <v>0.63629613339506996</v>
      </c>
      <c r="AI29">
        <v>99.791826309503904</v>
      </c>
      <c r="AJ29">
        <v>92.401765524936707</v>
      </c>
      <c r="AK29">
        <v>0.64627034239687897</v>
      </c>
      <c r="AL29">
        <v>83.090888708279195</v>
      </c>
      <c r="AM29">
        <v>92.030059063032795</v>
      </c>
      <c r="AN29">
        <v>0.99999993671916398</v>
      </c>
    </row>
    <row r="30" spans="1:40" x14ac:dyDescent="0.3">
      <c r="A30" t="str">
        <f>"20200111150719777"</f>
        <v>20200111150719777</v>
      </c>
      <c r="B30" t="str">
        <f>"1578726439771390"</f>
        <v>1578726439771390</v>
      </c>
      <c r="C30" t="s">
        <v>40</v>
      </c>
      <c r="D30">
        <v>5.1541180000000004</v>
      </c>
      <c r="E30">
        <v>0.49917309999999998</v>
      </c>
      <c r="F30" t="s">
        <v>41</v>
      </c>
      <c r="G30">
        <v>-474.54539999999997</v>
      </c>
      <c r="H30">
        <v>1.007719</v>
      </c>
      <c r="I30">
        <v>367.24560000000002</v>
      </c>
      <c r="J30">
        <v>-475.18889999999999</v>
      </c>
      <c r="K30">
        <v>1.1084080000000001</v>
      </c>
      <c r="L30">
        <v>367.22199999999998</v>
      </c>
      <c r="M30">
        <v>0.99999470000000001</v>
      </c>
      <c r="N30">
        <v>0</v>
      </c>
      <c r="O30">
        <v>9.0429390000000001E-4</v>
      </c>
      <c r="P30">
        <v>0.99176889999999995</v>
      </c>
      <c r="Q30">
        <v>0.1225479</v>
      </c>
      <c r="R30">
        <v>3.710712E-2</v>
      </c>
      <c r="S30">
        <v>3.0738530000000002</v>
      </c>
      <c r="T30">
        <v>-0.4213462</v>
      </c>
      <c r="U30">
        <v>0.1014709</v>
      </c>
      <c r="V30">
        <v>-3.6208959999999998E-2</v>
      </c>
      <c r="W30">
        <v>0.1193815</v>
      </c>
      <c r="X30">
        <v>0.99218799999999996</v>
      </c>
      <c r="Y30">
        <v>-3.1800620000000002E-2</v>
      </c>
      <c r="Z30">
        <v>2.045453E-3</v>
      </c>
      <c r="AA30">
        <v>0.99949219999999905</v>
      </c>
      <c r="AB30">
        <v>8</v>
      </c>
      <c r="AC30">
        <v>0.64350000000001695</v>
      </c>
      <c r="AD30">
        <v>-0.100689</v>
      </c>
      <c r="AE30">
        <v>2.3600000000044401E-2</v>
      </c>
      <c r="AF30">
        <v>-2.2468708943988499E-2</v>
      </c>
      <c r="AG30">
        <v>-0.100689</v>
      </c>
      <c r="AH30">
        <v>0.62816235492938799</v>
      </c>
      <c r="AI30">
        <v>99.100830819498199</v>
      </c>
      <c r="AJ30">
        <v>92.048536624054407</v>
      </c>
      <c r="AK30">
        <v>0.63657761644048105</v>
      </c>
      <c r="AL30">
        <v>83.143591659453406</v>
      </c>
      <c r="AM30">
        <v>92.090027615397204</v>
      </c>
      <c r="AN30">
        <v>1.00000002933526</v>
      </c>
    </row>
    <row r="31" spans="1:40" x14ac:dyDescent="0.3">
      <c r="A31" t="str">
        <f>"20200111150719799"</f>
        <v>20200111150719799</v>
      </c>
      <c r="B31" t="str">
        <f>"1578726439790909"</f>
        <v>1578726439790909</v>
      </c>
      <c r="C31" t="s">
        <v>40</v>
      </c>
      <c r="D31">
        <v>5.2211959999999999</v>
      </c>
      <c r="E31">
        <v>0.50574640000000004</v>
      </c>
      <c r="F31" t="s">
        <v>42</v>
      </c>
      <c r="G31">
        <v>-158.19499999999999</v>
      </c>
      <c r="H31">
        <v>44.050359999999998</v>
      </c>
      <c r="I31">
        <v>379.8603</v>
      </c>
      <c r="J31">
        <v>-475.09559999999999</v>
      </c>
      <c r="K31">
        <v>1.1083889999999901</v>
      </c>
      <c r="L31">
        <v>367.22219999999999</v>
      </c>
      <c r="M31">
        <v>0.9999943</v>
      </c>
      <c r="N31">
        <v>0</v>
      </c>
      <c r="O31">
        <v>9.5287430000000003E-4</v>
      </c>
      <c r="P31">
        <v>0.99185020000000002</v>
      </c>
      <c r="Q31">
        <v>0.1218105</v>
      </c>
      <c r="R31">
        <v>3.7353009999999999E-2</v>
      </c>
      <c r="S31">
        <v>2.9707029999999999</v>
      </c>
      <c r="T31">
        <v>0.40243050000000002</v>
      </c>
      <c r="U31">
        <v>0.11843869999999999</v>
      </c>
      <c r="V31">
        <v>-3.640649E-2</v>
      </c>
      <c r="W31">
        <v>0.11857280000000001</v>
      </c>
      <c r="X31">
        <v>0.99227770000000004</v>
      </c>
      <c r="Y31">
        <v>-3.8542340000000001E-2</v>
      </c>
      <c r="Z31">
        <v>-2.469265E-3</v>
      </c>
      <c r="AA31">
        <v>0.99925390000000003</v>
      </c>
      <c r="AB31">
        <v>9</v>
      </c>
      <c r="AC31">
        <v>316.9006</v>
      </c>
      <c r="AD31">
        <v>42.941971000000002</v>
      </c>
      <c r="AE31">
        <v>12.6381</v>
      </c>
      <c r="AF31">
        <v>-12.1140425083164</v>
      </c>
      <c r="AG31">
        <v>42.941971000000002</v>
      </c>
      <c r="AH31">
        <v>311.207214150401</v>
      </c>
      <c r="AI31">
        <v>82.149515764117197</v>
      </c>
      <c r="AJ31">
        <v>92.229168315368298</v>
      </c>
      <c r="AK31">
        <v>314.38939714709102</v>
      </c>
      <c r="AL31">
        <v>83.190257944193704</v>
      </c>
      <c r="AM31">
        <v>92.101229311967103</v>
      </c>
      <c r="AN31">
        <v>0.99999998766562503</v>
      </c>
    </row>
    <row r="32" spans="1:40" x14ac:dyDescent="0.3">
      <c r="A32" t="str">
        <f>"20200111150719822"</f>
        <v>20200111150719822</v>
      </c>
      <c r="B32" t="str">
        <f>"1578726439811405"</f>
        <v>1578726439811405</v>
      </c>
      <c r="C32" t="s">
        <v>40</v>
      </c>
      <c r="D32">
        <v>5.1623950000000001</v>
      </c>
      <c r="E32">
        <v>0.50474849999999905</v>
      </c>
      <c r="F32" t="s">
        <v>41</v>
      </c>
      <c r="G32">
        <v>-474.38209999999998</v>
      </c>
      <c r="H32">
        <v>1.0127429999999999</v>
      </c>
      <c r="I32">
        <v>367.23500000000001</v>
      </c>
      <c r="J32">
        <v>-475.0025</v>
      </c>
      <c r="K32">
        <v>1.1083730000000001</v>
      </c>
      <c r="L32">
        <v>367.22239999999999</v>
      </c>
      <c r="M32">
        <v>0.9999941</v>
      </c>
      <c r="N32">
        <v>0</v>
      </c>
      <c r="O32">
        <v>9.9961309999999992E-4</v>
      </c>
      <c r="P32">
        <v>0.99183489999999996</v>
      </c>
      <c r="Q32">
        <v>0.1219105</v>
      </c>
      <c r="R32">
        <v>3.7439239999999999E-2</v>
      </c>
      <c r="S32">
        <v>3.0731510000000002</v>
      </c>
      <c r="T32">
        <v>-0.41235179999999999</v>
      </c>
      <c r="U32">
        <v>5.8135989999999999E-2</v>
      </c>
      <c r="V32">
        <v>-3.6447029999999998E-2</v>
      </c>
      <c r="W32">
        <v>0.1186083</v>
      </c>
      <c r="X32">
        <v>0.99227200000000004</v>
      </c>
      <c r="Y32">
        <v>-1.7764370000000002E-2</v>
      </c>
      <c r="Z32">
        <v>1.052863E-3</v>
      </c>
      <c r="AA32">
        <v>0.9998416</v>
      </c>
      <c r="AB32">
        <v>9</v>
      </c>
      <c r="AC32">
        <v>0.62040000000001705</v>
      </c>
      <c r="AD32">
        <v>-9.5630000000000104E-2</v>
      </c>
      <c r="AE32">
        <v>1.26000000000203E-2</v>
      </c>
      <c r="AF32">
        <v>-1.1701908762256699E-2</v>
      </c>
      <c r="AG32">
        <v>-9.5630000000000104E-2</v>
      </c>
      <c r="AH32">
        <v>0.60601926081785296</v>
      </c>
      <c r="AI32">
        <v>98.965701225272994</v>
      </c>
      <c r="AJ32">
        <v>91.106213476749204</v>
      </c>
      <c r="AK32">
        <v>0.61362967337873797</v>
      </c>
      <c r="AL32">
        <v>83.188209698917106</v>
      </c>
      <c r="AM32">
        <v>92.103579082075399</v>
      </c>
      <c r="AN32">
        <v>1.00000001840435</v>
      </c>
    </row>
    <row r="33" spans="1:40" x14ac:dyDescent="0.3">
      <c r="A33" t="str">
        <f>"20200111150719842"</f>
        <v>20200111150719842</v>
      </c>
      <c r="B33" t="str">
        <f>"1578726439830928"</f>
        <v>1578726439830928</v>
      </c>
      <c r="C33" t="s">
        <v>40</v>
      </c>
      <c r="D33">
        <v>7.3910869999999997</v>
      </c>
      <c r="E33">
        <v>0.50264189999999997</v>
      </c>
      <c r="F33" t="s">
        <v>41</v>
      </c>
      <c r="G33">
        <v>-474.20839999999998</v>
      </c>
      <c r="H33">
        <v>1.019377</v>
      </c>
      <c r="I33">
        <v>367.23930000000001</v>
      </c>
      <c r="J33">
        <v>-474.91039999999998</v>
      </c>
      <c r="K33">
        <v>1.108358</v>
      </c>
      <c r="L33">
        <v>367.22250000000003</v>
      </c>
      <c r="M33">
        <v>0.99999380000000004</v>
      </c>
      <c r="N33">
        <v>0</v>
      </c>
      <c r="O33">
        <v>1.045825E-3</v>
      </c>
      <c r="P33">
        <v>0.99177749999999998</v>
      </c>
      <c r="Q33">
        <v>0.1223119</v>
      </c>
      <c r="R33">
        <v>3.7648540000000001E-2</v>
      </c>
      <c r="S33">
        <v>3.0644230000000001</v>
      </c>
      <c r="T33">
        <v>-0.34370859999999998</v>
      </c>
      <c r="U33">
        <v>6.6467289999999998E-2</v>
      </c>
      <c r="V33">
        <v>-3.6610650000000002E-2</v>
      </c>
      <c r="W33">
        <v>0.11895070000000001</v>
      </c>
      <c r="X33">
        <v>0.99222500000000002</v>
      </c>
      <c r="Y33">
        <v>-2.0517259999999999E-2</v>
      </c>
      <c r="Z33">
        <v>1.0299669999999999E-3</v>
      </c>
      <c r="AA33">
        <v>0.99978889999999998</v>
      </c>
      <c r="AB33">
        <v>9</v>
      </c>
      <c r="AC33">
        <v>0.70199999999999796</v>
      </c>
      <c r="AD33">
        <v>-8.8980999999999894E-2</v>
      </c>
      <c r="AE33">
        <v>1.6799999999989199E-2</v>
      </c>
      <c r="AF33">
        <v>-1.5811921240367399E-2</v>
      </c>
      <c r="AG33">
        <v>-8.8980999999999894E-2</v>
      </c>
      <c r="AH33">
        <v>0.69092285200463899</v>
      </c>
      <c r="AI33">
        <v>97.336584894409498</v>
      </c>
      <c r="AJ33">
        <v>91.310997661011299</v>
      </c>
      <c r="AK33">
        <v>0.69680845476826403</v>
      </c>
      <c r="AL33">
        <v>83.168451828338306</v>
      </c>
      <c r="AM33">
        <v>92.113114042353899</v>
      </c>
      <c r="AN33">
        <v>1.00000002967445</v>
      </c>
    </row>
    <row r="34" spans="1:40" x14ac:dyDescent="0.3">
      <c r="A34" t="str">
        <f>"20200111150719875"</f>
        <v>20200111150719875</v>
      </c>
      <c r="B34" t="str">
        <f>"1578726439870943"</f>
        <v>1578726439870943</v>
      </c>
      <c r="C34" t="s">
        <v>40</v>
      </c>
      <c r="D34">
        <v>5.2337879999999997</v>
      </c>
      <c r="E34">
        <v>0.49664720000000001</v>
      </c>
      <c r="F34" t="s">
        <v>41</v>
      </c>
      <c r="G34">
        <v>-474.11689999999999</v>
      </c>
      <c r="H34">
        <v>1.0251250000000001</v>
      </c>
      <c r="I34">
        <v>367.24400000000003</v>
      </c>
      <c r="J34">
        <v>-474.76389999999998</v>
      </c>
      <c r="K34">
        <v>1.1083529999999999</v>
      </c>
      <c r="L34">
        <v>367.22269999999997</v>
      </c>
      <c r="M34">
        <v>0.99999340000000003</v>
      </c>
      <c r="N34">
        <v>0</v>
      </c>
      <c r="O34">
        <v>1.1166609999999999E-3</v>
      </c>
      <c r="P34">
        <v>0.99153849999999999</v>
      </c>
      <c r="Q34">
        <v>0.1244672</v>
      </c>
      <c r="R34">
        <v>3.6872439999999999E-2</v>
      </c>
      <c r="S34">
        <v>3.0613100000000002</v>
      </c>
      <c r="T34">
        <v>-0.32126059999999901</v>
      </c>
      <c r="U34">
        <v>8.3648680000000003E-2</v>
      </c>
      <c r="V34">
        <v>-3.5764190000000001E-2</v>
      </c>
      <c r="W34">
        <v>0.1210203</v>
      </c>
      <c r="X34">
        <v>0.99200549999999998</v>
      </c>
      <c r="Y34">
        <v>-2.606114E-2</v>
      </c>
      <c r="Z34">
        <v>1.246617E-3</v>
      </c>
      <c r="AA34">
        <v>0.99965959999999998</v>
      </c>
      <c r="AB34">
        <v>10</v>
      </c>
      <c r="AC34">
        <v>0.64699999999999103</v>
      </c>
      <c r="AD34">
        <v>-8.3227999999999996E-2</v>
      </c>
      <c r="AE34">
        <v>2.1300000000053301E-2</v>
      </c>
      <c r="AF34">
        <v>-2.0242897602228801E-2</v>
      </c>
      <c r="AG34">
        <v>-8.3227999999999996E-2</v>
      </c>
      <c r="AH34">
        <v>0.63650231173642202</v>
      </c>
      <c r="AI34">
        <v>97.445914463522698</v>
      </c>
      <c r="AJ34">
        <v>91.821583009286698</v>
      </c>
      <c r="AK34">
        <v>0.64223972761979098</v>
      </c>
      <c r="AL34">
        <v>83.049009022438099</v>
      </c>
      <c r="AM34">
        <v>92.064756727430705</v>
      </c>
      <c r="AN34">
        <v>0.99999995116434603</v>
      </c>
    </row>
    <row r="35" spans="1:40" x14ac:dyDescent="0.3">
      <c r="A35" t="str">
        <f>"20200111150719898"</f>
        <v>20200111150719898</v>
      </c>
      <c r="B35" t="str">
        <f>"1578726439891436"</f>
        <v>1578726439891436</v>
      </c>
      <c r="C35" t="s">
        <v>40</v>
      </c>
      <c r="D35">
        <v>5.2461129999999896</v>
      </c>
      <c r="E35">
        <v>0.4958032</v>
      </c>
      <c r="F35" t="s">
        <v>43</v>
      </c>
      <c r="G35">
        <v>-457.42250000000001</v>
      </c>
      <c r="H35" s="1">
        <v>-1.3794869999999999E-6</v>
      </c>
      <c r="I35">
        <v>367.97320000000002</v>
      </c>
      <c r="J35">
        <v>-474.65809999999999</v>
      </c>
      <c r="K35">
        <v>1.108347</v>
      </c>
      <c r="L35">
        <v>367.22280000000001</v>
      </c>
      <c r="M35">
        <v>0.99999309999999997</v>
      </c>
      <c r="N35">
        <v>0</v>
      </c>
      <c r="O35">
        <v>1.166923E-3</v>
      </c>
      <c r="P35">
        <v>0.99139330000000003</v>
      </c>
      <c r="Q35">
        <v>0.12551680000000001</v>
      </c>
      <c r="R35">
        <v>3.7212519999999999E-2</v>
      </c>
      <c r="S35">
        <v>3.0451350000000001</v>
      </c>
      <c r="T35">
        <v>-0.19462599999999999</v>
      </c>
      <c r="U35">
        <v>0.13180539999999999</v>
      </c>
      <c r="V35">
        <v>-3.6054460000000003E-2</v>
      </c>
      <c r="W35">
        <v>0.1220128</v>
      </c>
      <c r="X35">
        <v>0.99187340000000002</v>
      </c>
      <c r="Y35">
        <v>-4.1994419999999998E-2</v>
      </c>
      <c r="Z35">
        <v>1.2655450000000001E-3</v>
      </c>
      <c r="AA35">
        <v>0.99911700000000003</v>
      </c>
      <c r="AB35">
        <v>10</v>
      </c>
      <c r="AC35">
        <v>17.235599999999899</v>
      </c>
      <c r="AD35">
        <v>-1.1083483794869999</v>
      </c>
      <c r="AE35">
        <v>0.75040000000001295</v>
      </c>
      <c r="AF35">
        <v>-0.72728494476675898</v>
      </c>
      <c r="AG35">
        <v>-1.1083483794869999</v>
      </c>
      <c r="AH35">
        <v>17.165614447459799</v>
      </c>
      <c r="AI35">
        <v>93.691040018756496</v>
      </c>
      <c r="AJ35">
        <v>92.426097273047205</v>
      </c>
      <c r="AK35">
        <v>17.216727298764901</v>
      </c>
      <c r="AL35">
        <v>82.991718351730697</v>
      </c>
      <c r="AM35">
        <v>92.081777038755405</v>
      </c>
      <c r="AN35">
        <v>0.99999994453864405</v>
      </c>
    </row>
    <row r="36" spans="1:40" x14ac:dyDescent="0.3">
      <c r="A36" t="str">
        <f>"20200111150719921"</f>
        <v>20200111150719921</v>
      </c>
      <c r="B36" t="str">
        <f>"1578726439910959"</f>
        <v>1578726439910959</v>
      </c>
      <c r="C36" t="s">
        <v>40</v>
      </c>
      <c r="D36">
        <v>5.2479519999999997</v>
      </c>
      <c r="E36">
        <v>0.49453770000000002</v>
      </c>
      <c r="F36" t="s">
        <v>43</v>
      </c>
      <c r="G36">
        <v>-456.47449999999998</v>
      </c>
      <c r="H36" s="1">
        <v>-1.7716919999999999E-6</v>
      </c>
      <c r="I36">
        <v>368.05489999999998</v>
      </c>
      <c r="J36">
        <v>-474.54750000000001</v>
      </c>
      <c r="K36">
        <v>1.1083400000000001</v>
      </c>
      <c r="L36">
        <v>367.22309999999999</v>
      </c>
      <c r="M36">
        <v>0.99999280000000002</v>
      </c>
      <c r="N36">
        <v>0</v>
      </c>
      <c r="O36">
        <v>1.2181970000000001E-3</v>
      </c>
      <c r="P36">
        <v>0.99128000000000005</v>
      </c>
      <c r="Q36">
        <v>0.12633610000000001</v>
      </c>
      <c r="R36">
        <v>3.745946E-2</v>
      </c>
      <c r="S36">
        <v>3.0443419999999999</v>
      </c>
      <c r="T36">
        <v>-0.1855618</v>
      </c>
      <c r="U36">
        <v>0.13931270000000001</v>
      </c>
      <c r="V36">
        <v>-3.6251560000000002E-2</v>
      </c>
      <c r="W36">
        <v>0.1227762</v>
      </c>
      <c r="X36">
        <v>0.99177210000000005</v>
      </c>
      <c r="Y36">
        <v>-4.441639E-2</v>
      </c>
      <c r="Z36">
        <v>1.2775499999999999E-3</v>
      </c>
      <c r="AA36">
        <v>0.99901229999999996</v>
      </c>
      <c r="AB36">
        <v>10</v>
      </c>
      <c r="AC36">
        <v>18.073</v>
      </c>
      <c r="AD36">
        <v>-1.1083417716920001</v>
      </c>
      <c r="AE36">
        <v>0.83179999999998699</v>
      </c>
      <c r="AF36">
        <v>-0.80675508849325395</v>
      </c>
      <c r="AG36">
        <v>-1.1083417716920001</v>
      </c>
      <c r="AH36">
        <v>18.006423439363299</v>
      </c>
      <c r="AI36">
        <v>93.518738041425905</v>
      </c>
      <c r="AJ36">
        <v>92.565349505317997</v>
      </c>
      <c r="AK36">
        <v>18.058531510987802</v>
      </c>
      <c r="AL36">
        <v>82.947648042406897</v>
      </c>
      <c r="AM36">
        <v>92.093361061060605</v>
      </c>
      <c r="AN36">
        <v>1.00000003461364</v>
      </c>
    </row>
    <row r="37" spans="1:40" x14ac:dyDescent="0.3">
      <c r="A37" t="str">
        <f>"20200111150719944"</f>
        <v>20200111150719944</v>
      </c>
      <c r="B37" t="str">
        <f>"1578726439941213"</f>
        <v>1578726439941213</v>
      </c>
      <c r="C37" t="s">
        <v>40</v>
      </c>
      <c r="D37">
        <v>5.167573</v>
      </c>
      <c r="E37">
        <v>0.49432409999999999</v>
      </c>
      <c r="F37" t="s">
        <v>43</v>
      </c>
      <c r="G37">
        <v>-454.9554</v>
      </c>
      <c r="H37" s="1">
        <v>-2.3996190000000002E-6</v>
      </c>
      <c r="I37">
        <v>368.18880000000001</v>
      </c>
      <c r="J37">
        <v>-474.43540000000002</v>
      </c>
      <c r="K37">
        <v>1.108322</v>
      </c>
      <c r="L37">
        <v>367.22320000000002</v>
      </c>
      <c r="M37">
        <v>0.99999260000000001</v>
      </c>
      <c r="N37">
        <v>0</v>
      </c>
      <c r="O37">
        <v>1.269119E-3</v>
      </c>
      <c r="P37">
        <v>0.99119279999999998</v>
      </c>
      <c r="Q37">
        <v>0.1269796</v>
      </c>
      <c r="R37">
        <v>3.7592140000000003E-2</v>
      </c>
      <c r="S37">
        <v>3.0426639999999998</v>
      </c>
      <c r="T37">
        <v>-0.1721259</v>
      </c>
      <c r="U37">
        <v>0.14999390000000001</v>
      </c>
      <c r="V37">
        <v>-3.633401E-2</v>
      </c>
      <c r="W37">
        <v>0.1233663</v>
      </c>
      <c r="X37">
        <v>0.99169580000000002</v>
      </c>
      <c r="Y37">
        <v>-4.7895119999999999E-2</v>
      </c>
      <c r="Z37">
        <v>1.2811369999999999E-3</v>
      </c>
      <c r="AA37">
        <v>0.9988515</v>
      </c>
      <c r="AB37">
        <v>11</v>
      </c>
      <c r="AC37">
        <v>19.48</v>
      </c>
      <c r="AD37">
        <v>-1.108324399619</v>
      </c>
      <c r="AE37">
        <v>0.96559999999999402</v>
      </c>
      <c r="AF37">
        <v>-0.93784815569912305</v>
      </c>
      <c r="AG37">
        <v>-1.108324399619</v>
      </c>
      <c r="AH37">
        <v>19.418504246405799</v>
      </c>
      <c r="AI37">
        <v>93.262856698142997</v>
      </c>
      <c r="AJ37">
        <v>92.765044049627505</v>
      </c>
      <c r="AK37">
        <v>19.4727052385029</v>
      </c>
      <c r="AL37">
        <v>82.913578428917205</v>
      </c>
      <c r="AM37">
        <v>92.098279202110405</v>
      </c>
      <c r="AN37">
        <v>0.999999981998004</v>
      </c>
    </row>
    <row r="38" spans="1:40" x14ac:dyDescent="0.3">
      <c r="A38" t="str">
        <f>"20200111150719965"</f>
        <v>20200111150719965</v>
      </c>
      <c r="B38" t="str">
        <f>"1578726439960733"</f>
        <v>1578726439960733</v>
      </c>
      <c r="C38" t="s">
        <v>40</v>
      </c>
      <c r="D38">
        <v>5.1577270000000004</v>
      </c>
      <c r="E38">
        <v>0.49408220000000003</v>
      </c>
      <c r="F38" t="s">
        <v>43</v>
      </c>
      <c r="G38">
        <v>-453.09589999999997</v>
      </c>
      <c r="H38" s="1">
        <v>-3.1792629999999998E-6</v>
      </c>
      <c r="I38">
        <v>368.29090000000002</v>
      </c>
      <c r="J38">
        <v>-474.3279</v>
      </c>
      <c r="K38">
        <v>1.108314</v>
      </c>
      <c r="L38">
        <v>367.22340000000003</v>
      </c>
      <c r="M38">
        <v>0.9999924</v>
      </c>
      <c r="N38">
        <v>0</v>
      </c>
      <c r="O38">
        <v>1.3174269999999999E-3</v>
      </c>
      <c r="P38">
        <v>0.99116179999999998</v>
      </c>
      <c r="Q38">
        <v>0.1272615</v>
      </c>
      <c r="R38">
        <v>3.7456259999999998E-2</v>
      </c>
      <c r="S38">
        <v>3.0411069999999998</v>
      </c>
      <c r="T38">
        <v>-0.15794729999999901</v>
      </c>
      <c r="U38">
        <v>0.15216060000000001</v>
      </c>
      <c r="V38">
        <v>-3.6150410000000001E-2</v>
      </c>
      <c r="W38">
        <v>0.1236</v>
      </c>
      <c r="X38">
        <v>0.99167340000000004</v>
      </c>
      <c r="Y38">
        <v>-4.8592719999999999E-2</v>
      </c>
      <c r="Z38">
        <v>1.1919189999999901E-3</v>
      </c>
      <c r="AA38">
        <v>0.99881799999999998</v>
      </c>
      <c r="AB38">
        <v>11</v>
      </c>
      <c r="AC38">
        <v>21.231999999999999</v>
      </c>
      <c r="AD38">
        <v>-1.108317179263</v>
      </c>
      <c r="AE38">
        <v>1.0674999999999899</v>
      </c>
      <c r="AF38">
        <v>-1.0367094961326899</v>
      </c>
      <c r="AG38">
        <v>-1.108317179263</v>
      </c>
      <c r="AH38">
        <v>21.175831971122999</v>
      </c>
      <c r="AI38">
        <v>92.992479834188998</v>
      </c>
      <c r="AJ38">
        <v>92.802803255311503</v>
      </c>
      <c r="AK38">
        <v>21.2301435044245</v>
      </c>
      <c r="AL38">
        <v>82.900085066449705</v>
      </c>
      <c r="AM38">
        <v>92.087732873012001</v>
      </c>
      <c r="AN38">
        <v>0.99999997220536296</v>
      </c>
    </row>
    <row r="39" spans="1:40" x14ac:dyDescent="0.3">
      <c r="A39" t="str">
        <f>"20200111150719988"</f>
        <v>20200111150719988</v>
      </c>
      <c r="B39" t="str">
        <f>"1578726439981229"</f>
        <v>1578726439981229</v>
      </c>
      <c r="C39" t="s">
        <v>40</v>
      </c>
      <c r="D39">
        <v>5.2026760000000003</v>
      </c>
      <c r="E39">
        <v>0.49408800000000003</v>
      </c>
      <c r="F39" t="s">
        <v>43</v>
      </c>
      <c r="G39">
        <v>-452.19819999999999</v>
      </c>
      <c r="H39" s="1">
        <v>-3.5545130000000002E-6</v>
      </c>
      <c r="I39">
        <v>368.34640000000002</v>
      </c>
      <c r="J39">
        <v>-474.21120000000002</v>
      </c>
      <c r="K39">
        <v>1.108303</v>
      </c>
      <c r="L39">
        <v>367.22359999999998</v>
      </c>
      <c r="M39">
        <v>0.99999210000000005</v>
      </c>
      <c r="N39">
        <v>0</v>
      </c>
      <c r="O39">
        <v>1.3690079999999999E-3</v>
      </c>
      <c r="P39">
        <v>0.99109009999999997</v>
      </c>
      <c r="Q39">
        <v>0.12790099999999999</v>
      </c>
      <c r="R39">
        <v>3.7175069999999998E-2</v>
      </c>
      <c r="S39">
        <v>3.0404659999999999</v>
      </c>
      <c r="T39">
        <v>-0.15227499999999999</v>
      </c>
      <c r="U39">
        <v>0.15429689999999999</v>
      </c>
      <c r="V39">
        <v>-3.5818160000000002E-2</v>
      </c>
      <c r="W39">
        <v>0.1241901</v>
      </c>
      <c r="X39">
        <v>0.99161180000000004</v>
      </c>
      <c r="Y39">
        <v>-4.9255380000000001E-2</v>
      </c>
      <c r="Z39">
        <v>1.163383E-3</v>
      </c>
      <c r="AA39">
        <v>0.99878560000000005</v>
      </c>
      <c r="AB39">
        <v>11</v>
      </c>
      <c r="AC39">
        <v>22.013000000000002</v>
      </c>
      <c r="AD39">
        <v>-1.108306554513</v>
      </c>
      <c r="AE39">
        <v>1.12280000000004</v>
      </c>
      <c r="AF39">
        <v>-1.08990712526461</v>
      </c>
      <c r="AG39">
        <v>-1.108306554513</v>
      </c>
      <c r="AH39">
        <v>21.958997019583101</v>
      </c>
      <c r="AI39">
        <v>92.885813673966993</v>
      </c>
      <c r="AJ39">
        <v>92.841471963417504</v>
      </c>
      <c r="AK39">
        <v>22.013945377113501</v>
      </c>
      <c r="AL39">
        <v>82.866012804450605</v>
      </c>
      <c r="AM39">
        <v>92.068690142370698</v>
      </c>
      <c r="AN39">
        <v>1.00000004171151</v>
      </c>
    </row>
    <row r="40" spans="1:40" x14ac:dyDescent="0.3">
      <c r="A40" t="str">
        <f>"20200111150720012"</f>
        <v>20200111150720012</v>
      </c>
      <c r="B40" t="str">
        <f>"1578726440001725"</f>
        <v>1578726440001725</v>
      </c>
      <c r="C40" t="s">
        <v>40</v>
      </c>
      <c r="D40">
        <v>5.2078959999999999</v>
      </c>
      <c r="E40">
        <v>0.49396519999999999</v>
      </c>
      <c r="F40" t="s">
        <v>43</v>
      </c>
      <c r="G40">
        <v>-450.86180000000002</v>
      </c>
      <c r="H40" s="1">
        <v>-4.1178529999999998E-6</v>
      </c>
      <c r="I40">
        <v>368.40260000000001</v>
      </c>
      <c r="J40">
        <v>-474.08280000000002</v>
      </c>
      <c r="K40">
        <v>1.1082939999999999</v>
      </c>
      <c r="L40">
        <v>367.22379999999998</v>
      </c>
      <c r="M40">
        <v>0.99999199999999999</v>
      </c>
      <c r="N40">
        <v>0</v>
      </c>
      <c r="O40">
        <v>1.424696E-3</v>
      </c>
      <c r="P40">
        <v>0.99101309999999998</v>
      </c>
      <c r="Q40">
        <v>0.12845790000000001</v>
      </c>
      <c r="R40">
        <v>3.7310990000000002E-2</v>
      </c>
      <c r="S40">
        <v>3.0398559999999999</v>
      </c>
      <c r="T40">
        <v>-0.1442898</v>
      </c>
      <c r="U40">
        <v>0.15350339999999901</v>
      </c>
      <c r="V40">
        <v>-3.5899559999999997E-2</v>
      </c>
      <c r="W40">
        <v>0.124694899999999</v>
      </c>
      <c r="X40">
        <v>0.99154540000000002</v>
      </c>
      <c r="Y40">
        <v>-4.8956359999999997E-2</v>
      </c>
      <c r="Z40">
        <v>1.092946E-3</v>
      </c>
      <c r="AA40">
        <v>0.99880029999999997</v>
      </c>
      <c r="AB40">
        <v>12</v>
      </c>
      <c r="AC40">
        <v>23.221</v>
      </c>
      <c r="AD40">
        <v>-1.108298117853</v>
      </c>
      <c r="AE40">
        <v>1.1788000000000201</v>
      </c>
      <c r="AF40">
        <v>-1.1431183905715101</v>
      </c>
      <c r="AG40">
        <v>-1.108298117853</v>
      </c>
      <c r="AH40">
        <v>23.170010548211199</v>
      </c>
      <c r="AI40">
        <v>92.735237211074804</v>
      </c>
      <c r="AJ40">
        <v>92.824461235261495</v>
      </c>
      <c r="AK40">
        <v>23.224651411315499</v>
      </c>
      <c r="AL40">
        <v>82.836862567548707</v>
      </c>
      <c r="AM40">
        <v>92.073526054369097</v>
      </c>
      <c r="AN40">
        <v>0.99999993837767998</v>
      </c>
    </row>
    <row r="41" spans="1:40" x14ac:dyDescent="0.3">
      <c r="A41" t="str">
        <f>"20200111150720033"</f>
        <v>20200111150720033</v>
      </c>
      <c r="B41" t="str">
        <f>"1578726440031005"</f>
        <v>1578726440031005</v>
      </c>
      <c r="C41" t="s">
        <v>40</v>
      </c>
      <c r="D41">
        <v>5.2865190000000002</v>
      </c>
      <c r="E41">
        <v>0.49388330000000003</v>
      </c>
      <c r="F41" t="s">
        <v>43</v>
      </c>
      <c r="G41">
        <v>-449.21069999999997</v>
      </c>
      <c r="H41" s="1">
        <v>-5.8623609999999997E-7</v>
      </c>
      <c r="I41">
        <v>368.49299999999999</v>
      </c>
      <c r="J41">
        <v>-473.964</v>
      </c>
      <c r="K41">
        <v>1.108279</v>
      </c>
      <c r="L41">
        <v>367.22410000000002</v>
      </c>
      <c r="M41">
        <v>0.99999159999999998</v>
      </c>
      <c r="N41">
        <v>0</v>
      </c>
      <c r="O41">
        <v>1.475627E-3</v>
      </c>
      <c r="P41">
        <v>0.99101439999999996</v>
      </c>
      <c r="Q41">
        <v>0.12853829999999999</v>
      </c>
      <c r="R41">
        <v>3.6993789999999999E-2</v>
      </c>
      <c r="S41">
        <v>3.0388790000000001</v>
      </c>
      <c r="T41">
        <v>-0.1354117</v>
      </c>
      <c r="U41">
        <v>0.1550598</v>
      </c>
      <c r="V41">
        <v>-3.5531559999999997E-2</v>
      </c>
      <c r="W41">
        <v>0.1247299</v>
      </c>
      <c r="X41">
        <v>0.9915543</v>
      </c>
      <c r="Y41">
        <v>-4.9437790000000002E-2</v>
      </c>
      <c r="Z41">
        <v>1.034529E-3</v>
      </c>
      <c r="AA41">
        <v>0.99877669999999996</v>
      </c>
      <c r="AB41">
        <v>12</v>
      </c>
      <c r="AC41">
        <v>24.753299999999999</v>
      </c>
      <c r="AD41">
        <v>-1.1082795862360999</v>
      </c>
      <c r="AE41">
        <v>1.2689000000000299</v>
      </c>
      <c r="AF41">
        <v>-1.22991266564624</v>
      </c>
      <c r="AG41">
        <v>-1.1082795862360999</v>
      </c>
      <c r="AH41">
        <v>24.705749602754601</v>
      </c>
      <c r="AI41">
        <v>92.565346882562906</v>
      </c>
      <c r="AJ41">
        <v>92.849971296610903</v>
      </c>
      <c r="AK41">
        <v>24.761159751522001</v>
      </c>
      <c r="AL41">
        <v>82.834841770250804</v>
      </c>
      <c r="AM41">
        <v>92.052270572592704</v>
      </c>
      <c r="AN41">
        <v>0.99999998477926599</v>
      </c>
    </row>
    <row r="42" spans="1:40" x14ac:dyDescent="0.3">
      <c r="A42" t="str">
        <f>"20200111150720057"</f>
        <v>20200111150720057</v>
      </c>
      <c r="B42" t="str">
        <f>"1578726440050524"</f>
        <v>1578726440050524</v>
      </c>
      <c r="C42" t="s">
        <v>40</v>
      </c>
      <c r="D42">
        <v>5.2082620000000004</v>
      </c>
      <c r="E42">
        <v>0.49374190000000001</v>
      </c>
      <c r="F42" t="s">
        <v>43</v>
      </c>
      <c r="G42">
        <v>-450.0283</v>
      </c>
      <c r="H42" s="1">
        <v>-4.4679750000000002E-6</v>
      </c>
      <c r="I42">
        <v>368.44479999999999</v>
      </c>
      <c r="J42">
        <v>-473.8349</v>
      </c>
      <c r="K42">
        <v>1.108266</v>
      </c>
      <c r="L42">
        <v>367.22430000000003</v>
      </c>
      <c r="M42">
        <v>0.99999139999999997</v>
      </c>
      <c r="N42">
        <v>0</v>
      </c>
      <c r="O42">
        <v>1.5304870000000001E-3</v>
      </c>
      <c r="P42">
        <v>0.99108510000000005</v>
      </c>
      <c r="Q42">
        <v>0.1280869</v>
      </c>
      <c r="R42">
        <v>3.666403E-2</v>
      </c>
      <c r="S42">
        <v>3.0396730000000001</v>
      </c>
      <c r="T42">
        <v>-0.14074400000000001</v>
      </c>
      <c r="U42">
        <v>0.15502929999999901</v>
      </c>
      <c r="V42">
        <v>-3.5147959999999999E-2</v>
      </c>
      <c r="W42">
        <v>0.1242313</v>
      </c>
      <c r="X42">
        <v>0.99163060000000003</v>
      </c>
      <c r="Y42">
        <v>-4.9356089999999998E-2</v>
      </c>
      <c r="Z42">
        <v>1.0705179999999999E-3</v>
      </c>
      <c r="AA42">
        <v>0.99878069999999997</v>
      </c>
      <c r="AB42">
        <v>12</v>
      </c>
      <c r="AC42">
        <v>23.8066</v>
      </c>
      <c r="AD42">
        <v>-1.108270467975</v>
      </c>
      <c r="AE42">
        <v>1.22049999999995</v>
      </c>
      <c r="AF42">
        <v>-1.1815087676842</v>
      </c>
      <c r="AG42">
        <v>-1.108270467975</v>
      </c>
      <c r="AH42">
        <v>23.757088958704401</v>
      </c>
      <c r="AI42">
        <v>92.667625005403195</v>
      </c>
      <c r="AJ42">
        <v>92.847139095014498</v>
      </c>
      <c r="AK42">
        <v>23.812255294072699</v>
      </c>
      <c r="AL42">
        <v>82.863633645946607</v>
      </c>
      <c r="AM42">
        <v>92.029976750579394</v>
      </c>
      <c r="AN42">
        <v>1.0000000209241</v>
      </c>
    </row>
    <row r="43" spans="1:40" x14ac:dyDescent="0.3">
      <c r="A43" t="str">
        <f>"20200111150720076"</f>
        <v>20200111150720076</v>
      </c>
      <c r="B43" t="str">
        <f>"1578726440071021"</f>
        <v>1578726440071021</v>
      </c>
      <c r="C43" t="s">
        <v>40</v>
      </c>
      <c r="D43">
        <v>5.163284</v>
      </c>
      <c r="E43">
        <v>0.49373810000000001</v>
      </c>
      <c r="F43" t="s">
        <v>43</v>
      </c>
      <c r="G43">
        <v>-449.72489999999999</v>
      </c>
      <c r="H43" s="1">
        <v>-3.9876870000000001E-7</v>
      </c>
      <c r="I43">
        <v>368.4554</v>
      </c>
      <c r="J43">
        <v>-473.72320000000002</v>
      </c>
      <c r="K43">
        <v>1.1082529999999999</v>
      </c>
      <c r="L43">
        <v>367.22449999999998</v>
      </c>
      <c r="M43">
        <v>0.99999099999999996</v>
      </c>
      <c r="N43">
        <v>0</v>
      </c>
      <c r="O43">
        <v>1.577377E-3</v>
      </c>
      <c r="P43">
        <v>0.99103220000000003</v>
      </c>
      <c r="Q43">
        <v>0.1284778</v>
      </c>
      <c r="R43">
        <v>3.6717689999999997E-2</v>
      </c>
      <c r="S43">
        <v>3.0392760000000001</v>
      </c>
      <c r="T43">
        <v>-0.13970659999999999</v>
      </c>
      <c r="U43">
        <v>0.15518189999999901</v>
      </c>
      <c r="V43">
        <v>-3.5154900000000003E-2</v>
      </c>
      <c r="W43">
        <v>0.12458420000000001</v>
      </c>
      <c r="X43">
        <v>0.99158599999999997</v>
      </c>
      <c r="Y43">
        <v>-4.9366680000000003E-2</v>
      </c>
      <c r="Z43">
        <v>1.060863E-3</v>
      </c>
      <c r="AA43">
        <v>0.99878009999999995</v>
      </c>
      <c r="AB43">
        <v>12</v>
      </c>
      <c r="AC43">
        <v>23.9983</v>
      </c>
      <c r="AD43">
        <v>-1.1082533987687</v>
      </c>
      <c r="AE43">
        <v>1.2309000000000101</v>
      </c>
      <c r="AF43">
        <v>-1.1905115400400199</v>
      </c>
      <c r="AG43">
        <v>-1.1082533987687</v>
      </c>
      <c r="AH43">
        <v>23.949270637675198</v>
      </c>
      <c r="AI43">
        <v>92.646211454212605</v>
      </c>
      <c r="AJ43">
        <v>92.845814649176404</v>
      </c>
      <c r="AK43">
        <v>24.0044393269133</v>
      </c>
      <c r="AL43">
        <v>82.843255089491194</v>
      </c>
      <c r="AM43">
        <v>92.0304684828657</v>
      </c>
      <c r="AN43">
        <v>0.99999994263982295</v>
      </c>
    </row>
    <row r="44" spans="1:40" x14ac:dyDescent="0.3">
      <c r="A44" t="str">
        <f>"20200111150720102"</f>
        <v>20200111150720102</v>
      </c>
      <c r="B44" t="str">
        <f>"1578726440090541"</f>
        <v>1578726440090541</v>
      </c>
      <c r="C44" t="s">
        <v>40</v>
      </c>
      <c r="D44">
        <v>5.204364</v>
      </c>
      <c r="E44">
        <v>0.49365300000000001</v>
      </c>
      <c r="F44" t="s">
        <v>43</v>
      </c>
      <c r="G44">
        <v>-449.14519999999999</v>
      </c>
      <c r="H44" s="1">
        <v>-6.1508119999999898E-7</v>
      </c>
      <c r="I44">
        <v>368.47899999999998</v>
      </c>
      <c r="J44">
        <v>-473.57839999999999</v>
      </c>
      <c r="K44">
        <v>1.1082449999999999</v>
      </c>
      <c r="L44">
        <v>367.22480000000002</v>
      </c>
      <c r="M44">
        <v>0.99999090000000002</v>
      </c>
      <c r="N44">
        <v>0</v>
      </c>
      <c r="O44">
        <v>1.637061E-3</v>
      </c>
      <c r="P44">
        <v>0.9910561</v>
      </c>
      <c r="Q44">
        <v>0.12830610000000001</v>
      </c>
      <c r="R44">
        <v>3.6681409999999998E-2</v>
      </c>
      <c r="S44">
        <v>3.0391240000000002</v>
      </c>
      <c r="T44">
        <v>-0.13703789999999999</v>
      </c>
      <c r="U44">
        <v>0.155120799999999</v>
      </c>
      <c r="V44">
        <v>-3.5059420000000001E-2</v>
      </c>
      <c r="W44">
        <v>0.12436419999999999</v>
      </c>
      <c r="X44">
        <v>0.99161710000000003</v>
      </c>
      <c r="Y44">
        <v>-4.9291649999999999E-2</v>
      </c>
      <c r="Z44">
        <v>1.0362940000000001E-3</v>
      </c>
      <c r="AA44">
        <v>0.99878389999999995</v>
      </c>
      <c r="AB44">
        <v>13</v>
      </c>
      <c r="AC44">
        <v>24.433199999999999</v>
      </c>
      <c r="AD44">
        <v>-1.1082456150811999</v>
      </c>
      <c r="AE44">
        <v>1.25420000000002</v>
      </c>
      <c r="AF44">
        <v>-1.2117129857892399</v>
      </c>
      <c r="AG44">
        <v>-1.1082456150811999</v>
      </c>
      <c r="AH44">
        <v>24.385183101569702</v>
      </c>
      <c r="AI44">
        <v>92.598957149601702</v>
      </c>
      <c r="AJ44">
        <v>92.844718580932394</v>
      </c>
      <c r="AK44">
        <v>24.440409399197002</v>
      </c>
      <c r="AL44">
        <v>82.8559596974751</v>
      </c>
      <c r="AM44">
        <v>92.024894912930705</v>
      </c>
      <c r="AN44">
        <v>1.00000004509239</v>
      </c>
    </row>
    <row r="45" spans="1:40" x14ac:dyDescent="0.3">
      <c r="A45" t="str">
        <f>"20200111150720123"</f>
        <v>20200111150720123</v>
      </c>
      <c r="B45" t="str">
        <f>"1578726440120797"</f>
        <v>1578726440120797</v>
      </c>
      <c r="C45" t="s">
        <v>40</v>
      </c>
      <c r="D45">
        <v>5.122007</v>
      </c>
      <c r="E45">
        <v>0.4942491</v>
      </c>
      <c r="F45" t="s">
        <v>43</v>
      </c>
      <c r="G45">
        <v>-448.64569999999998</v>
      </c>
      <c r="H45" s="1">
        <v>-8.1813450000000005E-7</v>
      </c>
      <c r="I45">
        <v>368.50310000000002</v>
      </c>
      <c r="J45">
        <v>-473.4436</v>
      </c>
      <c r="K45">
        <v>1.108233</v>
      </c>
      <c r="L45">
        <v>367.2251</v>
      </c>
      <c r="M45">
        <v>0.99999059999999995</v>
      </c>
      <c r="N45">
        <v>0</v>
      </c>
      <c r="O45">
        <v>1.6920839999999999E-3</v>
      </c>
      <c r="P45">
        <v>0.99102069999999998</v>
      </c>
      <c r="Q45">
        <v>0.1286812</v>
      </c>
      <c r="R45">
        <v>3.6326289999999997E-2</v>
      </c>
      <c r="S45">
        <v>3.038818</v>
      </c>
      <c r="T45">
        <v>-0.1350741</v>
      </c>
      <c r="U45">
        <v>0.15579219999999999</v>
      </c>
      <c r="V45">
        <v>-3.4650430000000003E-2</v>
      </c>
      <c r="W45">
        <v>0.1246855</v>
      </c>
      <c r="X45">
        <v>0.99159109999999995</v>
      </c>
      <c r="Y45">
        <v>-4.9463140000000003E-2</v>
      </c>
      <c r="Z45">
        <v>1.022919E-3</v>
      </c>
      <c r="AA45">
        <v>0.99877539999999998</v>
      </c>
      <c r="AB45">
        <v>13</v>
      </c>
      <c r="AC45">
        <v>24.797899999999998</v>
      </c>
      <c r="AD45">
        <v>-1.1082338181344999</v>
      </c>
      <c r="AE45">
        <v>1.27800000000002</v>
      </c>
      <c r="AF45">
        <v>-1.2335804609907199</v>
      </c>
      <c r="AG45">
        <v>-1.1082338181344999</v>
      </c>
      <c r="AH45">
        <v>24.7507245004346</v>
      </c>
      <c r="AI45">
        <v>92.560578622303296</v>
      </c>
      <c r="AJ45">
        <v>92.853270738935095</v>
      </c>
      <c r="AK45">
        <v>24.806214266707599</v>
      </c>
      <c r="AL45">
        <v>82.837405956804105</v>
      </c>
      <c r="AM45">
        <v>92.001345004604701</v>
      </c>
      <c r="AN45">
        <v>1.00000001790432</v>
      </c>
    </row>
    <row r="46" spans="1:40" x14ac:dyDescent="0.3">
      <c r="A46" t="str">
        <f>"20200111150720144"</f>
        <v>20200111150720144</v>
      </c>
      <c r="B46" t="str">
        <f>"1578726440141293"</f>
        <v>1578726440141293</v>
      </c>
      <c r="C46" t="s">
        <v>40</v>
      </c>
      <c r="D46">
        <v>5.1808160000000001</v>
      </c>
      <c r="E46">
        <v>0.52193979999999995</v>
      </c>
      <c r="F46" t="s">
        <v>43</v>
      </c>
      <c r="G46">
        <v>-447.327</v>
      </c>
      <c r="H46" s="1">
        <v>-1.4394449999999999E-6</v>
      </c>
      <c r="I46">
        <v>368.51459999999997</v>
      </c>
      <c r="J46">
        <v>-473.31689999999998</v>
      </c>
      <c r="K46">
        <v>1.1082240000000001</v>
      </c>
      <c r="L46">
        <v>367.22539999999998</v>
      </c>
      <c r="M46">
        <v>0.99999020000000005</v>
      </c>
      <c r="N46">
        <v>0</v>
      </c>
      <c r="O46">
        <v>1.7436280000000001E-3</v>
      </c>
      <c r="P46">
        <v>0.99095339999999998</v>
      </c>
      <c r="Q46">
        <v>0.12912969999999999</v>
      </c>
      <c r="R46">
        <v>3.656305E-2</v>
      </c>
      <c r="S46">
        <v>3.0383909999999998</v>
      </c>
      <c r="T46">
        <v>-0.1289312</v>
      </c>
      <c r="U46">
        <v>0.1500244</v>
      </c>
      <c r="V46">
        <v>-3.4836430000000002E-2</v>
      </c>
      <c r="W46">
        <v>0.1250715</v>
      </c>
      <c r="X46">
        <v>0.99153599999999997</v>
      </c>
      <c r="Y46">
        <v>-4.7533489999999998E-2</v>
      </c>
      <c r="Z46">
        <v>9.3354150000000003E-4</v>
      </c>
      <c r="AA46">
        <v>0.99886920000000001</v>
      </c>
      <c r="AB46">
        <v>13</v>
      </c>
      <c r="AC46">
        <v>25.989899999999899</v>
      </c>
      <c r="AD46">
        <v>-1.108225439445</v>
      </c>
      <c r="AE46">
        <v>1.2891999999999899</v>
      </c>
      <c r="AF46">
        <v>-1.2416289312548301</v>
      </c>
      <c r="AG46">
        <v>-1.108225439445</v>
      </c>
      <c r="AH46">
        <v>25.9450503112595</v>
      </c>
      <c r="AI46">
        <v>92.443071473831395</v>
      </c>
      <c r="AJ46">
        <v>92.739862233196604</v>
      </c>
      <c r="AK46">
        <v>25.998373827632999</v>
      </c>
      <c r="AL46">
        <v>82.815115514128095</v>
      </c>
      <c r="AM46">
        <v>92.0121909352861</v>
      </c>
      <c r="AN46">
        <v>1.00000004813169</v>
      </c>
    </row>
    <row r="47" spans="1:40" x14ac:dyDescent="0.3">
      <c r="A47" t="str">
        <f>"20200111150720166"</f>
        <v>20200111150720166</v>
      </c>
      <c r="B47" t="str">
        <f>"1578726440160813"</f>
        <v>1578726440160813</v>
      </c>
      <c r="C47" t="s">
        <v>40</v>
      </c>
      <c r="D47">
        <v>5.0015510000000001</v>
      </c>
      <c r="E47">
        <v>0.52051510000000001</v>
      </c>
      <c r="F47" t="s">
        <v>43</v>
      </c>
      <c r="G47">
        <v>-442.8141</v>
      </c>
      <c r="H47" s="1">
        <v>-3.9258060000000003E-6</v>
      </c>
      <c r="I47">
        <v>366.524</v>
      </c>
      <c r="J47">
        <v>-473.1755</v>
      </c>
      <c r="K47">
        <v>1.1082080000000001</v>
      </c>
      <c r="L47">
        <v>367.22559999999999</v>
      </c>
      <c r="M47">
        <v>0.99998969999999998</v>
      </c>
      <c r="N47">
        <v>0</v>
      </c>
      <c r="O47">
        <v>1.8005579999999901E-3</v>
      </c>
      <c r="P47">
        <v>0.99090650000000002</v>
      </c>
      <c r="Q47">
        <v>0.12946299999999999</v>
      </c>
      <c r="R47">
        <v>3.6655439999999997E-2</v>
      </c>
      <c r="S47">
        <v>3.044403</v>
      </c>
      <c r="T47">
        <v>-0.1106095</v>
      </c>
      <c r="U47">
        <v>-7.0007319999999998E-2</v>
      </c>
      <c r="V47">
        <v>-3.487266E-2</v>
      </c>
      <c r="W47">
        <v>0.12532460000000001</v>
      </c>
      <c r="X47">
        <v>0.99150269999999996</v>
      </c>
      <c r="Y47">
        <v>2.477188E-2</v>
      </c>
      <c r="Z47">
        <v>-5.1518790000000005E-4</v>
      </c>
      <c r="AA47">
        <v>0.99969300000000005</v>
      </c>
      <c r="AB47">
        <v>14</v>
      </c>
      <c r="AC47">
        <v>30.3614</v>
      </c>
      <c r="AD47">
        <v>-1.1082119258059999</v>
      </c>
      <c r="AE47">
        <v>-0.70159999999998401</v>
      </c>
      <c r="AF47">
        <v>0.75526110142017999</v>
      </c>
      <c r="AG47">
        <v>-1.1082119258059999</v>
      </c>
      <c r="AH47">
        <v>30.319714102470002</v>
      </c>
      <c r="AI47">
        <v>92.092630168199904</v>
      </c>
      <c r="AJ47">
        <v>88.573062848658694</v>
      </c>
      <c r="AK47">
        <v>30.349359404431201</v>
      </c>
      <c r="AL47">
        <v>82.800498460199293</v>
      </c>
      <c r="AM47">
        <v>92.014349492117702</v>
      </c>
      <c r="AN47">
        <v>0.99999998094396203</v>
      </c>
    </row>
    <row r="48" spans="1:40" x14ac:dyDescent="0.3">
      <c r="A48" t="str">
        <f>"20200111150720189"</f>
        <v>20200111150720189</v>
      </c>
      <c r="B48" t="str">
        <f>"1578726440181309"</f>
        <v>1578726440181309</v>
      </c>
      <c r="C48" t="s">
        <v>40</v>
      </c>
      <c r="D48">
        <v>5.1094629999999999</v>
      </c>
      <c r="E48">
        <v>0.52071619999999996</v>
      </c>
      <c r="F48" t="s">
        <v>44</v>
      </c>
      <c r="G48">
        <v>-412.45350000000002</v>
      </c>
      <c r="H48">
        <v>-0.05</v>
      </c>
      <c r="I48">
        <v>366.07010000000002</v>
      </c>
      <c r="J48">
        <v>-473.03120000000001</v>
      </c>
      <c r="K48">
        <v>1.108193</v>
      </c>
      <c r="L48">
        <v>367.226</v>
      </c>
      <c r="M48">
        <v>0.99998929999999997</v>
      </c>
      <c r="N48">
        <v>0</v>
      </c>
      <c r="O48">
        <v>1.857479E-3</v>
      </c>
      <c r="P48">
        <v>0.990846</v>
      </c>
      <c r="Q48">
        <v>0.12991059999999999</v>
      </c>
      <c r="R48">
        <v>3.6705370000000001E-2</v>
      </c>
      <c r="S48">
        <v>3.037201</v>
      </c>
      <c r="T48">
        <v>-5.7931419999999997E-2</v>
      </c>
      <c r="U48">
        <v>-5.7800289999999997E-2</v>
      </c>
      <c r="V48">
        <v>-3.4866309999999998E-2</v>
      </c>
      <c r="W48">
        <v>0.1256903</v>
      </c>
      <c r="X48">
        <v>0.99145660000000002</v>
      </c>
      <c r="Y48">
        <v>2.0880320000000001E-2</v>
      </c>
      <c r="Z48">
        <v>-2.3452250000000001E-4</v>
      </c>
      <c r="AA48">
        <v>0.99978199999999995</v>
      </c>
      <c r="AB48">
        <v>14</v>
      </c>
      <c r="AC48">
        <v>60.577699999999901</v>
      </c>
      <c r="AD48">
        <v>-1.158193</v>
      </c>
      <c r="AE48">
        <v>-1.15589999999997</v>
      </c>
      <c r="AF48">
        <v>1.2679574994096701</v>
      </c>
      <c r="AG48">
        <v>-1.158193</v>
      </c>
      <c r="AH48">
        <v>60.553321738783197</v>
      </c>
      <c r="AI48">
        <v>91.095512853413993</v>
      </c>
      <c r="AJ48">
        <v>88.800429173776394</v>
      </c>
      <c r="AK48">
        <v>60.577668334512097</v>
      </c>
      <c r="AL48">
        <v>82.779378168058301</v>
      </c>
      <c r="AM48">
        <v>92.014076566685404</v>
      </c>
      <c r="AN48">
        <v>0.99999995038533096</v>
      </c>
    </row>
    <row r="49" spans="1:40" x14ac:dyDescent="0.3">
      <c r="A49" t="str">
        <f>"20200111150720211"</f>
        <v>20200111150720211</v>
      </c>
      <c r="B49" t="str">
        <f>"1578726440200828"</f>
        <v>1578726440200828</v>
      </c>
      <c r="C49" t="s">
        <v>40</v>
      </c>
      <c r="D49">
        <v>5.0360509999999996</v>
      </c>
      <c r="E49">
        <v>0.52123120000000001</v>
      </c>
      <c r="F49" t="s">
        <v>44</v>
      </c>
      <c r="G49">
        <v>-412.46820000000002</v>
      </c>
      <c r="H49">
        <v>-0.05</v>
      </c>
      <c r="I49">
        <v>366.05840000000001</v>
      </c>
      <c r="J49">
        <v>-472.88619999999997</v>
      </c>
      <c r="K49">
        <v>1.108177</v>
      </c>
      <c r="L49">
        <v>367.22629999999998</v>
      </c>
      <c r="M49">
        <v>0.99998889999999996</v>
      </c>
      <c r="N49">
        <v>0</v>
      </c>
      <c r="O49">
        <v>1.9140540000000001E-3</v>
      </c>
      <c r="P49">
        <v>0.99077340000000003</v>
      </c>
      <c r="Q49">
        <v>0.13011710000000001</v>
      </c>
      <c r="R49">
        <v>3.7916650000000003E-2</v>
      </c>
      <c r="S49">
        <v>3.0375670000000001</v>
      </c>
      <c r="T49">
        <v>-5.8089729999999999E-2</v>
      </c>
      <c r="U49">
        <v>-5.8563230000000001E-2</v>
      </c>
      <c r="V49">
        <v>-3.6022060000000002E-2</v>
      </c>
      <c r="W49">
        <v>0.12582180000000001</v>
      </c>
      <c r="X49">
        <v>0.99139860000000002</v>
      </c>
      <c r="Y49">
        <v>2.1185530000000001E-2</v>
      </c>
      <c r="Z49">
        <v>-2.39134E-4</v>
      </c>
      <c r="AA49">
        <v>0.99977550000000004</v>
      </c>
      <c r="AB49">
        <v>14</v>
      </c>
      <c r="AC49">
        <v>60.4179999999999</v>
      </c>
      <c r="AD49">
        <v>-1.158177</v>
      </c>
      <c r="AE49">
        <v>-1.16789999999997</v>
      </c>
      <c r="AF49">
        <v>1.2830709381248999</v>
      </c>
      <c r="AG49">
        <v>-1.158177</v>
      </c>
      <c r="AH49">
        <v>60.3934696213352</v>
      </c>
      <c r="AI49">
        <v>91.098389548726303</v>
      </c>
      <c r="AJ49">
        <v>88.782923177625094</v>
      </c>
      <c r="AK49">
        <v>60.4181993930532</v>
      </c>
      <c r="AL49">
        <v>82.771783470742406</v>
      </c>
      <c r="AM49">
        <v>92.080903145995904</v>
      </c>
      <c r="AN49">
        <v>0.99999994912192003</v>
      </c>
    </row>
    <row r="50" spans="1:40" x14ac:dyDescent="0.3">
      <c r="A50" t="str">
        <f>"20200111150720233"</f>
        <v>20200111150720233</v>
      </c>
      <c r="B50" t="str">
        <f>"1578726440231085"</f>
        <v>1578726440231085</v>
      </c>
      <c r="C50" t="s">
        <v>40</v>
      </c>
      <c r="D50">
        <v>5.0344470000000001</v>
      </c>
      <c r="E50">
        <v>0.5221403</v>
      </c>
      <c r="F50" t="s">
        <v>44</v>
      </c>
      <c r="G50">
        <v>-426.78660000000002</v>
      </c>
      <c r="H50">
        <v>-0.05</v>
      </c>
      <c r="I50">
        <v>366.32260000000002</v>
      </c>
      <c r="J50">
        <v>-472.74090000000001</v>
      </c>
      <c r="K50">
        <v>1.1081669999999999</v>
      </c>
      <c r="L50">
        <v>367.22669999999999</v>
      </c>
      <c r="M50">
        <v>0.9999884</v>
      </c>
      <c r="N50">
        <v>0</v>
      </c>
      <c r="O50">
        <v>1.96999E-3</v>
      </c>
      <c r="P50">
        <v>0.99079300000000003</v>
      </c>
      <c r="Q50">
        <v>0.12980619999999901</v>
      </c>
      <c r="R50">
        <v>3.8465249999999999E-2</v>
      </c>
      <c r="S50">
        <v>3.040222</v>
      </c>
      <c r="T50">
        <v>-7.6380489999999995E-2</v>
      </c>
      <c r="U50">
        <v>-5.960083E-2</v>
      </c>
      <c r="V50">
        <v>-3.651546E-2</v>
      </c>
      <c r="W50">
        <v>0.12544430000000001</v>
      </c>
      <c r="X50">
        <v>0.99142839999999999</v>
      </c>
      <c r="Y50">
        <v>2.156251E-2</v>
      </c>
      <c r="Z50">
        <v>-3.2027310000000002E-4</v>
      </c>
      <c r="AA50">
        <v>0.99976739999999997</v>
      </c>
      <c r="AB50">
        <v>14</v>
      </c>
      <c r="AC50">
        <v>45.954299999999897</v>
      </c>
      <c r="AD50">
        <v>-1.1581669999999999</v>
      </c>
      <c r="AE50">
        <v>-0.90409999999997104</v>
      </c>
      <c r="AF50">
        <v>0.99399751831398397</v>
      </c>
      <c r="AG50">
        <v>-1.1581669999999999</v>
      </c>
      <c r="AH50">
        <v>45.923271937455603</v>
      </c>
      <c r="AI50">
        <v>91.444332823222197</v>
      </c>
      <c r="AJ50">
        <v>88.760041067301799</v>
      </c>
      <c r="AK50">
        <v>45.948626609592999</v>
      </c>
      <c r="AL50">
        <v>82.793585461675306</v>
      </c>
      <c r="AM50">
        <v>92.109316694309896</v>
      </c>
      <c r="AN50">
        <v>0.99999996177402894</v>
      </c>
    </row>
    <row r="51" spans="1:40" x14ac:dyDescent="0.3">
      <c r="A51" t="str">
        <f>"20200111150720256"</f>
        <v>20200111150720256</v>
      </c>
      <c r="B51" t="str">
        <f>"1578726440250605"</f>
        <v>1578726440250605</v>
      </c>
      <c r="C51" t="s">
        <v>40</v>
      </c>
      <c r="D51">
        <v>4.9308589999999999</v>
      </c>
      <c r="E51">
        <v>0.52216300000000004</v>
      </c>
      <c r="F51" t="s">
        <v>44</v>
      </c>
      <c r="G51">
        <v>-433.74740000000003</v>
      </c>
      <c r="H51">
        <v>-0.05</v>
      </c>
      <c r="I51">
        <v>366.38459999999998</v>
      </c>
      <c r="J51">
        <v>-472.58640000000003</v>
      </c>
      <c r="K51">
        <v>1.1081650000000001</v>
      </c>
      <c r="L51">
        <v>367.22710000000001</v>
      </c>
      <c r="M51">
        <v>0.99998819999999999</v>
      </c>
      <c r="N51">
        <v>0</v>
      </c>
      <c r="O51">
        <v>2.0291599999999999E-3</v>
      </c>
      <c r="P51">
        <v>0.99079320000000004</v>
      </c>
      <c r="Q51">
        <v>0.13002459999999999</v>
      </c>
      <c r="R51">
        <v>3.7718340000000003E-2</v>
      </c>
      <c r="S51">
        <v>3.0422669999999998</v>
      </c>
      <c r="T51">
        <v>-9.0360049999999997E-2</v>
      </c>
      <c r="U51">
        <v>-6.5704349999999995E-2</v>
      </c>
      <c r="V51">
        <v>-3.5710569999999997E-2</v>
      </c>
      <c r="W51">
        <v>0.12560370000000001</v>
      </c>
      <c r="X51">
        <v>0.99143760000000003</v>
      </c>
      <c r="Y51">
        <v>2.360949E-2</v>
      </c>
      <c r="Z51">
        <v>-4.1075090000000002E-4</v>
      </c>
      <c r="AA51">
        <v>0.99972119999999998</v>
      </c>
      <c r="AB51">
        <v>15</v>
      </c>
      <c r="AC51">
        <v>38.838999999999999</v>
      </c>
      <c r="AD51">
        <v>-1.1581649999999999</v>
      </c>
      <c r="AE51">
        <v>-0.842500000000029</v>
      </c>
      <c r="AF51">
        <v>0.92049145233540197</v>
      </c>
      <c r="AG51">
        <v>-1.1581649999999999</v>
      </c>
      <c r="AH51">
        <v>38.802722877449298</v>
      </c>
      <c r="AI51">
        <v>91.709148729236702</v>
      </c>
      <c r="AJ51">
        <v>88.641064813556795</v>
      </c>
      <c r="AK51">
        <v>38.830914918208897</v>
      </c>
      <c r="AL51">
        <v>82.784380156724893</v>
      </c>
      <c r="AM51">
        <v>92.0628436937114</v>
      </c>
      <c r="AN51">
        <v>1.0000000244785801</v>
      </c>
    </row>
    <row r="52" spans="1:40" x14ac:dyDescent="0.3">
      <c r="A52" t="str">
        <f>"20200111150720277"</f>
        <v>20200111150720277</v>
      </c>
      <c r="B52" t="str">
        <f>"1578726440271101"</f>
        <v>1578726440271101</v>
      </c>
      <c r="C52" t="s">
        <v>40</v>
      </c>
      <c r="D52">
        <v>4.9937829999999996</v>
      </c>
      <c r="E52">
        <v>0.52248099999999997</v>
      </c>
      <c r="F52" t="s">
        <v>44</v>
      </c>
      <c r="G52">
        <v>-434.83069999999998</v>
      </c>
      <c r="H52">
        <v>-0.05</v>
      </c>
      <c r="I52">
        <v>366.39729999999997</v>
      </c>
      <c r="J52">
        <v>-472.43329999999997</v>
      </c>
      <c r="K52">
        <v>1.1081639999999999</v>
      </c>
      <c r="L52">
        <v>367.22739999999999</v>
      </c>
      <c r="M52">
        <v>0.99998770000000003</v>
      </c>
      <c r="N52">
        <v>0</v>
      </c>
      <c r="O52">
        <v>2.087163E-3</v>
      </c>
      <c r="P52">
        <v>0.99067769999999999</v>
      </c>
      <c r="Q52">
        <v>0.13113159999999999</v>
      </c>
      <c r="R52">
        <v>3.6912790000000001E-2</v>
      </c>
      <c r="S52">
        <v>3.0426639999999998</v>
      </c>
      <c r="T52">
        <v>-9.3334440000000005E-2</v>
      </c>
      <c r="U52">
        <v>-6.6864010000000001E-2</v>
      </c>
      <c r="V52">
        <v>-3.484777E-2</v>
      </c>
      <c r="W52">
        <v>0.12666379999999999</v>
      </c>
      <c r="X52">
        <v>0.99133340000000003</v>
      </c>
      <c r="Y52">
        <v>2.4044530000000001E-2</v>
      </c>
      <c r="Z52">
        <v>-4.3265710000000001E-4</v>
      </c>
      <c r="AA52">
        <v>0.99971080000000001</v>
      </c>
      <c r="AB52">
        <v>15</v>
      </c>
      <c r="AC52">
        <v>37.602600000000002</v>
      </c>
      <c r="AD52">
        <v>-1.158164</v>
      </c>
      <c r="AE52">
        <v>-0.83010000000001505</v>
      </c>
      <c r="AF52">
        <v>0.90772105483256704</v>
      </c>
      <c r="AG52">
        <v>-1.158164</v>
      </c>
      <c r="AH52">
        <v>37.565166820612902</v>
      </c>
      <c r="AI52">
        <v>91.765400114144995</v>
      </c>
      <c r="AJ52">
        <v>88.615779700750906</v>
      </c>
      <c r="AK52">
        <v>37.593976374211302</v>
      </c>
      <c r="AL52">
        <v>82.723151687665194</v>
      </c>
      <c r="AM52">
        <v>92.013256436738899</v>
      </c>
      <c r="AN52">
        <v>0.99999999762998604</v>
      </c>
    </row>
    <row r="53" spans="1:40" x14ac:dyDescent="0.3">
      <c r="A53" t="str">
        <f>"20200111150720301"</f>
        <v>20200111150720301</v>
      </c>
      <c r="B53" t="str">
        <f>"1578726440290620"</f>
        <v>1578726440290620</v>
      </c>
      <c r="C53" t="s">
        <v>40</v>
      </c>
      <c r="D53">
        <v>4.7887680000000001</v>
      </c>
      <c r="E53">
        <v>0.52197450000000001</v>
      </c>
      <c r="F53" t="s">
        <v>44</v>
      </c>
      <c r="G53">
        <v>-434.54410000000001</v>
      </c>
      <c r="H53">
        <v>-0.05</v>
      </c>
      <c r="I53">
        <v>366.32920000000001</v>
      </c>
      <c r="J53">
        <v>-472.27010000000001</v>
      </c>
      <c r="K53">
        <v>1.108158</v>
      </c>
      <c r="L53">
        <v>367.2278</v>
      </c>
      <c r="M53">
        <v>0.99998750000000003</v>
      </c>
      <c r="N53">
        <v>0</v>
      </c>
      <c r="O53">
        <v>2.1478729999999998E-3</v>
      </c>
      <c r="P53">
        <v>0.99064700000000006</v>
      </c>
      <c r="Q53">
        <v>0.13132260000000001</v>
      </c>
      <c r="R53">
        <v>3.7056749999999999E-2</v>
      </c>
      <c r="S53">
        <v>3.0432429999999999</v>
      </c>
      <c r="T53">
        <v>-9.3023179999999997E-2</v>
      </c>
      <c r="U53">
        <v>-7.2143550000000001E-2</v>
      </c>
      <c r="V53">
        <v>-3.4932159999999997E-2</v>
      </c>
      <c r="W53">
        <v>0.12681980000000001</v>
      </c>
      <c r="X53">
        <v>0.99131049999999998</v>
      </c>
      <c r="Y53">
        <v>2.5833660000000001E-2</v>
      </c>
      <c r="Z53">
        <v>-4.6031339999999998E-4</v>
      </c>
      <c r="AA53">
        <v>0.99966619999999995</v>
      </c>
      <c r="AB53">
        <v>15</v>
      </c>
      <c r="AC53">
        <v>37.725999999999999</v>
      </c>
      <c r="AD53">
        <v>-1.158158</v>
      </c>
      <c r="AE53">
        <v>-0.89859999999998696</v>
      </c>
      <c r="AF53">
        <v>0.97870755897843298</v>
      </c>
      <c r="AG53">
        <v>-1.158158</v>
      </c>
      <c r="AH53">
        <v>37.6884838516443</v>
      </c>
      <c r="AI53">
        <v>91.759538751208694</v>
      </c>
      <c r="AJ53">
        <v>88.5124577357699</v>
      </c>
      <c r="AK53">
        <v>37.718974183752898</v>
      </c>
      <c r="AL53">
        <v>82.714140989061903</v>
      </c>
      <c r="AM53">
        <v>92.018174446088693</v>
      </c>
      <c r="AN53">
        <v>1.0000000124422701</v>
      </c>
    </row>
    <row r="54" spans="1:40" x14ac:dyDescent="0.3">
      <c r="A54" t="str">
        <f>"20200111150720547"</f>
        <v>20200111150720547</v>
      </c>
      <c r="B54" t="str">
        <f>"1578726440541454"</f>
        <v>1578726440541454</v>
      </c>
      <c r="C54" t="s">
        <v>40</v>
      </c>
      <c r="D54">
        <v>4.6585519999999896</v>
      </c>
      <c r="E54">
        <v>0.52256599999999997</v>
      </c>
      <c r="F54" t="s">
        <v>44</v>
      </c>
      <c r="G54">
        <v>-433.67579999999998</v>
      </c>
      <c r="H54">
        <v>-0.05</v>
      </c>
      <c r="I54">
        <v>366.36</v>
      </c>
      <c r="J54">
        <v>-470.34289999999999</v>
      </c>
      <c r="K54">
        <v>1.108214</v>
      </c>
      <c r="L54">
        <v>367.23340000000002</v>
      </c>
      <c r="M54">
        <v>0.99998739999999997</v>
      </c>
      <c r="N54">
        <v>0</v>
      </c>
      <c r="O54">
        <v>2.8452410000000001E-3</v>
      </c>
      <c r="P54">
        <v>0.99076799999999998</v>
      </c>
      <c r="Q54">
        <v>0.13043950000000001</v>
      </c>
      <c r="R54">
        <v>3.6939430000000002E-2</v>
      </c>
      <c r="S54">
        <v>3.042999</v>
      </c>
      <c r="T54">
        <v>-9.1315869999999993E-2</v>
      </c>
      <c r="U54">
        <v>-6.8420410000000001E-2</v>
      </c>
      <c r="V54">
        <v>-3.4125969999999999E-2</v>
      </c>
      <c r="W54">
        <v>0.1263341</v>
      </c>
      <c r="X54">
        <v>0.99140059999999997</v>
      </c>
      <c r="Y54">
        <v>2.5310639999999999E-2</v>
      </c>
      <c r="Z54">
        <v>-4.6498649999999998E-4</v>
      </c>
      <c r="AA54">
        <v>0.99967950000000005</v>
      </c>
      <c r="AB54">
        <v>16</v>
      </c>
      <c r="AC54">
        <v>36.667099999999998</v>
      </c>
      <c r="AD54">
        <v>-1.1582139999999901</v>
      </c>
      <c r="AE54">
        <v>-0.87340000000000295</v>
      </c>
      <c r="AF54">
        <v>0.97675008722288803</v>
      </c>
      <c r="AG54">
        <v>-1.1582139999999901</v>
      </c>
      <c r="AH54">
        <v>36.627941487901701</v>
      </c>
      <c r="AI54">
        <v>91.810506068252295</v>
      </c>
      <c r="AJ54">
        <v>88.472466771912906</v>
      </c>
      <c r="AK54">
        <v>36.659263468376402</v>
      </c>
      <c r="AL54">
        <v>82.742195236708895</v>
      </c>
      <c r="AM54">
        <v>91.971455687159704</v>
      </c>
      <c r="AN54">
        <v>1.0000000181658</v>
      </c>
    </row>
    <row r="55" spans="1:40" x14ac:dyDescent="0.3">
      <c r="A55" t="str">
        <f>"20200111150720561"</f>
        <v>20200111150720561</v>
      </c>
      <c r="B55" t="str">
        <f>"1578726440551212"</f>
        <v>1578726440551212</v>
      </c>
      <c r="C55" t="s">
        <v>40</v>
      </c>
      <c r="D55">
        <v>4.6264640000000004</v>
      </c>
      <c r="E55">
        <v>0.52261469999999999</v>
      </c>
      <c r="F55" t="s">
        <v>44</v>
      </c>
      <c r="G55">
        <v>-428.71420000000001</v>
      </c>
      <c r="H55">
        <v>-0.05</v>
      </c>
      <c r="I55">
        <v>366.23140000000001</v>
      </c>
      <c r="J55">
        <v>-470.19450000000001</v>
      </c>
      <c r="K55">
        <v>1.108239</v>
      </c>
      <c r="L55">
        <v>367.23390000000001</v>
      </c>
      <c r="M55">
        <v>0.99998750000000003</v>
      </c>
      <c r="N55">
        <v>0</v>
      </c>
      <c r="O55">
        <v>2.8982489999999999E-3</v>
      </c>
      <c r="P55">
        <v>0.99039580000000005</v>
      </c>
      <c r="Q55">
        <v>0.13275700000000001</v>
      </c>
      <c r="R55">
        <v>3.8621219999999998E-2</v>
      </c>
      <c r="S55">
        <v>3.0418090000000002</v>
      </c>
      <c r="T55">
        <v>-8.4630609999999995E-2</v>
      </c>
      <c r="U55">
        <v>-7.3211670000000006E-2</v>
      </c>
      <c r="V55">
        <v>-3.5756669999999997E-2</v>
      </c>
      <c r="W55">
        <v>0.12872149999999999</v>
      </c>
      <c r="X55">
        <v>0.99103589999999997</v>
      </c>
      <c r="Y55">
        <v>2.6947289999999999E-2</v>
      </c>
      <c r="Z55">
        <v>-4.5535360000000002E-4</v>
      </c>
      <c r="AA55">
        <v>0.99963679999999999</v>
      </c>
      <c r="AB55">
        <v>19</v>
      </c>
      <c r="AC55">
        <v>41.4803</v>
      </c>
      <c r="AD55">
        <v>-1.158239</v>
      </c>
      <c r="AE55">
        <v>-1.00249999999999</v>
      </c>
      <c r="AF55">
        <v>1.1218428651408201</v>
      </c>
      <c r="AG55">
        <v>-1.158239</v>
      </c>
      <c r="AH55">
        <v>41.4449256304407</v>
      </c>
      <c r="AI55">
        <v>91.600211795203904</v>
      </c>
      <c r="AJ55">
        <v>88.449480388898706</v>
      </c>
      <c r="AK55">
        <v>41.476281288321204</v>
      </c>
      <c r="AL55">
        <v>82.604280755974898</v>
      </c>
      <c r="AM55">
        <v>92.066340876692905</v>
      </c>
      <c r="AN55">
        <v>0.99999995955027299</v>
      </c>
    </row>
    <row r="56" spans="1:40" x14ac:dyDescent="0.3">
      <c r="A56" t="str">
        <f>"20200111150720580"</f>
        <v>20200111150720580</v>
      </c>
      <c r="B56" t="str">
        <f>"1578726440570733"</f>
        <v>1578726440570733</v>
      </c>
      <c r="C56" t="s">
        <v>40</v>
      </c>
      <c r="D56">
        <v>4.5996439999999996</v>
      </c>
      <c r="E56">
        <v>0.5227425</v>
      </c>
      <c r="F56" t="s">
        <v>44</v>
      </c>
      <c r="G56">
        <v>-424.34129999999999</v>
      </c>
      <c r="H56">
        <v>-0.05</v>
      </c>
      <c r="I56">
        <v>366.1934</v>
      </c>
      <c r="J56">
        <v>-470.03539999999998</v>
      </c>
      <c r="K56">
        <v>1.1082449999999999</v>
      </c>
      <c r="L56">
        <v>367.23439999999999</v>
      </c>
      <c r="M56">
        <v>0.99998770000000003</v>
      </c>
      <c r="N56">
        <v>0</v>
      </c>
      <c r="O56">
        <v>2.955507E-3</v>
      </c>
      <c r="P56">
        <v>0.99043309999999996</v>
      </c>
      <c r="Q56">
        <v>0.13249179999999999</v>
      </c>
      <c r="R56">
        <v>3.8576300000000001E-2</v>
      </c>
      <c r="S56">
        <v>3.0420530000000001</v>
      </c>
      <c r="T56">
        <v>-7.6841469999999995E-2</v>
      </c>
      <c r="U56">
        <v>-6.9030759999999997E-2</v>
      </c>
      <c r="V56">
        <v>-3.5655949999999999E-2</v>
      </c>
      <c r="W56">
        <v>0.12853429999999999</v>
      </c>
      <c r="X56">
        <v>0.9910639</v>
      </c>
      <c r="Y56">
        <v>2.5631879999999999E-2</v>
      </c>
      <c r="Z56">
        <v>-3.9826910000000001E-4</v>
      </c>
      <c r="AA56">
        <v>0.99967139999999999</v>
      </c>
      <c r="AB56">
        <v>19</v>
      </c>
      <c r="AC56">
        <v>45.694099999999899</v>
      </c>
      <c r="AD56">
        <v>-1.158245</v>
      </c>
      <c r="AE56">
        <v>-1.0409999999999899</v>
      </c>
      <c r="AF56">
        <v>1.1752910112709101</v>
      </c>
      <c r="AG56">
        <v>-1.158245</v>
      </c>
      <c r="AH56">
        <v>45.661500919074697</v>
      </c>
      <c r="AI56">
        <v>91.452566457978904</v>
      </c>
      <c r="AJ56">
        <v>88.525577383600194</v>
      </c>
      <c r="AK56">
        <v>45.691306685450201</v>
      </c>
      <c r="AL56">
        <v>82.615096921359594</v>
      </c>
      <c r="AM56">
        <v>92.060467231950597</v>
      </c>
      <c r="AN56">
        <v>1.0000000334650501</v>
      </c>
    </row>
    <row r="57" spans="1:40" x14ac:dyDescent="0.3">
      <c r="A57" t="str">
        <f>"20200111150720603"</f>
        <v>20200111150720603</v>
      </c>
      <c r="B57" t="str">
        <f>"1578726440600988"</f>
        <v>1578726440600988</v>
      </c>
      <c r="C57" t="s">
        <v>40</v>
      </c>
      <c r="D57">
        <v>4.6780229999999996</v>
      </c>
      <c r="E57">
        <v>0.52287859999999997</v>
      </c>
      <c r="F57" t="s">
        <v>44</v>
      </c>
      <c r="G57">
        <v>-424.142</v>
      </c>
      <c r="H57">
        <v>-0.05</v>
      </c>
      <c r="I57">
        <v>366.17779999999999</v>
      </c>
      <c r="J57">
        <v>-469.8313</v>
      </c>
      <c r="K57">
        <v>1.10826</v>
      </c>
      <c r="L57">
        <v>367.23509999999999</v>
      </c>
      <c r="M57">
        <v>0.99998810000000005</v>
      </c>
      <c r="N57">
        <v>0</v>
      </c>
      <c r="O57">
        <v>3.0283240000000002E-3</v>
      </c>
      <c r="P57">
        <v>0.99048630000000004</v>
      </c>
      <c r="Q57">
        <v>0.13206950000000001</v>
      </c>
      <c r="R57">
        <v>3.8662700000000001E-2</v>
      </c>
      <c r="S57">
        <v>3.0420229999999999</v>
      </c>
      <c r="T57">
        <v>-7.6773640000000004E-2</v>
      </c>
      <c r="U57">
        <v>-7.0037840000000004E-2</v>
      </c>
      <c r="V57">
        <v>-3.5669550000000001E-2</v>
      </c>
      <c r="W57">
        <v>0.1282519</v>
      </c>
      <c r="X57">
        <v>0.99109999999999998</v>
      </c>
      <c r="Y57">
        <v>2.6035530000000001E-2</v>
      </c>
      <c r="Z57">
        <v>-4.0484940000000001E-4</v>
      </c>
      <c r="AA57">
        <v>0.99966089999999996</v>
      </c>
      <c r="AB57">
        <v>20</v>
      </c>
      <c r="AC57">
        <v>45.689300000000003</v>
      </c>
      <c r="AD57">
        <v>-1.1582600000000001</v>
      </c>
      <c r="AE57">
        <v>-1.0572999999999899</v>
      </c>
      <c r="AF57">
        <v>1.19489066692125</v>
      </c>
      <c r="AG57">
        <v>-1.1582600000000001</v>
      </c>
      <c r="AH57">
        <v>45.656562557272501</v>
      </c>
      <c r="AI57">
        <v>91.452726036908601</v>
      </c>
      <c r="AJ57">
        <v>88.500838345166002</v>
      </c>
      <c r="AK57">
        <v>45.686880332100102</v>
      </c>
      <c r="AL57">
        <v>82.631412321498601</v>
      </c>
      <c r="AM57">
        <v>92.061177449114297</v>
      </c>
      <c r="AN57">
        <v>1.0000000383254</v>
      </c>
    </row>
    <row r="58" spans="1:40" x14ac:dyDescent="0.3">
      <c r="A58" t="str">
        <f>"20200111150720624"</f>
        <v>20200111150720624</v>
      </c>
      <c r="B58" t="str">
        <f>"1578726440620509"</f>
        <v>1578726440620509</v>
      </c>
      <c r="C58" t="s">
        <v>40</v>
      </c>
      <c r="D58">
        <v>4.6780210000000002</v>
      </c>
      <c r="E58">
        <v>0.52304569999999995</v>
      </c>
      <c r="F58" t="s">
        <v>44</v>
      </c>
      <c r="G58">
        <v>-424.79140000000001</v>
      </c>
      <c r="H58">
        <v>-0.05</v>
      </c>
      <c r="I58">
        <v>366.18459999999999</v>
      </c>
      <c r="J58">
        <v>-469.6456</v>
      </c>
      <c r="K58">
        <v>1.1082879999999999</v>
      </c>
      <c r="L58">
        <v>367.23570000000001</v>
      </c>
      <c r="M58">
        <v>0.99998849999999995</v>
      </c>
      <c r="N58">
        <v>0</v>
      </c>
      <c r="O58">
        <v>3.094046E-3</v>
      </c>
      <c r="P58">
        <v>0.99055800000000005</v>
      </c>
      <c r="Q58">
        <v>0.13150020000000001</v>
      </c>
      <c r="R58">
        <v>3.876106E-2</v>
      </c>
      <c r="S58">
        <v>3.0420229999999999</v>
      </c>
      <c r="T58">
        <v>-7.8229430000000003E-2</v>
      </c>
      <c r="U58">
        <v>-7.0953370000000002E-2</v>
      </c>
      <c r="V58">
        <v>-3.5703829999999999E-2</v>
      </c>
      <c r="W58">
        <v>0.12789059999999999</v>
      </c>
      <c r="X58">
        <v>0.99114539999999995</v>
      </c>
      <c r="Y58">
        <v>2.640143E-2</v>
      </c>
      <c r="Z58">
        <v>-4.1891509999999999E-4</v>
      </c>
      <c r="AA58">
        <v>0.99965130000000002</v>
      </c>
      <c r="AB58">
        <v>20</v>
      </c>
      <c r="AC58">
        <v>44.854199999999899</v>
      </c>
      <c r="AD58">
        <v>-1.158288</v>
      </c>
      <c r="AE58">
        <v>-1.0511000000000099</v>
      </c>
      <c r="AF58">
        <v>1.18908435517183</v>
      </c>
      <c r="AG58">
        <v>-1.158288</v>
      </c>
      <c r="AH58">
        <v>44.820860826201503</v>
      </c>
      <c r="AI58">
        <v>91.479822520371002</v>
      </c>
      <c r="AJ58">
        <v>88.480316157120896</v>
      </c>
      <c r="AK58">
        <v>44.851589914922499</v>
      </c>
      <c r="AL58">
        <v>82.652284791578893</v>
      </c>
      <c r="AM58">
        <v>92.063062197426802</v>
      </c>
      <c r="AN58">
        <v>0.99999998649309396</v>
      </c>
    </row>
    <row r="59" spans="1:40" x14ac:dyDescent="0.3">
      <c r="A59" t="str">
        <f>"20200111150720646"</f>
        <v>20200111150720646</v>
      </c>
      <c r="B59" t="str">
        <f>"1578726440641005"</f>
        <v>1578726440641005</v>
      </c>
      <c r="C59" t="s">
        <v>40</v>
      </c>
      <c r="D59">
        <v>4.6504130000000004</v>
      </c>
      <c r="E59">
        <v>0.52855379999999996</v>
      </c>
      <c r="F59" t="s">
        <v>44</v>
      </c>
      <c r="G59">
        <v>-426.07209999999998</v>
      </c>
      <c r="H59">
        <v>-0.05</v>
      </c>
      <c r="I59">
        <v>366.20940000000002</v>
      </c>
      <c r="J59">
        <v>-469.43779999999998</v>
      </c>
      <c r="K59">
        <v>1.1083670000000001</v>
      </c>
      <c r="L59">
        <v>367.23649999999998</v>
      </c>
      <c r="M59">
        <v>0.99998980000000004</v>
      </c>
      <c r="N59">
        <v>0</v>
      </c>
      <c r="O59">
        <v>3.1660899999999999E-3</v>
      </c>
      <c r="P59">
        <v>0.990672</v>
      </c>
      <c r="Q59">
        <v>0.13070850000000001</v>
      </c>
      <c r="R59">
        <v>3.8527359999999997E-2</v>
      </c>
      <c r="S59">
        <v>3.0421140000000002</v>
      </c>
      <c r="T59">
        <v>-8.0866579999999993E-2</v>
      </c>
      <c r="U59">
        <v>-7.1655269999999993E-2</v>
      </c>
      <c r="V59">
        <v>-3.5398440000000003E-2</v>
      </c>
      <c r="W59">
        <v>0.1274962</v>
      </c>
      <c r="X59">
        <v>0.99120719999999995</v>
      </c>
      <c r="Y59">
        <v>2.6702469999999999E-2</v>
      </c>
      <c r="Z59">
        <v>-4.3893220000000002E-4</v>
      </c>
      <c r="AA59">
        <v>0.99964330000000001</v>
      </c>
      <c r="AB59">
        <v>20</v>
      </c>
      <c r="AC59">
        <v>43.365699999999997</v>
      </c>
      <c r="AD59">
        <v>-1.1583669999999999</v>
      </c>
      <c r="AE59">
        <v>-1.0270999999999599</v>
      </c>
      <c r="AF59">
        <v>1.1635655241051901</v>
      </c>
      <c r="AG59">
        <v>-1.1583669999999999</v>
      </c>
      <c r="AH59">
        <v>43.331330764367003</v>
      </c>
      <c r="AI59">
        <v>91.530759317559998</v>
      </c>
      <c r="AJ59">
        <v>88.461820223120895</v>
      </c>
      <c r="AK59">
        <v>43.3624252625076</v>
      </c>
      <c r="AL59">
        <v>82.675069025295002</v>
      </c>
      <c r="AM59">
        <v>92.045303584490597</v>
      </c>
      <c r="AN59">
        <v>1.00000002195035</v>
      </c>
    </row>
    <row r="60" spans="1:40" x14ac:dyDescent="0.3">
      <c r="A60" t="str">
        <f>"20200111150720668"</f>
        <v>20200111150720668</v>
      </c>
      <c r="B60" t="str">
        <f>"1578726440661030"</f>
        <v>1578726440661030</v>
      </c>
      <c r="C60" t="s">
        <v>40</v>
      </c>
      <c r="D60">
        <v>4.6006080000000003</v>
      </c>
      <c r="E60">
        <v>0.52854899999999905</v>
      </c>
      <c r="F60" t="s">
        <v>42</v>
      </c>
      <c r="G60">
        <v>-158.19499999999999</v>
      </c>
      <c r="H60">
        <v>25.599979999999999</v>
      </c>
      <c r="I60">
        <v>355.48009999999999</v>
      </c>
      <c r="J60">
        <v>-469.23910000000001</v>
      </c>
      <c r="K60">
        <v>1.1084959999999999</v>
      </c>
      <c r="L60">
        <v>367.23719999999997</v>
      </c>
      <c r="M60">
        <v>0.99999150000000003</v>
      </c>
      <c r="N60">
        <v>0</v>
      </c>
      <c r="O60">
        <v>3.234167E-3</v>
      </c>
      <c r="P60">
        <v>0.99086229999999997</v>
      </c>
      <c r="Q60">
        <v>0.1293261</v>
      </c>
      <c r="R60">
        <v>3.830327E-2</v>
      </c>
      <c r="S60">
        <v>3.001465</v>
      </c>
      <c r="T60">
        <v>0.23618520000000001</v>
      </c>
      <c r="U60">
        <v>-0.1133728</v>
      </c>
      <c r="V60">
        <v>-3.5106599999999898E-2</v>
      </c>
      <c r="W60">
        <v>0.12671060000000001</v>
      </c>
      <c r="X60">
        <v>0.99131829999999999</v>
      </c>
      <c r="Y60">
        <v>4.0841200000000001E-2</v>
      </c>
      <c r="Z60">
        <v>1.8578659999999999E-3</v>
      </c>
      <c r="AA60">
        <v>0.99916389999999999</v>
      </c>
      <c r="AB60">
        <v>20</v>
      </c>
      <c r="AC60">
        <v>311.04410000000001</v>
      </c>
      <c r="AD60">
        <v>24.491484</v>
      </c>
      <c r="AE60">
        <v>-11.7570999999999</v>
      </c>
      <c r="AF60">
        <v>12.684479772269</v>
      </c>
      <c r="AG60">
        <v>24.491484</v>
      </c>
      <c r="AH60">
        <v>309.09084346773102</v>
      </c>
      <c r="AI60">
        <v>85.473304596296302</v>
      </c>
      <c r="AJ60">
        <v>87.650012623546004</v>
      </c>
      <c r="AK60">
        <v>310.31899447376497</v>
      </c>
      <c r="AL60">
        <v>82.720448560314793</v>
      </c>
      <c r="AM60">
        <v>92.028228219822793</v>
      </c>
      <c r="AN60">
        <v>1.0000000107153999</v>
      </c>
    </row>
    <row r="61" spans="1:40" x14ac:dyDescent="0.3">
      <c r="A61" t="str">
        <f>"20200111150720692"</f>
        <v>20200111150720692</v>
      </c>
      <c r="B61" t="str">
        <f>"1578726440680550"</f>
        <v>1578726440680550</v>
      </c>
      <c r="C61" t="s">
        <v>40</v>
      </c>
      <c r="D61">
        <v>4.6793329999999997</v>
      </c>
      <c r="E61">
        <v>0.5187621</v>
      </c>
      <c r="F61" t="s">
        <v>42</v>
      </c>
      <c r="G61">
        <v>-158.19499999999999</v>
      </c>
      <c r="H61">
        <v>22.229220000000002</v>
      </c>
      <c r="I61">
        <v>355.4248</v>
      </c>
      <c r="J61">
        <v>-469.03129999999999</v>
      </c>
      <c r="K61">
        <v>1.108681</v>
      </c>
      <c r="L61">
        <v>367.23790000000002</v>
      </c>
      <c r="M61">
        <v>0.99999300000000002</v>
      </c>
      <c r="N61">
        <v>0</v>
      </c>
      <c r="O61">
        <v>3.306855E-3</v>
      </c>
      <c r="P61">
        <v>0.99109420000000004</v>
      </c>
      <c r="Q61">
        <v>0.1276593</v>
      </c>
      <c r="R61">
        <v>3.7889220000000001E-2</v>
      </c>
      <c r="S61">
        <v>3.0054319999999999</v>
      </c>
      <c r="T61">
        <v>0.2040776</v>
      </c>
      <c r="U61">
        <v>-0.11413570000000001</v>
      </c>
      <c r="V61">
        <v>-3.4620480000000002E-2</v>
      </c>
      <c r="W61">
        <v>0.12590319999999999</v>
      </c>
      <c r="X61">
        <v>0.99143829999999999</v>
      </c>
      <c r="Y61">
        <v>4.1151180000000002E-2</v>
      </c>
      <c r="Z61">
        <v>1.6192439999999999E-3</v>
      </c>
      <c r="AA61">
        <v>0.99915160000000003</v>
      </c>
      <c r="AB61">
        <v>20</v>
      </c>
      <c r="AC61">
        <v>310.83629999999999</v>
      </c>
      <c r="AD61">
        <v>21.120539000000001</v>
      </c>
      <c r="AE61">
        <v>-11.8131</v>
      </c>
      <c r="AF61">
        <v>12.7819999870896</v>
      </c>
      <c r="AG61">
        <v>21.120539000000001</v>
      </c>
      <c r="AH61">
        <v>309.369282053593</v>
      </c>
      <c r="AI61">
        <v>86.097814873684399</v>
      </c>
      <c r="AJ61">
        <v>87.634094906572201</v>
      </c>
      <c r="AK61">
        <v>310.35271767728398</v>
      </c>
      <c r="AL61">
        <v>82.767082927588007</v>
      </c>
      <c r="AM61">
        <v>91.999924482403102</v>
      </c>
      <c r="AN61">
        <v>1.0000000480562701</v>
      </c>
    </row>
    <row r="62" spans="1:40" x14ac:dyDescent="0.3">
      <c r="A62" t="str">
        <f>"20200111150720713"</f>
        <v>20200111150720713</v>
      </c>
      <c r="B62" t="str">
        <f>"1578726440710806"</f>
        <v>1578726440710806</v>
      </c>
      <c r="C62" t="s">
        <v>40</v>
      </c>
      <c r="D62">
        <v>4.6556360000000003</v>
      </c>
      <c r="E62">
        <v>0.51896739999999997</v>
      </c>
      <c r="F62" t="s">
        <v>43</v>
      </c>
      <c r="G62">
        <v>-445.37</v>
      </c>
      <c r="H62" s="1">
        <v>-2.6470810000000001E-6</v>
      </c>
      <c r="I62">
        <v>366.92180000000002</v>
      </c>
      <c r="J62">
        <v>-468.83069999999998</v>
      </c>
      <c r="K62">
        <v>1.108878</v>
      </c>
      <c r="L62">
        <v>367.23869999999999</v>
      </c>
      <c r="M62">
        <v>0.99999400000000005</v>
      </c>
      <c r="N62">
        <v>0</v>
      </c>
      <c r="O62">
        <v>3.37952E-3</v>
      </c>
      <c r="P62">
        <v>0.99125560000000001</v>
      </c>
      <c r="Q62">
        <v>0.12642049999999999</v>
      </c>
      <c r="R62">
        <v>3.7821769999999998E-2</v>
      </c>
      <c r="S62">
        <v>3.0469059999999999</v>
      </c>
      <c r="T62">
        <v>-0.14276659999999999</v>
      </c>
      <c r="U62">
        <v>-4.0710450000000002E-2</v>
      </c>
      <c r="V62">
        <v>-3.4480289999999997E-2</v>
      </c>
      <c r="W62">
        <v>0.12563779999999999</v>
      </c>
      <c r="X62">
        <v>0.99147680000000005</v>
      </c>
      <c r="Y62">
        <v>1.671715E-2</v>
      </c>
      <c r="Z62">
        <v>-5.4967790000000002E-4</v>
      </c>
      <c r="AA62">
        <v>0.99986010000000003</v>
      </c>
      <c r="AB62">
        <v>20</v>
      </c>
      <c r="AC62">
        <v>23.4606999999999</v>
      </c>
      <c r="AD62">
        <v>-1.108880647081</v>
      </c>
      <c r="AE62">
        <v>-0.31689999999997498</v>
      </c>
      <c r="AF62">
        <v>0.395301167250457</v>
      </c>
      <c r="AG62">
        <v>-1.108880647081</v>
      </c>
      <c r="AH62">
        <v>23.407212339547801</v>
      </c>
      <c r="AI62">
        <v>92.711885438510194</v>
      </c>
      <c r="AJ62">
        <v>89.032480444468902</v>
      </c>
      <c r="AK62">
        <v>23.436797324100802</v>
      </c>
      <c r="AL62">
        <v>82.782410563688003</v>
      </c>
      <c r="AM62">
        <v>91.991755367632507</v>
      </c>
      <c r="AN62">
        <v>0.999999996062782</v>
      </c>
    </row>
    <row r="63" spans="1:40" x14ac:dyDescent="0.3">
      <c r="A63" t="str">
        <f>"20200111150720736"</f>
        <v>20200111150720736</v>
      </c>
      <c r="B63" t="str">
        <f>"1578726440731302"</f>
        <v>1578726440731302</v>
      </c>
      <c r="C63" t="s">
        <v>40</v>
      </c>
      <c r="D63">
        <v>4.6800730000000001</v>
      </c>
      <c r="E63">
        <v>0.51886790000000005</v>
      </c>
      <c r="F63" t="s">
        <v>43</v>
      </c>
      <c r="G63">
        <v>-443.43430000000001</v>
      </c>
      <c r="H63" s="1">
        <v>-3.568775E-6</v>
      </c>
      <c r="I63">
        <v>366.88409999999999</v>
      </c>
      <c r="J63">
        <v>-468.63290000000001</v>
      </c>
      <c r="K63">
        <v>1.109054</v>
      </c>
      <c r="L63">
        <v>367.23939999999999</v>
      </c>
      <c r="M63">
        <v>0.9999941</v>
      </c>
      <c r="N63">
        <v>0</v>
      </c>
      <c r="O63">
        <v>3.4491970000000002E-3</v>
      </c>
      <c r="P63">
        <v>0.99132290000000001</v>
      </c>
      <c r="Q63">
        <v>0.12597050000000001</v>
      </c>
      <c r="R63">
        <v>3.7557399999999998E-2</v>
      </c>
      <c r="S63">
        <v>3.045013</v>
      </c>
      <c r="T63">
        <v>-0.13295409999999999</v>
      </c>
      <c r="U63">
        <v>-4.2510989999999999E-2</v>
      </c>
      <c r="V63">
        <v>-3.414702E-2</v>
      </c>
      <c r="W63">
        <v>0.12616949999999999</v>
      </c>
      <c r="X63">
        <v>0.99142079999999999</v>
      </c>
      <c r="Y63">
        <v>1.7388420000000002E-2</v>
      </c>
      <c r="Z63">
        <v>-5.2993879999999895E-4</v>
      </c>
      <c r="AA63">
        <v>0.99984870000000003</v>
      </c>
      <c r="AB63">
        <v>20</v>
      </c>
      <c r="AC63">
        <v>25.198599999999999</v>
      </c>
      <c r="AD63">
        <v>-1.1090575687749999</v>
      </c>
      <c r="AE63">
        <v>-0.35529999999999901</v>
      </c>
      <c r="AF63">
        <v>0.44135802659225598</v>
      </c>
      <c r="AG63">
        <v>-1.1090575687749999</v>
      </c>
      <c r="AH63">
        <v>25.1485187224573</v>
      </c>
      <c r="AI63">
        <v>92.524737438671494</v>
      </c>
      <c r="AJ63">
        <v>88.994558818037902</v>
      </c>
      <c r="AK63">
        <v>25.176830609357499</v>
      </c>
      <c r="AL63">
        <v>82.751701932196497</v>
      </c>
      <c r="AM63">
        <v>91.972630623171696</v>
      </c>
      <c r="AN63">
        <v>0.99999998218888497</v>
      </c>
    </row>
    <row r="64" spans="1:40" x14ac:dyDescent="0.3">
      <c r="A64" t="str">
        <f>"20200111150720759"</f>
        <v>20200111150720759</v>
      </c>
      <c r="B64" t="str">
        <f>"1578726440750823"</f>
        <v>1578726440750823</v>
      </c>
      <c r="C64" t="s">
        <v>40</v>
      </c>
      <c r="D64">
        <v>4.694598</v>
      </c>
      <c r="E64">
        <v>0.51891430000000005</v>
      </c>
      <c r="F64" t="s">
        <v>43</v>
      </c>
      <c r="G64">
        <v>-443.13940000000002</v>
      </c>
      <c r="H64" s="1">
        <v>-3.708411E-6</v>
      </c>
      <c r="I64">
        <v>366.8827</v>
      </c>
      <c r="J64">
        <v>-468.41160000000002</v>
      </c>
      <c r="K64">
        <v>1.1092059999999999</v>
      </c>
      <c r="L64">
        <v>367.24029999999999</v>
      </c>
      <c r="M64">
        <v>0.99999309999999997</v>
      </c>
      <c r="N64">
        <v>0</v>
      </c>
      <c r="O64">
        <v>3.5298069999999998E-3</v>
      </c>
      <c r="P64">
        <v>0.99133689999999997</v>
      </c>
      <c r="Q64">
        <v>0.12580519999999901</v>
      </c>
      <c r="R64">
        <v>3.7740919999999997E-2</v>
      </c>
      <c r="S64">
        <v>3.0446780000000002</v>
      </c>
      <c r="T64">
        <v>-0.13245419999999999</v>
      </c>
      <c r="U64">
        <v>-4.2602540000000001E-2</v>
      </c>
      <c r="V64">
        <v>-3.4251030000000002E-2</v>
      </c>
      <c r="W64">
        <v>0.12702649999999999</v>
      </c>
      <c r="X64">
        <v>0.99130779999999996</v>
      </c>
      <c r="Y64">
        <v>1.7500580000000002E-2</v>
      </c>
      <c r="Z64">
        <v>-5.3394979999999998E-4</v>
      </c>
      <c r="AA64">
        <v>0.99984669999999998</v>
      </c>
      <c r="AB64">
        <v>20</v>
      </c>
      <c r="AC64">
        <v>25.272200000000002</v>
      </c>
      <c r="AD64">
        <v>-1.109209708411</v>
      </c>
      <c r="AE64">
        <v>-0.35759999999998998</v>
      </c>
      <c r="AF64">
        <v>0.445944934496731</v>
      </c>
      <c r="AG64">
        <v>-1.109209708411</v>
      </c>
      <c r="AH64">
        <v>25.222202561564501</v>
      </c>
      <c r="AI64">
        <v>92.517710307622096</v>
      </c>
      <c r="AJ64">
        <v>88.987078918128006</v>
      </c>
      <c r="AK64">
        <v>25.250519105919899</v>
      </c>
      <c r="AL64">
        <v>82.702201369476796</v>
      </c>
      <c r="AM64">
        <v>91.978859748911603</v>
      </c>
      <c r="AN64">
        <v>1.00000000954957</v>
      </c>
    </row>
    <row r="65" spans="1:40" x14ac:dyDescent="0.3">
      <c r="A65" t="str">
        <f>"20200111150720781"</f>
        <v>20200111150720781</v>
      </c>
      <c r="B65" t="str">
        <f>"1578726440771318"</f>
        <v>1578726440771318</v>
      </c>
      <c r="C65" t="s">
        <v>40</v>
      </c>
      <c r="D65">
        <v>4.6736760000000004</v>
      </c>
      <c r="E65">
        <v>0.51841389999999998</v>
      </c>
      <c r="F65" t="s">
        <v>43</v>
      </c>
      <c r="G65">
        <v>-442.77519999999998</v>
      </c>
      <c r="H65" s="1">
        <v>-3.8802079999999999E-6</v>
      </c>
      <c r="I65">
        <v>366.88490000000002</v>
      </c>
      <c r="J65">
        <v>-468.21300000000002</v>
      </c>
      <c r="K65">
        <v>1.109299</v>
      </c>
      <c r="L65">
        <v>367.24110000000002</v>
      </c>
      <c r="M65">
        <v>0.99999139999999997</v>
      </c>
      <c r="N65">
        <v>0</v>
      </c>
      <c r="O65">
        <v>3.6054020000000002E-3</v>
      </c>
      <c r="P65">
        <v>0.99126919999999996</v>
      </c>
      <c r="Q65">
        <v>0.1262276</v>
      </c>
      <c r="R65">
        <v>3.8106840000000003E-2</v>
      </c>
      <c r="S65">
        <v>3.044495</v>
      </c>
      <c r="T65">
        <v>-0.13172609999999901</v>
      </c>
      <c r="U65">
        <v>-4.2205810000000003E-2</v>
      </c>
      <c r="V65">
        <v>-3.454144E-2</v>
      </c>
      <c r="W65">
        <v>0.12825239999999999</v>
      </c>
      <c r="X65">
        <v>0.99113980000000002</v>
      </c>
      <c r="Y65">
        <v>1.7446949999999999E-2</v>
      </c>
      <c r="Z65">
        <v>-5.3315950000000002E-4</v>
      </c>
      <c r="AA65">
        <v>0.99984770000000001</v>
      </c>
      <c r="AB65">
        <v>20</v>
      </c>
      <c r="AC65">
        <v>25.437799999999999</v>
      </c>
      <c r="AD65">
        <v>-1.1093028802080001</v>
      </c>
      <c r="AE65">
        <v>-0.35620000000000102</v>
      </c>
      <c r="AF65">
        <v>0.44706136419605602</v>
      </c>
      <c r="AG65">
        <v>-1.1093028802080001</v>
      </c>
      <c r="AH65">
        <v>25.388079465419999</v>
      </c>
      <c r="AI65">
        <v>92.501494412229803</v>
      </c>
      <c r="AJ65">
        <v>88.991176849919299</v>
      </c>
      <c r="AK65">
        <v>25.4162348841419</v>
      </c>
      <c r="AL65">
        <v>82.631382752179405</v>
      </c>
      <c r="AM65">
        <v>91.995962720569295</v>
      </c>
      <c r="AN65">
        <v>0.99999994616353505</v>
      </c>
    </row>
    <row r="66" spans="1:40" x14ac:dyDescent="0.3">
      <c r="A66" t="str">
        <f>"20200111150720802"</f>
        <v>20200111150720802</v>
      </c>
      <c r="B66" t="str">
        <f>"1578726440790838"</f>
        <v>1578726440790838</v>
      </c>
      <c r="C66" t="s">
        <v>40</v>
      </c>
      <c r="D66">
        <v>4.7037430000000002</v>
      </c>
      <c r="E66">
        <v>0.5183548</v>
      </c>
      <c r="F66" t="s">
        <v>43</v>
      </c>
      <c r="G66">
        <v>-441.745</v>
      </c>
      <c r="H66" s="1">
        <v>-4.3612059999999996E-6</v>
      </c>
      <c r="I66">
        <v>366.9187</v>
      </c>
      <c r="J66">
        <v>-468.0095</v>
      </c>
      <c r="K66">
        <v>1.109367</v>
      </c>
      <c r="L66">
        <v>367.24189999999999</v>
      </c>
      <c r="M66">
        <v>0.99998940000000003</v>
      </c>
      <c r="N66">
        <v>0</v>
      </c>
      <c r="O66">
        <v>3.6854850000000001E-3</v>
      </c>
      <c r="P66">
        <v>0.9912649</v>
      </c>
      <c r="Q66">
        <v>0.1261921</v>
      </c>
      <c r="R66">
        <v>3.8334119999999999E-2</v>
      </c>
      <c r="S66">
        <v>3.0440670000000001</v>
      </c>
      <c r="T66">
        <v>-0.1275799</v>
      </c>
      <c r="U66">
        <v>-3.7078859999999998E-2</v>
      </c>
      <c r="V66">
        <v>-3.4689560000000001E-2</v>
      </c>
      <c r="W66">
        <v>0.128939</v>
      </c>
      <c r="X66">
        <v>0.99104559999999997</v>
      </c>
      <c r="Y66">
        <v>1.584779E-2</v>
      </c>
      <c r="Z66">
        <v>-4.863305E-4</v>
      </c>
      <c r="AA66">
        <v>0.99987429999999999</v>
      </c>
      <c r="AB66">
        <v>21</v>
      </c>
      <c r="AC66">
        <v>26.264500000000002</v>
      </c>
      <c r="AD66">
        <v>-1.1093713612060001</v>
      </c>
      <c r="AE66">
        <v>-0.323199999999985</v>
      </c>
      <c r="AF66">
        <v>0.419247733946362</v>
      </c>
      <c r="AG66">
        <v>-1.1093713612060001</v>
      </c>
      <c r="AH66">
        <v>26.216365320423002</v>
      </c>
      <c r="AI66">
        <v>92.422772422219097</v>
      </c>
      <c r="AJ66">
        <v>89.083813563189096</v>
      </c>
      <c r="AK66">
        <v>26.243175952871301</v>
      </c>
      <c r="AL66">
        <v>82.591714550218001</v>
      </c>
      <c r="AM66">
        <v>92.004705181538398</v>
      </c>
      <c r="AN66">
        <v>1.0000000062866701</v>
      </c>
    </row>
    <row r="67" spans="1:40" x14ac:dyDescent="0.3">
      <c r="A67" t="str">
        <f>"20200111150720825"</f>
        <v>20200111150720825</v>
      </c>
      <c r="B67" t="str">
        <f>"1578726440821094"</f>
        <v>1578726440821094</v>
      </c>
      <c r="C67" t="s">
        <v>40</v>
      </c>
      <c r="D67">
        <v>4.7837670000000001</v>
      </c>
      <c r="E67">
        <v>0.51620790000000005</v>
      </c>
      <c r="F67" t="s">
        <v>43</v>
      </c>
      <c r="G67">
        <v>-440.8184</v>
      </c>
      <c r="H67" s="1">
        <v>-4.7986540000000003E-6</v>
      </c>
      <c r="I67">
        <v>366.92189999999999</v>
      </c>
      <c r="J67">
        <v>-467.7953</v>
      </c>
      <c r="K67">
        <v>1.1094059999999999</v>
      </c>
      <c r="L67">
        <v>367.24279999999999</v>
      </c>
      <c r="M67">
        <v>0.99998699999999996</v>
      </c>
      <c r="N67">
        <v>0</v>
      </c>
      <c r="O67">
        <v>3.769096E-3</v>
      </c>
      <c r="P67">
        <v>0.99130110000000005</v>
      </c>
      <c r="Q67">
        <v>0.12586510000000001</v>
      </c>
      <c r="R67">
        <v>3.8474410000000001E-2</v>
      </c>
      <c r="S67">
        <v>3.0436399999999999</v>
      </c>
      <c r="T67">
        <v>-0.1241775</v>
      </c>
      <c r="U67">
        <v>-3.5827640000000001E-2</v>
      </c>
      <c r="V67">
        <v>-3.4746619999999999E-2</v>
      </c>
      <c r="W67">
        <v>0.12927759999999999</v>
      </c>
      <c r="X67">
        <v>0.99099950000000003</v>
      </c>
      <c r="Y67">
        <v>1.5523220000000001E-2</v>
      </c>
      <c r="Z67">
        <v>-4.7023079999999998E-4</v>
      </c>
      <c r="AA67">
        <v>0.99987939999999997</v>
      </c>
      <c r="AB67">
        <v>21</v>
      </c>
      <c r="AC67">
        <v>26.976900000000001</v>
      </c>
      <c r="AD67">
        <v>-1.1094107986539901</v>
      </c>
      <c r="AE67">
        <v>-0.32089999999999402</v>
      </c>
      <c r="AF67">
        <v>0.42186348208889701</v>
      </c>
      <c r="AG67">
        <v>-1.1094107986539901</v>
      </c>
      <c r="AH67">
        <v>26.9299607627106</v>
      </c>
      <c r="AI67">
        <v>92.358742739899796</v>
      </c>
      <c r="AJ67">
        <v>89.102523008459897</v>
      </c>
      <c r="AK67">
        <v>26.9561040916306</v>
      </c>
      <c r="AL67">
        <v>82.572150539367101</v>
      </c>
      <c r="AM67">
        <v>92.008093307421007</v>
      </c>
      <c r="AN67">
        <v>1.0000000172317101</v>
      </c>
    </row>
    <row r="68" spans="1:40" x14ac:dyDescent="0.3">
      <c r="A68" t="str">
        <f>"20200111150720850"</f>
        <v>20200111150720850</v>
      </c>
      <c r="B68" t="str">
        <f>"1578726440840614"</f>
        <v>1578726440840614</v>
      </c>
      <c r="C68" t="s">
        <v>40</v>
      </c>
      <c r="D68">
        <v>4.7776529999999999</v>
      </c>
      <c r="E68">
        <v>0.51554979999999995</v>
      </c>
      <c r="F68" t="s">
        <v>43</v>
      </c>
      <c r="G68">
        <v>-440.93090000000001</v>
      </c>
      <c r="H68" s="1">
        <v>-4.716629E-6</v>
      </c>
      <c r="I68">
        <v>367.08440000000002</v>
      </c>
      <c r="J68">
        <v>-467.56880000000001</v>
      </c>
      <c r="K68">
        <v>1.1094379999999999</v>
      </c>
      <c r="L68">
        <v>367.24369999999999</v>
      </c>
      <c r="M68">
        <v>0.9999844</v>
      </c>
      <c r="N68">
        <v>0</v>
      </c>
      <c r="O68">
        <v>3.8553379999999998E-3</v>
      </c>
      <c r="P68">
        <v>0.99132949999999997</v>
      </c>
      <c r="Q68">
        <v>0.12551999999999999</v>
      </c>
      <c r="R68">
        <v>3.886792E-2</v>
      </c>
      <c r="S68">
        <v>3.0429689999999998</v>
      </c>
      <c r="T68">
        <v>-0.12566459999999999</v>
      </c>
      <c r="U68">
        <v>-1.794434E-2</v>
      </c>
      <c r="V68">
        <v>-3.5054429999999998E-2</v>
      </c>
      <c r="W68">
        <v>0.12954280000000001</v>
      </c>
      <c r="X68">
        <v>0.990954</v>
      </c>
      <c r="Y68">
        <v>9.7405510000000001E-3</v>
      </c>
      <c r="Z68">
        <v>-3.6018390000000001E-4</v>
      </c>
      <c r="AA68">
        <v>0.99995250000000002</v>
      </c>
      <c r="AB68">
        <v>21</v>
      </c>
      <c r="AC68">
        <v>26.637899999999998</v>
      </c>
      <c r="AD68">
        <v>-1.109442716629</v>
      </c>
      <c r="AE68">
        <v>-0.15929999999997299</v>
      </c>
      <c r="AF68">
        <v>0.26154409396911699</v>
      </c>
      <c r="AG68">
        <v>-1.109442716629</v>
      </c>
      <c r="AH68">
        <v>26.5909637210321</v>
      </c>
      <c r="AI68">
        <v>92.389024720189298</v>
      </c>
      <c r="AJ68">
        <v>89.436466850897702</v>
      </c>
      <c r="AK68">
        <v>26.615383147116599</v>
      </c>
      <c r="AL68">
        <v>82.556826641087</v>
      </c>
      <c r="AM68">
        <v>92.025960593463097</v>
      </c>
      <c r="AN68">
        <v>0.999999990105232</v>
      </c>
    </row>
    <row r="69" spans="1:40" x14ac:dyDescent="0.3">
      <c r="A69" t="str">
        <f>"20200111150720870"</f>
        <v>20200111150720870</v>
      </c>
      <c r="B69" t="str">
        <f>"1578726440861111"</f>
        <v>1578726440861111</v>
      </c>
      <c r="C69" t="s">
        <v>40</v>
      </c>
      <c r="D69">
        <v>4.9460119999999996</v>
      </c>
      <c r="E69">
        <v>0.51566009999999995</v>
      </c>
      <c r="F69" t="s">
        <v>43</v>
      </c>
      <c r="G69">
        <v>-441.42669999999998</v>
      </c>
      <c r="H69" s="1">
        <v>-4.471927E-6</v>
      </c>
      <c r="I69">
        <v>367.14249999999998</v>
      </c>
      <c r="J69">
        <v>-467.37279999999998</v>
      </c>
      <c r="K69">
        <v>1.1094619999999999</v>
      </c>
      <c r="L69">
        <v>367.24459999999999</v>
      </c>
      <c r="M69">
        <v>0.99998209999999998</v>
      </c>
      <c r="N69">
        <v>0</v>
      </c>
      <c r="O69">
        <v>3.9288639999999998E-3</v>
      </c>
      <c r="P69">
        <v>0.99133749999999998</v>
      </c>
      <c r="Q69">
        <v>0.1253967</v>
      </c>
      <c r="R69">
        <v>3.9059160000000002E-2</v>
      </c>
      <c r="S69">
        <v>3.0430299999999999</v>
      </c>
      <c r="T69">
        <v>-0.1291428</v>
      </c>
      <c r="U69">
        <v>-1.177979E-2</v>
      </c>
      <c r="V69">
        <v>-3.5172889999999998E-2</v>
      </c>
      <c r="W69">
        <v>0.12987950000000001</v>
      </c>
      <c r="X69">
        <v>0.99090579999999995</v>
      </c>
      <c r="Y69">
        <v>7.7893379999999998E-3</v>
      </c>
      <c r="Z69">
        <v>-3.31873E-4</v>
      </c>
      <c r="AA69">
        <v>0.99996960000000001</v>
      </c>
      <c r="AB69">
        <v>21</v>
      </c>
      <c r="AC69">
        <v>25.946100000000001</v>
      </c>
      <c r="AD69">
        <v>-1.109466471927</v>
      </c>
      <c r="AE69">
        <v>-0.102100000000007</v>
      </c>
      <c r="AF69">
        <v>0.203666558848661</v>
      </c>
      <c r="AG69">
        <v>-1.109466471927</v>
      </c>
      <c r="AH69">
        <v>25.898145751038001</v>
      </c>
      <c r="AI69">
        <v>92.452953217769206</v>
      </c>
      <c r="AJ69">
        <v>89.549427445069</v>
      </c>
      <c r="AK69">
        <v>25.922699497959901</v>
      </c>
      <c r="AL69">
        <v>82.537371314333399</v>
      </c>
      <c r="AM69">
        <v>92.032900017826194</v>
      </c>
      <c r="AN69">
        <v>1.00000006059241</v>
      </c>
    </row>
    <row r="70" spans="1:40" x14ac:dyDescent="0.3">
      <c r="A70" t="str">
        <f>"20200111150720892"</f>
        <v>20200111150720892</v>
      </c>
      <c r="B70" t="str">
        <f>"1578726440881047"</f>
        <v>1578726440881047</v>
      </c>
      <c r="C70" t="s">
        <v>40</v>
      </c>
      <c r="D70">
        <v>4.8102830000000001</v>
      </c>
      <c r="E70">
        <v>0.51574209999999998</v>
      </c>
      <c r="F70" t="s">
        <v>43</v>
      </c>
      <c r="G70">
        <v>-441.76740000000001</v>
      </c>
      <c r="H70" s="1">
        <v>-4.3107269999999998E-6</v>
      </c>
      <c r="I70">
        <v>367.14339999999999</v>
      </c>
      <c r="J70">
        <v>-467.17020000000002</v>
      </c>
      <c r="K70">
        <v>1.1094809999999999</v>
      </c>
      <c r="L70">
        <v>367.24549999999999</v>
      </c>
      <c r="M70">
        <v>0.99997990000000003</v>
      </c>
      <c r="N70">
        <v>0</v>
      </c>
      <c r="O70">
        <v>4.0035870000000003E-3</v>
      </c>
      <c r="P70">
        <v>0.99139829999999995</v>
      </c>
      <c r="Q70">
        <v>0.1251932</v>
      </c>
      <c r="R70">
        <v>3.8160960000000001E-2</v>
      </c>
      <c r="S70">
        <v>3.0433650000000001</v>
      </c>
      <c r="T70">
        <v>-0.13186729999999899</v>
      </c>
      <c r="U70">
        <v>-1.202393E-2</v>
      </c>
      <c r="V70">
        <v>-3.4200929999999997E-2</v>
      </c>
      <c r="W70">
        <v>0.13009129999999999</v>
      </c>
      <c r="X70">
        <v>0.99091200000000002</v>
      </c>
      <c r="Y70">
        <v>7.9431959999999996E-3</v>
      </c>
      <c r="Z70">
        <v>-3.453989E-4</v>
      </c>
      <c r="AA70">
        <v>0.99996839999999998</v>
      </c>
      <c r="AB70">
        <v>21</v>
      </c>
      <c r="AC70">
        <v>25.402799999999999</v>
      </c>
      <c r="AD70">
        <v>-1.109485310727</v>
      </c>
      <c r="AE70">
        <v>-0.102100000000007</v>
      </c>
      <c r="AF70">
        <v>0.20341470965532199</v>
      </c>
      <c r="AG70">
        <v>-1.109485310727</v>
      </c>
      <c r="AH70">
        <v>25.353824283798801</v>
      </c>
      <c r="AI70">
        <v>92.505588613965003</v>
      </c>
      <c r="AJ70">
        <v>89.540323614954801</v>
      </c>
      <c r="AK70">
        <v>25.3789034635574</v>
      </c>
      <c r="AL70">
        <v>82.525131932656706</v>
      </c>
      <c r="AM70">
        <v>91.976756142857198</v>
      </c>
      <c r="AN70">
        <v>1.00000002084627</v>
      </c>
    </row>
    <row r="71" spans="1:40" x14ac:dyDescent="0.3">
      <c r="A71" t="str">
        <f>"20200111150720915"</f>
        <v>20200111150720915</v>
      </c>
      <c r="B71" t="str">
        <f>"1578726440911300"</f>
        <v>1578726440911300</v>
      </c>
      <c r="C71" t="s">
        <v>40</v>
      </c>
      <c r="D71">
        <v>4.7543009999999999</v>
      </c>
      <c r="E71">
        <v>0.51540200000000003</v>
      </c>
      <c r="F71" t="s">
        <v>43</v>
      </c>
      <c r="G71">
        <v>-441.72910000000002</v>
      </c>
      <c r="H71" s="1">
        <v>-4.3321070000000004E-6</v>
      </c>
      <c r="I71">
        <v>367.125</v>
      </c>
      <c r="J71">
        <v>-466.96</v>
      </c>
      <c r="K71">
        <v>1.10949599999999</v>
      </c>
      <c r="L71">
        <v>367.24639999999999</v>
      </c>
      <c r="M71">
        <v>0.99997760000000002</v>
      </c>
      <c r="N71">
        <v>0</v>
      </c>
      <c r="O71">
        <v>4.0812610000000001E-3</v>
      </c>
      <c r="P71">
        <v>0.99148539999999996</v>
      </c>
      <c r="Q71">
        <v>0.124693</v>
      </c>
      <c r="R71">
        <v>3.7530210000000001E-2</v>
      </c>
      <c r="S71">
        <v>3.0433349999999999</v>
      </c>
      <c r="T71">
        <v>-0.13271949999999999</v>
      </c>
      <c r="U71">
        <v>-1.44043E-2</v>
      </c>
      <c r="V71">
        <v>-3.3493199999999897E-2</v>
      </c>
      <c r="W71">
        <v>0.1299622</v>
      </c>
      <c r="X71">
        <v>0.99095310000000003</v>
      </c>
      <c r="Y71">
        <v>8.8019999999999904E-3</v>
      </c>
      <c r="Z71">
        <v>-3.6973529999999999E-4</v>
      </c>
      <c r="AA71">
        <v>0.99996119999999999</v>
      </c>
      <c r="AB71">
        <v>21</v>
      </c>
      <c r="AC71">
        <v>25.230899999999899</v>
      </c>
      <c r="AD71">
        <v>-1.1095003321069901</v>
      </c>
      <c r="AE71">
        <v>-0.121399999999994</v>
      </c>
      <c r="AF71">
        <v>0.22394130053053399</v>
      </c>
      <c r="AG71">
        <v>-1.1095003321069901</v>
      </c>
      <c r="AH71">
        <v>25.1815020136779</v>
      </c>
      <c r="AI71">
        <v>92.522728374868095</v>
      </c>
      <c r="AJ71">
        <v>89.490477051929005</v>
      </c>
      <c r="AK71">
        <v>25.206927308934201</v>
      </c>
      <c r="AL71">
        <v>82.532592048315394</v>
      </c>
      <c r="AM71">
        <v>91.9358017640848</v>
      </c>
      <c r="AN71">
        <v>1.0000000071373401</v>
      </c>
    </row>
    <row r="72" spans="1:40" x14ac:dyDescent="0.3">
      <c r="A72" t="str">
        <f>"20200111150720936"</f>
        <v>20200111150720936</v>
      </c>
      <c r="B72" t="str">
        <f>"1578726440930820"</f>
        <v>1578726440930820</v>
      </c>
      <c r="C72" t="s">
        <v>40</v>
      </c>
      <c r="D72">
        <v>4.9620829999999998</v>
      </c>
      <c r="E72">
        <v>0.49823070000000003</v>
      </c>
      <c r="F72" t="s">
        <v>43</v>
      </c>
      <c r="G72">
        <v>-441.75580000000002</v>
      </c>
      <c r="H72" s="1">
        <v>-4.3184169999999999E-6</v>
      </c>
      <c r="I72">
        <v>367.1309</v>
      </c>
      <c r="J72">
        <v>-466.75619999999998</v>
      </c>
      <c r="K72">
        <v>1.109502</v>
      </c>
      <c r="L72">
        <v>367.2473</v>
      </c>
      <c r="M72">
        <v>0.99997550000000002</v>
      </c>
      <c r="N72">
        <v>0</v>
      </c>
      <c r="O72">
        <v>4.1567899999999996E-3</v>
      </c>
      <c r="P72">
        <v>0.99166049999999994</v>
      </c>
      <c r="Q72">
        <v>0.1234932</v>
      </c>
      <c r="R72">
        <v>3.686242E-2</v>
      </c>
      <c r="S72">
        <v>3.0431520000000001</v>
      </c>
      <c r="T72">
        <v>-0.1339611</v>
      </c>
      <c r="U72">
        <v>-1.394653E-2</v>
      </c>
      <c r="V72">
        <v>-3.2749529999999999E-2</v>
      </c>
      <c r="W72">
        <v>0.12906669999999901</v>
      </c>
      <c r="X72">
        <v>0.99109499999999995</v>
      </c>
      <c r="Y72">
        <v>8.7271720000000001E-3</v>
      </c>
      <c r="Z72">
        <v>-3.7489089999999999E-4</v>
      </c>
      <c r="AA72">
        <v>0.99996189999999996</v>
      </c>
      <c r="AB72">
        <v>21</v>
      </c>
      <c r="AC72">
        <v>25.0003999999999</v>
      </c>
      <c r="AD72">
        <v>-1.109506318417</v>
      </c>
      <c r="AE72">
        <v>-0.11639999999999801</v>
      </c>
      <c r="AF72">
        <v>0.21988898370808399</v>
      </c>
      <c r="AG72">
        <v>-1.109506318417</v>
      </c>
      <c r="AH72">
        <v>24.9505599887746</v>
      </c>
      <c r="AI72">
        <v>92.546063648293895</v>
      </c>
      <c r="AJ72">
        <v>89.495066059704996</v>
      </c>
      <c r="AK72">
        <v>24.976184640356902</v>
      </c>
      <c r="AL72">
        <v>82.584336343989406</v>
      </c>
      <c r="AM72">
        <v>91.892580783527094</v>
      </c>
      <c r="AN72">
        <v>1.00000002189455</v>
      </c>
    </row>
    <row r="73" spans="1:40" x14ac:dyDescent="0.3">
      <c r="A73" t="str">
        <f>"20200111150720960"</f>
        <v>20200111150720960</v>
      </c>
      <c r="B73" t="str">
        <f>"1578726440951316"</f>
        <v>1578726440951316</v>
      </c>
      <c r="C73" t="s">
        <v>40</v>
      </c>
      <c r="D73">
        <v>4.9396849999999999</v>
      </c>
      <c r="E73">
        <v>0.4985889</v>
      </c>
      <c r="F73" t="s">
        <v>41</v>
      </c>
      <c r="G73">
        <v>-466.00560000000002</v>
      </c>
      <c r="H73">
        <v>1.0238560000000001</v>
      </c>
      <c r="I73">
        <v>367.27600000000001</v>
      </c>
      <c r="J73">
        <v>-466.53199999999998</v>
      </c>
      <c r="K73">
        <v>1.109505</v>
      </c>
      <c r="L73">
        <v>367.2484</v>
      </c>
      <c r="M73">
        <v>0.99997369999999997</v>
      </c>
      <c r="N73">
        <v>0</v>
      </c>
      <c r="O73">
        <v>4.2401000000000001E-3</v>
      </c>
      <c r="P73">
        <v>0.99183580000000005</v>
      </c>
      <c r="Q73">
        <v>0.12234829999999999</v>
      </c>
      <c r="R73">
        <v>3.5955910000000001E-2</v>
      </c>
      <c r="S73">
        <v>3.064362</v>
      </c>
      <c r="T73">
        <v>-0.34989209999999998</v>
      </c>
      <c r="U73">
        <v>0.1186218</v>
      </c>
      <c r="V73">
        <v>-3.1759750000000003E-2</v>
      </c>
      <c r="W73">
        <v>0.12819749999999999</v>
      </c>
      <c r="X73">
        <v>0.99124000000000001</v>
      </c>
      <c r="Y73">
        <v>-3.4249120000000001E-2</v>
      </c>
      <c r="Z73">
        <v>1.4658570000000001E-3</v>
      </c>
      <c r="AA73">
        <v>0.99941219999999997</v>
      </c>
      <c r="AB73">
        <v>21</v>
      </c>
      <c r="AC73">
        <v>0.52639999999996601</v>
      </c>
      <c r="AD73">
        <v>-8.5649000000000003E-2</v>
      </c>
      <c r="AE73">
        <v>2.7600000000006699E-2</v>
      </c>
      <c r="AF73">
        <v>-2.4715217864403699E-2</v>
      </c>
      <c r="AG73">
        <v>-8.5649000000000003E-2</v>
      </c>
      <c r="AH73">
        <v>0.51296938612377496</v>
      </c>
      <c r="AI73">
        <v>99.4682843920815</v>
      </c>
      <c r="AJ73">
        <v>92.758416943541206</v>
      </c>
      <c r="AK73">
        <v>0.52065745389390905</v>
      </c>
      <c r="AL73">
        <v>82.634554939447497</v>
      </c>
      <c r="AM73">
        <v>91.835153264853005</v>
      </c>
      <c r="AN73">
        <v>1.00000000916315</v>
      </c>
    </row>
    <row r="74" spans="1:40" x14ac:dyDescent="0.3">
      <c r="A74" t="str">
        <f>"20200111150720982"</f>
        <v>20200111150720982</v>
      </c>
      <c r="B74" t="str">
        <f>"1578726440970835"</f>
        <v>1578726440970835</v>
      </c>
      <c r="C74" t="s">
        <v>40</v>
      </c>
      <c r="D74">
        <v>4.9641289999999998</v>
      </c>
      <c r="E74">
        <v>0.49764900000000001</v>
      </c>
      <c r="F74" t="s">
        <v>41</v>
      </c>
      <c r="G74">
        <v>-465.64249999999998</v>
      </c>
      <c r="H74">
        <v>0.98780239999999997</v>
      </c>
      <c r="I74">
        <v>367.28089999999997</v>
      </c>
      <c r="J74">
        <v>-466.31849999999997</v>
      </c>
      <c r="K74">
        <v>1.109505</v>
      </c>
      <c r="L74">
        <v>367.24939999999998</v>
      </c>
      <c r="M74">
        <v>0.99997199999999997</v>
      </c>
      <c r="N74">
        <v>0</v>
      </c>
      <c r="O74">
        <v>4.3197699999999997E-3</v>
      </c>
      <c r="P74">
        <v>0.99189439999999995</v>
      </c>
      <c r="Q74">
        <v>0.1220748</v>
      </c>
      <c r="R74">
        <v>3.5261939999999999E-2</v>
      </c>
      <c r="S74">
        <v>3.072479</v>
      </c>
      <c r="T74">
        <v>-0.42044399999999998</v>
      </c>
      <c r="U74">
        <v>0.112854</v>
      </c>
      <c r="V74">
        <v>-3.0986730000000001E-2</v>
      </c>
      <c r="W74">
        <v>0.12813039999999901</v>
      </c>
      <c r="X74">
        <v>0.99127310000000002</v>
      </c>
      <c r="Y74">
        <v>-3.2129749999999999E-2</v>
      </c>
      <c r="Z74">
        <v>1.5992389999999999E-3</v>
      </c>
      <c r="AA74">
        <v>0.99948250000000005</v>
      </c>
      <c r="AB74">
        <v>21</v>
      </c>
      <c r="AC74">
        <v>0.67599999999998694</v>
      </c>
      <c r="AD74">
        <v>-0.12170259999999999</v>
      </c>
      <c r="AE74">
        <v>3.1499999999993998E-2</v>
      </c>
      <c r="AF74">
        <v>-2.7684132064183301E-2</v>
      </c>
      <c r="AG74">
        <v>-0.12170259999999999</v>
      </c>
      <c r="AH74">
        <v>0.65494757669690096</v>
      </c>
      <c r="AI74">
        <v>100.517477944421</v>
      </c>
      <c r="AJ74">
        <v>92.420407865590903</v>
      </c>
      <c r="AK74">
        <v>0.66673402660734904</v>
      </c>
      <c r="AL74">
        <v>82.638431149774306</v>
      </c>
      <c r="AM74">
        <v>91.790456034417602</v>
      </c>
      <c r="AN74">
        <v>0.99999996781193001</v>
      </c>
    </row>
    <row r="75" spans="1:40" x14ac:dyDescent="0.3">
      <c r="A75" t="str">
        <f>"20200111150721004"</f>
        <v>20200111150721004</v>
      </c>
      <c r="B75" t="str">
        <f>"1578726441001091"</f>
        <v>1578726441001091</v>
      </c>
      <c r="C75" t="s">
        <v>40</v>
      </c>
      <c r="D75">
        <v>4.2295720000000001</v>
      </c>
      <c r="E75">
        <v>0.4960116</v>
      </c>
      <c r="F75" t="s">
        <v>41</v>
      </c>
      <c r="G75">
        <v>-465.44740000000002</v>
      </c>
      <c r="H75">
        <v>0.99573389999999995</v>
      </c>
      <c r="I75">
        <v>367.2826</v>
      </c>
      <c r="J75">
        <v>-466.1123</v>
      </c>
      <c r="K75">
        <v>1.1095079999999999</v>
      </c>
      <c r="L75">
        <v>367.25029999999998</v>
      </c>
      <c r="M75">
        <v>0.99997080000000005</v>
      </c>
      <c r="N75">
        <v>0</v>
      </c>
      <c r="O75">
        <v>4.3966400000000003E-3</v>
      </c>
      <c r="P75">
        <v>0.99188730000000003</v>
      </c>
      <c r="Q75">
        <v>0.12214999999999999</v>
      </c>
      <c r="R75">
        <v>3.5205609999999998E-2</v>
      </c>
      <c r="S75">
        <v>3.0696720000000002</v>
      </c>
      <c r="T75">
        <v>-0.40113599999999999</v>
      </c>
      <c r="U75">
        <v>0.1182556</v>
      </c>
      <c r="V75">
        <v>-3.0854369999999999E-2</v>
      </c>
      <c r="W75">
        <v>0.12836589999999901</v>
      </c>
      <c r="X75">
        <v>0.99124679999999998</v>
      </c>
      <c r="Y75">
        <v>-3.3851430000000002E-2</v>
      </c>
      <c r="Z75">
        <v>1.6297389999999901E-3</v>
      </c>
      <c r="AA75">
        <v>0.99942549999999997</v>
      </c>
      <c r="AB75">
        <v>21</v>
      </c>
      <c r="AC75">
        <v>0.66489999999998795</v>
      </c>
      <c r="AD75">
        <v>-0.1137741</v>
      </c>
      <c r="AE75">
        <v>3.2300000000020597E-2</v>
      </c>
      <c r="AF75">
        <v>-2.85425408297534E-2</v>
      </c>
      <c r="AG75">
        <v>-0.1137741</v>
      </c>
      <c r="AH75">
        <v>0.64616041970989702</v>
      </c>
      <c r="AI75">
        <v>99.976585321593404</v>
      </c>
      <c r="AJ75">
        <v>92.529255383368394</v>
      </c>
      <c r="AK75">
        <v>0.65672102940860499</v>
      </c>
      <c r="AL75">
        <v>82.624825934535096</v>
      </c>
      <c r="AM75">
        <v>91.782860308530005</v>
      </c>
      <c r="AN75">
        <v>1.0000000074705699</v>
      </c>
    </row>
    <row r="76" spans="1:40" x14ac:dyDescent="0.3">
      <c r="A76" t="str">
        <f>"20200111150721027"</f>
        <v>20200111150721027</v>
      </c>
      <c r="B76" t="str">
        <f>"1578726441020612"</f>
        <v>1578726441020612</v>
      </c>
      <c r="C76" t="s">
        <v>40</v>
      </c>
      <c r="D76">
        <v>5.0616919999999999</v>
      </c>
      <c r="E76">
        <v>0.49584430000000002</v>
      </c>
      <c r="F76" t="s">
        <v>41</v>
      </c>
      <c r="G76">
        <v>-465.2466</v>
      </c>
      <c r="H76">
        <v>1.014124</v>
      </c>
      <c r="I76">
        <v>367.28699999999998</v>
      </c>
      <c r="J76">
        <v>-465.89440000000002</v>
      </c>
      <c r="K76">
        <v>1.1095060000000001</v>
      </c>
      <c r="L76">
        <v>367.25130000000001</v>
      </c>
      <c r="M76">
        <v>0.99996949999999996</v>
      </c>
      <c r="N76">
        <v>0</v>
      </c>
      <c r="O76">
        <v>4.4776529999999998E-3</v>
      </c>
      <c r="P76">
        <v>0.99184620000000001</v>
      </c>
      <c r="Q76">
        <v>0.1223326</v>
      </c>
      <c r="R76">
        <v>3.5718710000000001E-2</v>
      </c>
      <c r="S76">
        <v>3.0614319999999999</v>
      </c>
      <c r="T76">
        <v>-0.33755359999999901</v>
      </c>
      <c r="U76">
        <v>0.13119510000000001</v>
      </c>
      <c r="V76">
        <v>-3.1287479999999999E-2</v>
      </c>
      <c r="W76">
        <v>0.12867709999999999</v>
      </c>
      <c r="X76">
        <v>0.99119290000000004</v>
      </c>
      <c r="Y76">
        <v>-3.8137190000000001E-2</v>
      </c>
      <c r="Z76">
        <v>1.603211E-3</v>
      </c>
      <c r="AA76">
        <v>0.99927120000000003</v>
      </c>
      <c r="AB76">
        <v>21</v>
      </c>
      <c r="AC76">
        <v>0.64780000000001703</v>
      </c>
      <c r="AD76">
        <v>-9.53819999999998E-2</v>
      </c>
      <c r="AE76">
        <v>3.56999999999629E-2</v>
      </c>
      <c r="AF76">
        <v>-3.21050425736773E-2</v>
      </c>
      <c r="AG76">
        <v>-9.53819999999998E-2</v>
      </c>
      <c r="AH76">
        <v>0.63424483030991197</v>
      </c>
      <c r="AI76">
        <v>98.541659667601493</v>
      </c>
      <c r="AJ76">
        <v>92.897800110190104</v>
      </c>
      <c r="AK76">
        <v>0.64217985366835295</v>
      </c>
      <c r="AL76">
        <v>82.606846573864999</v>
      </c>
      <c r="AM76">
        <v>91.807968487083301</v>
      </c>
      <c r="AN76">
        <v>1.0000000337397801</v>
      </c>
    </row>
    <row r="77" spans="1:40" x14ac:dyDescent="0.3">
      <c r="A77" t="str">
        <f>"20200111150721048"</f>
        <v>20200111150721048</v>
      </c>
      <c r="B77" t="str">
        <f>"1578726441041108"</f>
        <v>1578726441041108</v>
      </c>
      <c r="C77" t="s">
        <v>40</v>
      </c>
      <c r="D77">
        <v>5.0643140000000004</v>
      </c>
      <c r="E77">
        <v>0.49602249999999998</v>
      </c>
      <c r="F77" t="s">
        <v>41</v>
      </c>
      <c r="G77">
        <v>-465.05599999999998</v>
      </c>
      <c r="H77">
        <v>1.0095879999999999</v>
      </c>
      <c r="I77">
        <v>367.28739999999999</v>
      </c>
      <c r="J77">
        <v>-465.67779999999999</v>
      </c>
      <c r="K77">
        <v>1.1095079999999999</v>
      </c>
      <c r="L77">
        <v>367.25240000000002</v>
      </c>
      <c r="M77">
        <v>0.99996859999999999</v>
      </c>
      <c r="N77">
        <v>0</v>
      </c>
      <c r="O77">
        <v>4.5582599999999997E-3</v>
      </c>
      <c r="P77">
        <v>0.99189729999999998</v>
      </c>
      <c r="Q77">
        <v>0.12170690000000001</v>
      </c>
      <c r="R77">
        <v>3.6427969999999997E-2</v>
      </c>
      <c r="S77">
        <v>3.06488</v>
      </c>
      <c r="T77">
        <v>-0.36552610000000002</v>
      </c>
      <c r="U77">
        <v>0.13388059999999999</v>
      </c>
      <c r="V77">
        <v>-3.1915970000000002E-2</v>
      </c>
      <c r="W77">
        <v>0.128138</v>
      </c>
      <c r="X77">
        <v>0.99124259999999997</v>
      </c>
      <c r="Y77">
        <v>-3.8843589999999997E-2</v>
      </c>
      <c r="Z77">
        <v>1.7655780000000001E-3</v>
      </c>
      <c r="AA77">
        <v>0.99924369999999996</v>
      </c>
      <c r="AB77">
        <v>21</v>
      </c>
      <c r="AC77">
        <v>0.62180000000000701</v>
      </c>
      <c r="AD77">
        <v>-9.9919999999999995E-2</v>
      </c>
      <c r="AE77">
        <v>3.4999999999968098E-2</v>
      </c>
      <c r="AF77">
        <v>-3.1358055291870399E-2</v>
      </c>
      <c r="AG77">
        <v>-9.9919999999999995E-2</v>
      </c>
      <c r="AH77">
        <v>0.60634500554343795</v>
      </c>
      <c r="AI77">
        <v>99.345440344699796</v>
      </c>
      <c r="AJ77">
        <v>92.960500982190993</v>
      </c>
      <c r="AK77">
        <v>0.61532235436327198</v>
      </c>
      <c r="AL77">
        <v>82.637991833118406</v>
      </c>
      <c r="AM77">
        <v>91.844168973113199</v>
      </c>
      <c r="AN77">
        <v>0.99999993411989796</v>
      </c>
    </row>
    <row r="78" spans="1:40" x14ac:dyDescent="0.3">
      <c r="A78" t="str">
        <f>"20200111150721071"</f>
        <v>20200111150721071</v>
      </c>
      <c r="B78" t="str">
        <f>"1578726441060627"</f>
        <v>1578726441060627</v>
      </c>
      <c r="C78" t="s">
        <v>40</v>
      </c>
      <c r="D78">
        <v>5.0511540000000004</v>
      </c>
      <c r="E78">
        <v>0.49590869999999998</v>
      </c>
      <c r="F78" t="s">
        <v>41</v>
      </c>
      <c r="G78">
        <v>-464.86380000000003</v>
      </c>
      <c r="H78">
        <v>1.0069429999999999</v>
      </c>
      <c r="I78">
        <v>367.28809999999999</v>
      </c>
      <c r="J78">
        <v>-465.46010000000001</v>
      </c>
      <c r="K78">
        <v>1.1095090000000001</v>
      </c>
      <c r="L78">
        <v>367.25349999999997</v>
      </c>
      <c r="M78">
        <v>0.99996790000000002</v>
      </c>
      <c r="N78">
        <v>0</v>
      </c>
      <c r="O78">
        <v>4.6395300000000002E-3</v>
      </c>
      <c r="P78">
        <v>0.99195080000000002</v>
      </c>
      <c r="Q78">
        <v>0.1211078</v>
      </c>
      <c r="R78">
        <v>3.6966569999999997E-2</v>
      </c>
      <c r="S78">
        <v>3.066986</v>
      </c>
      <c r="T78">
        <v>-0.3863568</v>
      </c>
      <c r="U78">
        <v>0.13452149999999999</v>
      </c>
      <c r="V78">
        <v>-3.2373930000000002E-2</v>
      </c>
      <c r="W78">
        <v>0.12758610000000001</v>
      </c>
      <c r="X78">
        <v>0.99129900000000004</v>
      </c>
      <c r="Y78">
        <v>-3.891302E-2</v>
      </c>
      <c r="Z78">
        <v>1.85831E-3</v>
      </c>
      <c r="AA78">
        <v>0.99924089999999999</v>
      </c>
      <c r="AB78">
        <v>22</v>
      </c>
      <c r="AC78">
        <v>0.59629999999998495</v>
      </c>
      <c r="AD78">
        <v>-0.102566</v>
      </c>
      <c r="AE78">
        <v>3.4600000000011698E-2</v>
      </c>
      <c r="AF78">
        <v>-3.0921268903719299E-2</v>
      </c>
      <c r="AG78">
        <v>-0.102566</v>
      </c>
      <c r="AH78">
        <v>0.57937072447153304</v>
      </c>
      <c r="AI78">
        <v>100.025083242166</v>
      </c>
      <c r="AJ78">
        <v>93.055002379460205</v>
      </c>
      <c r="AK78">
        <v>0.58919126402322397</v>
      </c>
      <c r="AL78">
        <v>82.669875530055194</v>
      </c>
      <c r="AM78">
        <v>91.870505803331397</v>
      </c>
      <c r="AN78">
        <v>0.99999999582892696</v>
      </c>
    </row>
    <row r="79" spans="1:40" x14ac:dyDescent="0.3">
      <c r="A79" t="str">
        <f>"20200111150721093"</f>
        <v>20200111150721093</v>
      </c>
      <c r="B79" t="str">
        <f>"1578726441090884"</f>
        <v>1578726441090884</v>
      </c>
      <c r="C79" t="s">
        <v>40</v>
      </c>
      <c r="D79">
        <v>5.1023680000000002</v>
      </c>
      <c r="E79">
        <v>0.49600959999999999</v>
      </c>
      <c r="F79" t="s">
        <v>41</v>
      </c>
      <c r="G79">
        <v>-464.6678</v>
      </c>
      <c r="H79">
        <v>1.0104489999999999</v>
      </c>
      <c r="I79">
        <v>367.28859999999997</v>
      </c>
      <c r="J79">
        <v>-465.24540000000002</v>
      </c>
      <c r="K79">
        <v>1.109507</v>
      </c>
      <c r="L79">
        <v>367.25459999999998</v>
      </c>
      <c r="M79">
        <v>0.99996750000000001</v>
      </c>
      <c r="N79">
        <v>0</v>
      </c>
      <c r="O79">
        <v>4.7197159999999997E-3</v>
      </c>
      <c r="P79">
        <v>0.99194179999999998</v>
      </c>
      <c r="Q79">
        <v>0.1210857</v>
      </c>
      <c r="R79">
        <v>3.7281139999999997E-2</v>
      </c>
      <c r="S79">
        <v>3.0661010000000002</v>
      </c>
      <c r="T79">
        <v>-0.38375959999999998</v>
      </c>
      <c r="U79">
        <v>0.13772579999999901</v>
      </c>
      <c r="V79">
        <v>-3.2608890000000001E-2</v>
      </c>
      <c r="W79">
        <v>0.12757660000000001</v>
      </c>
      <c r="X79">
        <v>0.99129250000000002</v>
      </c>
      <c r="Y79">
        <v>-3.9884280000000001E-2</v>
      </c>
      <c r="Z79">
        <v>1.896925E-3</v>
      </c>
      <c r="AA79">
        <v>0.99920249999999999</v>
      </c>
      <c r="AB79">
        <v>22</v>
      </c>
      <c r="AC79">
        <v>0.57760000000001799</v>
      </c>
      <c r="AD79">
        <v>-9.9057999999999993E-2</v>
      </c>
      <c r="AE79">
        <v>3.3999999999991801E-2</v>
      </c>
      <c r="AF79">
        <v>-3.0382918045148199E-2</v>
      </c>
      <c r="AG79">
        <v>-9.9057999999999993E-2</v>
      </c>
      <c r="AH79">
        <v>0.56130202436072196</v>
      </c>
      <c r="AI79">
        <v>99.994110226161695</v>
      </c>
      <c r="AJ79">
        <v>93.098360051814396</v>
      </c>
      <c r="AK79">
        <v>0.57078504852911405</v>
      </c>
      <c r="AL79">
        <v>82.670424167943906</v>
      </c>
      <c r="AM79">
        <v>91.884083953817907</v>
      </c>
      <c r="AN79">
        <v>0.99999997456542</v>
      </c>
    </row>
    <row r="80" spans="1:40" x14ac:dyDescent="0.3">
      <c r="A80" t="str">
        <f>"20200111150721214"</f>
        <v>20200111150721214</v>
      </c>
      <c r="B80" t="str">
        <f>"1578726441210933"</f>
        <v>1578726441210933</v>
      </c>
      <c r="C80" t="s">
        <v>40</v>
      </c>
      <c r="D80">
        <v>5.0489769999999998</v>
      </c>
      <c r="E80">
        <v>0.4928612</v>
      </c>
      <c r="F80" t="s">
        <v>41</v>
      </c>
      <c r="G80">
        <v>-463.476</v>
      </c>
      <c r="H80">
        <v>1.020599</v>
      </c>
      <c r="I80">
        <v>367.30189999999999</v>
      </c>
      <c r="J80">
        <v>-464.0419</v>
      </c>
      <c r="K80">
        <v>1.109494</v>
      </c>
      <c r="L80">
        <v>367.26100000000002</v>
      </c>
      <c r="M80">
        <v>0.9999671</v>
      </c>
      <c r="N80">
        <v>0</v>
      </c>
      <c r="O80">
        <v>5.1679430000000004E-3</v>
      </c>
      <c r="P80">
        <v>0.991703</v>
      </c>
      <c r="Q80">
        <v>0.1232989</v>
      </c>
      <c r="R80">
        <v>3.6374669999999998E-2</v>
      </c>
      <c r="S80">
        <v>3.060638</v>
      </c>
      <c r="T80">
        <v>-0.34356530000000002</v>
      </c>
      <c r="U80">
        <v>0.1651001</v>
      </c>
      <c r="V80">
        <v>-3.1259929999999998E-2</v>
      </c>
      <c r="W80">
        <v>0.1295145</v>
      </c>
      <c r="X80">
        <v>0.99108470000000004</v>
      </c>
      <c r="Y80">
        <v>-4.8432530000000001E-2</v>
      </c>
      <c r="Z80">
        <v>2.1300109999999998E-3</v>
      </c>
      <c r="AA80">
        <v>0.99882420000000005</v>
      </c>
      <c r="AB80">
        <v>22</v>
      </c>
      <c r="AC80">
        <v>0.56589999999999896</v>
      </c>
      <c r="AD80">
        <v>-8.8894999999999905E-2</v>
      </c>
      <c r="AE80">
        <v>4.0900000000021898E-2</v>
      </c>
      <c r="AF80">
        <v>-3.7064993559165198E-2</v>
      </c>
      <c r="AG80">
        <v>-8.8894999999999905E-2</v>
      </c>
      <c r="AH80">
        <v>0.55254016885319202</v>
      </c>
      <c r="AI80">
        <v>99.119518426735695</v>
      </c>
      <c r="AJ80">
        <v>93.837713491503294</v>
      </c>
      <c r="AK80">
        <v>0.56087144067856998</v>
      </c>
      <c r="AL80">
        <v>82.558462229122895</v>
      </c>
      <c r="AM80">
        <v>91.806574624169201</v>
      </c>
      <c r="AN80">
        <v>1.00000003575397</v>
      </c>
    </row>
    <row r="81" spans="1:40" x14ac:dyDescent="0.3">
      <c r="A81" t="str">
        <f>"20200111150721238"</f>
        <v>20200111150721238</v>
      </c>
      <c r="B81" t="str">
        <f>"1578726441231428"</f>
        <v>1578726441231428</v>
      </c>
      <c r="C81" t="s">
        <v>40</v>
      </c>
      <c r="D81">
        <v>5.0804589999999896</v>
      </c>
      <c r="E81">
        <v>0.4886993</v>
      </c>
      <c r="F81" t="s">
        <v>41</v>
      </c>
      <c r="G81">
        <v>-463.27719999999999</v>
      </c>
      <c r="H81">
        <v>1.0190939999999999</v>
      </c>
      <c r="I81">
        <v>367.30079999999998</v>
      </c>
      <c r="J81">
        <v>-463.80869999999999</v>
      </c>
      <c r="K81">
        <v>1.1095060000000001</v>
      </c>
      <c r="L81">
        <v>367.26229999999998</v>
      </c>
      <c r="M81">
        <v>0.99996700000000005</v>
      </c>
      <c r="N81">
        <v>0</v>
      </c>
      <c r="O81">
        <v>5.2540410000000001E-3</v>
      </c>
      <c r="P81">
        <v>0.99165639999999999</v>
      </c>
      <c r="Q81">
        <v>0.1237644</v>
      </c>
      <c r="R81">
        <v>3.6062719999999999E-2</v>
      </c>
      <c r="S81">
        <v>3.064209</v>
      </c>
      <c r="T81">
        <v>-0.36222510000000002</v>
      </c>
      <c r="U81">
        <v>0.16009519999999999</v>
      </c>
      <c r="V81">
        <v>-3.0863689999999999E-2</v>
      </c>
      <c r="W81">
        <v>0.1299149</v>
      </c>
      <c r="X81">
        <v>0.9910447</v>
      </c>
      <c r="Y81">
        <v>-4.6640599999999997E-2</v>
      </c>
      <c r="Z81">
        <v>2.1268089999999999E-3</v>
      </c>
      <c r="AA81">
        <v>0.99890950000000001</v>
      </c>
      <c r="AB81">
        <v>22</v>
      </c>
      <c r="AC81">
        <v>0.53149999999999398</v>
      </c>
      <c r="AD81">
        <v>-9.0411999999999895E-2</v>
      </c>
      <c r="AE81">
        <v>3.8499999999999E-2</v>
      </c>
      <c r="AF81">
        <v>-3.4707812665738497E-2</v>
      </c>
      <c r="AG81">
        <v>-9.0411999999999895E-2</v>
      </c>
      <c r="AH81">
        <v>0.51681811347917705</v>
      </c>
      <c r="AI81">
        <v>99.901033537056506</v>
      </c>
      <c r="AJ81">
        <v>93.842028039022296</v>
      </c>
      <c r="AK81">
        <v>0.52581358333939598</v>
      </c>
      <c r="AL81">
        <v>82.535325430221803</v>
      </c>
      <c r="AM81">
        <v>91.783761945840695</v>
      </c>
      <c r="AN81">
        <v>1.0000000230002499</v>
      </c>
    </row>
    <row r="82" spans="1:40" x14ac:dyDescent="0.3">
      <c r="A82" t="str">
        <f>"20200111150721263"</f>
        <v>20200111150721263</v>
      </c>
      <c r="B82" t="str">
        <f>"1578726441250950"</f>
        <v>1578726441250950</v>
      </c>
      <c r="C82" t="s">
        <v>40</v>
      </c>
      <c r="D82">
        <v>5.0845669999999998</v>
      </c>
      <c r="E82">
        <v>0.48527019999999998</v>
      </c>
      <c r="F82" t="s">
        <v>41</v>
      </c>
      <c r="G82">
        <v>-463.06020000000001</v>
      </c>
      <c r="H82">
        <v>1.0238640000000001</v>
      </c>
      <c r="I82">
        <v>367.30889999999999</v>
      </c>
      <c r="J82">
        <v>-463.565</v>
      </c>
      <c r="K82">
        <v>1.10951</v>
      </c>
      <c r="L82">
        <v>367.2636</v>
      </c>
      <c r="M82">
        <v>0.99996700000000005</v>
      </c>
      <c r="N82">
        <v>0</v>
      </c>
      <c r="O82">
        <v>5.3443960000000004E-3</v>
      </c>
      <c r="P82">
        <v>0.99165449999999999</v>
      </c>
      <c r="Q82">
        <v>0.1238925</v>
      </c>
      <c r="R82">
        <v>3.5665929999999998E-2</v>
      </c>
      <c r="S82">
        <v>3.0620120000000002</v>
      </c>
      <c r="T82">
        <v>-0.35062459999999901</v>
      </c>
      <c r="U82">
        <v>0.19247439999999999</v>
      </c>
      <c r="V82">
        <v>-3.0377210000000002E-2</v>
      </c>
      <c r="W82">
        <v>0.1299679</v>
      </c>
      <c r="X82">
        <v>0.99105270000000001</v>
      </c>
      <c r="Y82">
        <v>-5.7063500000000003E-2</v>
      </c>
      <c r="Z82">
        <v>2.643921E-3</v>
      </c>
      <c r="AA82">
        <v>0.99836709999999995</v>
      </c>
      <c r="AB82">
        <v>22</v>
      </c>
      <c r="AC82">
        <v>0.50479999999998804</v>
      </c>
      <c r="AD82">
        <v>-8.5646000000000097E-2</v>
      </c>
      <c r="AE82">
        <v>4.5299999999997398E-2</v>
      </c>
      <c r="AF82">
        <v>-4.1418712993376898E-2</v>
      </c>
      <c r="AG82">
        <v>-8.5646000000000097E-2</v>
      </c>
      <c r="AH82">
        <v>0.49101367945067298</v>
      </c>
      <c r="AI82">
        <v>99.8600559881815</v>
      </c>
      <c r="AJ82">
        <v>94.821683811792198</v>
      </c>
      <c r="AK82">
        <v>0.50014515943845295</v>
      </c>
      <c r="AL82">
        <v>82.532262179922</v>
      </c>
      <c r="AM82">
        <v>91.755649487031803</v>
      </c>
      <c r="AN82">
        <v>0.99999994204753995</v>
      </c>
    </row>
    <row r="83" spans="1:40" x14ac:dyDescent="0.3">
      <c r="A83" t="str">
        <f>"20200111150721285"</f>
        <v>20200111150721285</v>
      </c>
      <c r="B83" t="str">
        <f>"1578726441281203"</f>
        <v>1578726441281203</v>
      </c>
      <c r="C83" t="s">
        <v>40</v>
      </c>
      <c r="D83">
        <v>5.1363050000000001</v>
      </c>
      <c r="E83">
        <v>0.48221130000000001</v>
      </c>
      <c r="F83" t="s">
        <v>43</v>
      </c>
      <c r="G83">
        <v>-453.4314</v>
      </c>
      <c r="H83" s="1">
        <v>-3.089285E-6</v>
      </c>
      <c r="I83">
        <v>367.98680000000002</v>
      </c>
      <c r="J83">
        <v>-463.33690000000001</v>
      </c>
      <c r="K83">
        <v>1.10951</v>
      </c>
      <c r="L83">
        <v>367.26499999999999</v>
      </c>
      <c r="M83">
        <v>0.99996700000000005</v>
      </c>
      <c r="N83">
        <v>0</v>
      </c>
      <c r="O83">
        <v>5.4288929999999997E-3</v>
      </c>
      <c r="P83">
        <v>0.99167019999999995</v>
      </c>
      <c r="Q83">
        <v>0.123862</v>
      </c>
      <c r="R83">
        <v>3.53406E-2</v>
      </c>
      <c r="S83">
        <v>3.0592959999999998</v>
      </c>
      <c r="T83">
        <v>-0.33495340000000001</v>
      </c>
      <c r="U83">
        <v>0.21832280000000001</v>
      </c>
      <c r="V83">
        <v>-2.9968350000000001E-2</v>
      </c>
      <c r="W83">
        <v>0.12986809999999999</v>
      </c>
      <c r="X83">
        <v>0.99107829999999997</v>
      </c>
      <c r="Y83">
        <v>-6.5409839999999997E-2</v>
      </c>
      <c r="Z83">
        <v>2.9737489999999999E-3</v>
      </c>
      <c r="AA83">
        <v>0.99785409999999997</v>
      </c>
      <c r="AB83">
        <v>23</v>
      </c>
      <c r="AC83">
        <v>9.9055000000000106</v>
      </c>
      <c r="AD83">
        <v>-1.109513089285</v>
      </c>
      <c r="AE83">
        <v>0.72180000000002997</v>
      </c>
      <c r="AF83">
        <v>-0.65977849209404105</v>
      </c>
      <c r="AG83">
        <v>-1.109513089285</v>
      </c>
      <c r="AH83">
        <v>9.7871299782429002</v>
      </c>
      <c r="AI83">
        <v>96.453172508993603</v>
      </c>
      <c r="AJ83">
        <v>93.856637673933093</v>
      </c>
      <c r="AK83">
        <v>9.8718914178056902</v>
      </c>
      <c r="AL83">
        <v>82.538029693776096</v>
      </c>
      <c r="AM83">
        <v>91.731989221157505</v>
      </c>
      <c r="AN83">
        <v>1.0000000110651099</v>
      </c>
    </row>
    <row r="84" spans="1:40" x14ac:dyDescent="0.3">
      <c r="A84" t="str">
        <f>"20200111150721305"</f>
        <v>20200111150721305</v>
      </c>
      <c r="B84" t="str">
        <f>"1578726441300723"</f>
        <v>1578726441300723</v>
      </c>
      <c r="C84" t="s">
        <v>40</v>
      </c>
      <c r="D84">
        <v>5.0154360000000002</v>
      </c>
      <c r="E84">
        <v>0.48043760000000002</v>
      </c>
      <c r="F84" t="s">
        <v>43</v>
      </c>
      <c r="G84">
        <v>-452.69450000000001</v>
      </c>
      <c r="H84" s="1">
        <v>-3.384357E-6</v>
      </c>
      <c r="I84">
        <v>368.10539999999997</v>
      </c>
      <c r="J84">
        <v>-463.12520000000001</v>
      </c>
      <c r="K84">
        <v>1.1095109999999999</v>
      </c>
      <c r="L84">
        <v>367.26620000000003</v>
      </c>
      <c r="M84">
        <v>0.99996689999999999</v>
      </c>
      <c r="N84">
        <v>0</v>
      </c>
      <c r="O84">
        <v>5.5075749999999998E-3</v>
      </c>
      <c r="P84">
        <v>0.99156369999999905</v>
      </c>
      <c r="Q84">
        <v>0.1247936</v>
      </c>
      <c r="R84">
        <v>3.503933E-2</v>
      </c>
      <c r="S84">
        <v>3.0563959999999999</v>
      </c>
      <c r="T84">
        <v>-0.3186408</v>
      </c>
      <c r="U84">
        <v>0.241394</v>
      </c>
      <c r="V84">
        <v>-2.95897E-2</v>
      </c>
      <c r="W84">
        <v>0.13073899999999999</v>
      </c>
      <c r="X84">
        <v>0.9909751</v>
      </c>
      <c r="Y84">
        <v>-7.2880159999999999E-2</v>
      </c>
      <c r="Z84">
        <v>3.211177E-3</v>
      </c>
      <c r="AA84">
        <v>0.99733559999999999</v>
      </c>
      <c r="AB84">
        <v>23</v>
      </c>
      <c r="AC84">
        <v>10.4307</v>
      </c>
      <c r="AD84">
        <v>-1.1095143843569999</v>
      </c>
      <c r="AE84">
        <v>0.83919999999994799</v>
      </c>
      <c r="AF84">
        <v>-0.77304790896240205</v>
      </c>
      <c r="AG84">
        <v>-1.1095143843569999</v>
      </c>
      <c r="AH84">
        <v>10.319157662363599</v>
      </c>
      <c r="AI84">
        <v>96.119840380475395</v>
      </c>
      <c r="AJ84">
        <v>94.284245315911903</v>
      </c>
      <c r="AK84">
        <v>10.407383921974001</v>
      </c>
      <c r="AL84">
        <v>82.487701192323399</v>
      </c>
      <c r="AM84">
        <v>91.710296606532793</v>
      </c>
      <c r="AN84">
        <v>0.99999994264354797</v>
      </c>
    </row>
    <row r="85" spans="1:40" x14ac:dyDescent="0.3">
      <c r="A85" t="str">
        <f>"20200111150721329"</f>
        <v>20200111150721329</v>
      </c>
      <c r="B85" t="str">
        <f>"1578726441321221"</f>
        <v>1578726441321221</v>
      </c>
      <c r="C85" t="s">
        <v>40</v>
      </c>
      <c r="D85">
        <v>5.0145169999999997</v>
      </c>
      <c r="E85">
        <v>0.47881580000000001</v>
      </c>
      <c r="F85" t="s">
        <v>43</v>
      </c>
      <c r="G85">
        <v>-452.23390000000001</v>
      </c>
      <c r="H85" s="1">
        <v>-3.5694589999999998E-6</v>
      </c>
      <c r="I85">
        <v>368.17570000000001</v>
      </c>
      <c r="J85">
        <v>-462.88839999999999</v>
      </c>
      <c r="K85">
        <v>1.10951</v>
      </c>
      <c r="L85">
        <v>367.26760000000002</v>
      </c>
      <c r="M85">
        <v>0.99996680000000004</v>
      </c>
      <c r="N85">
        <v>0</v>
      </c>
      <c r="O85">
        <v>5.5951960000000002E-3</v>
      </c>
      <c r="P85">
        <v>0.99158259999999998</v>
      </c>
      <c r="Q85">
        <v>0.1244908</v>
      </c>
      <c r="R85">
        <v>3.5578180000000001E-2</v>
      </c>
      <c r="S85">
        <v>3.0556640000000002</v>
      </c>
      <c r="T85">
        <v>-0.3112837</v>
      </c>
      <c r="U85">
        <v>0.25518800000000003</v>
      </c>
      <c r="V85">
        <v>-3.0041470000000001E-2</v>
      </c>
      <c r="W85">
        <v>0.13037679999999999</v>
      </c>
      <c r="X85">
        <v>0.99100929999999998</v>
      </c>
      <c r="Y85">
        <v>-7.7277819999999997E-2</v>
      </c>
      <c r="Z85">
        <v>3.3517450000000002E-3</v>
      </c>
      <c r="AA85">
        <v>0.997004</v>
      </c>
      <c r="AB85">
        <v>23</v>
      </c>
      <c r="AC85">
        <v>10.654499999999899</v>
      </c>
      <c r="AD85">
        <v>-1.1095135694589999</v>
      </c>
      <c r="AE85">
        <v>0.90809999999999003</v>
      </c>
      <c r="AF85">
        <v>-0.83943335810792397</v>
      </c>
      <c r="AG85">
        <v>-1.1095135694589999</v>
      </c>
      <c r="AH85">
        <v>10.5458770724863</v>
      </c>
      <c r="AI85">
        <v>95.987097400949196</v>
      </c>
      <c r="AJ85">
        <v>94.551048324784105</v>
      </c>
      <c r="AK85">
        <v>10.637254906765699</v>
      </c>
      <c r="AL85">
        <v>82.508633440819096</v>
      </c>
      <c r="AM85">
        <v>91.736333342721693</v>
      </c>
      <c r="AN85">
        <v>1.00000001629224</v>
      </c>
    </row>
    <row r="86" spans="1:40" x14ac:dyDescent="0.3">
      <c r="A86" t="str">
        <f>"20200111150721351"</f>
        <v>20200111150721351</v>
      </c>
      <c r="B86" t="str">
        <f>"1578726441340739"</f>
        <v>1578726441340739</v>
      </c>
      <c r="C86" t="s">
        <v>40</v>
      </c>
      <c r="D86">
        <v>4.973948</v>
      </c>
      <c r="E86">
        <v>0.47765059999999898</v>
      </c>
      <c r="F86" t="s">
        <v>43</v>
      </c>
      <c r="G86">
        <v>-451.90429999999998</v>
      </c>
      <c r="H86" s="1">
        <v>-3.699725E-6</v>
      </c>
      <c r="I86">
        <v>368.23849999999999</v>
      </c>
      <c r="J86">
        <v>-462.65309999999999</v>
      </c>
      <c r="K86">
        <v>1.1095109999999999</v>
      </c>
      <c r="L86">
        <v>367.26900000000001</v>
      </c>
      <c r="M86">
        <v>0.99996660000000004</v>
      </c>
      <c r="N86">
        <v>0</v>
      </c>
      <c r="O86">
        <v>5.6824329999999998E-3</v>
      </c>
      <c r="P86">
        <v>0.99163109999999999</v>
      </c>
      <c r="Q86">
        <v>0.124168899999999</v>
      </c>
      <c r="R86">
        <v>3.5357079999999999E-2</v>
      </c>
      <c r="S86">
        <v>3.054535</v>
      </c>
      <c r="T86">
        <v>-0.30853930000000002</v>
      </c>
      <c r="U86">
        <v>0.27001950000000002</v>
      </c>
      <c r="V86">
        <v>-2.9733889999999999E-2</v>
      </c>
      <c r="W86">
        <v>0.1300038</v>
      </c>
      <c r="X86">
        <v>0.99106749999999999</v>
      </c>
      <c r="Y86">
        <v>-8.2008960000000006E-2</v>
      </c>
      <c r="Z86">
        <v>3.5519890000000002E-3</v>
      </c>
      <c r="AA86">
        <v>0.99662519999999999</v>
      </c>
      <c r="AB86">
        <v>23</v>
      </c>
      <c r="AC86">
        <v>10.748799999999999</v>
      </c>
      <c r="AD86">
        <v>-1.1095146997250001</v>
      </c>
      <c r="AE86">
        <v>0.96949999999998204</v>
      </c>
      <c r="AF86">
        <v>-0.89890358889858502</v>
      </c>
      <c r="AG86">
        <v>-1.1095146997250001</v>
      </c>
      <c r="AH86">
        <v>10.641665607096501</v>
      </c>
      <c r="AI86">
        <v>95.9312597907753</v>
      </c>
      <c r="AJ86">
        <v>94.8283238363518</v>
      </c>
      <c r="AK86">
        <v>10.7370432347226</v>
      </c>
      <c r="AL86">
        <v>82.530187652106093</v>
      </c>
      <c r="AM86">
        <v>91.718465724427404</v>
      </c>
      <c r="AN86">
        <v>0.99999994089260902</v>
      </c>
    </row>
    <row r="87" spans="1:40" x14ac:dyDescent="0.3">
      <c r="A87" t="str">
        <f>"20200111150721373"</f>
        <v>20200111150721373</v>
      </c>
      <c r="B87" t="str">
        <f>"1578726441360793"</f>
        <v>1578726441360793</v>
      </c>
      <c r="C87" t="s">
        <v>40</v>
      </c>
      <c r="D87">
        <v>4.8694319999999998</v>
      </c>
      <c r="E87">
        <v>0.47657539999999998</v>
      </c>
      <c r="F87" t="s">
        <v>43</v>
      </c>
      <c r="G87">
        <v>-451.6191</v>
      </c>
      <c r="H87" s="1">
        <v>-3.8153669999999997E-6</v>
      </c>
      <c r="I87">
        <v>368.27629999999999</v>
      </c>
      <c r="J87">
        <v>-462.4264</v>
      </c>
      <c r="K87">
        <v>1.109523</v>
      </c>
      <c r="L87">
        <v>367.2704</v>
      </c>
      <c r="M87">
        <v>0.99996640000000003</v>
      </c>
      <c r="N87">
        <v>0</v>
      </c>
      <c r="O87">
        <v>5.7662420000000004E-3</v>
      </c>
      <c r="P87">
        <v>0.99146889999999999</v>
      </c>
      <c r="Q87">
        <v>0.1253658</v>
      </c>
      <c r="R87">
        <v>3.5678349999999998E-2</v>
      </c>
      <c r="S87">
        <v>3.0538020000000001</v>
      </c>
      <c r="T87">
        <v>-0.30707250000000003</v>
      </c>
      <c r="U87">
        <v>0.27880860000000002</v>
      </c>
      <c r="V87">
        <v>-2.9973610000000001E-2</v>
      </c>
      <c r="W87">
        <v>0.13115829999999901</v>
      </c>
      <c r="X87">
        <v>0.99090820000000002</v>
      </c>
      <c r="Y87">
        <v>-8.4781590000000004E-2</v>
      </c>
      <c r="Z87">
        <v>3.6659520000000001E-3</v>
      </c>
      <c r="AA87">
        <v>0.99639279999999997</v>
      </c>
      <c r="AB87">
        <v>23</v>
      </c>
      <c r="AC87">
        <v>10.8072999999999</v>
      </c>
      <c r="AD87">
        <v>-1.1095268153669999</v>
      </c>
      <c r="AE87">
        <v>1.00589999999999</v>
      </c>
      <c r="AF87">
        <v>-0.93380690667522204</v>
      </c>
      <c r="AG87">
        <v>-1.1095268153669999</v>
      </c>
      <c r="AH87">
        <v>10.7010996644501</v>
      </c>
      <c r="AI87">
        <v>95.897220386231695</v>
      </c>
      <c r="AJ87">
        <v>94.987151639746699</v>
      </c>
      <c r="AK87">
        <v>10.798915645631601</v>
      </c>
      <c r="AL87">
        <v>82.463468756115702</v>
      </c>
      <c r="AM87">
        <v>91.732590217522599</v>
      </c>
      <c r="AN87">
        <v>0.99999998889127995</v>
      </c>
    </row>
    <row r="88" spans="1:40" x14ac:dyDescent="0.3">
      <c r="A88" t="str">
        <f>"20200111150721394"</f>
        <v>20200111150721394</v>
      </c>
      <c r="B88" t="str">
        <f>"1578726441391046"</f>
        <v>1578726441391046</v>
      </c>
      <c r="C88" t="s">
        <v>40</v>
      </c>
      <c r="D88">
        <v>4.2715670000000001</v>
      </c>
      <c r="E88">
        <v>0.47574050000000001</v>
      </c>
      <c r="F88" t="s">
        <v>43</v>
      </c>
      <c r="G88">
        <v>-451.30860000000001</v>
      </c>
      <c r="H88" s="1">
        <v>-3.940593E-6</v>
      </c>
      <c r="I88">
        <v>368.32150000000001</v>
      </c>
      <c r="J88">
        <v>-462.2038</v>
      </c>
      <c r="K88">
        <v>1.1095389999999901</v>
      </c>
      <c r="L88">
        <v>367.27179999999998</v>
      </c>
      <c r="M88">
        <v>0.99996609999999997</v>
      </c>
      <c r="N88">
        <v>0</v>
      </c>
      <c r="O88">
        <v>5.8487160000000003E-3</v>
      </c>
      <c r="P88">
        <v>0.99119089999999999</v>
      </c>
      <c r="Q88">
        <v>0.1273079</v>
      </c>
      <c r="R88">
        <v>3.6514999999999999E-2</v>
      </c>
      <c r="S88">
        <v>3.053925</v>
      </c>
      <c r="T88">
        <v>-0.3047705</v>
      </c>
      <c r="U88">
        <v>0.28872680000000001</v>
      </c>
      <c r="V88">
        <v>-3.0730230000000001E-2</v>
      </c>
      <c r="W88">
        <v>0.13306499999999999</v>
      </c>
      <c r="X88">
        <v>0.99063080000000003</v>
      </c>
      <c r="Y88">
        <v>-8.7894799999999995E-2</v>
      </c>
      <c r="Z88">
        <v>3.7843460000000001E-3</v>
      </c>
      <c r="AA88">
        <v>0.99612259999999997</v>
      </c>
      <c r="AB88">
        <v>23</v>
      </c>
      <c r="AC88">
        <v>10.8951999999999</v>
      </c>
      <c r="AD88">
        <v>-1.10954294059299</v>
      </c>
      <c r="AE88">
        <v>1.0497000000000201</v>
      </c>
      <c r="AF88">
        <v>-0.97592982789057703</v>
      </c>
      <c r="AG88">
        <v>-1.10954294059299</v>
      </c>
      <c r="AH88">
        <v>10.7902771013704</v>
      </c>
      <c r="AI88">
        <v>95.847276416627196</v>
      </c>
      <c r="AJ88">
        <v>95.168072245488005</v>
      </c>
      <c r="AK88">
        <v>10.8909873055819</v>
      </c>
      <c r="AL88">
        <v>82.353257024133995</v>
      </c>
      <c r="AM88">
        <v>91.776795183160104</v>
      </c>
      <c r="AN88">
        <v>1.0000000115847401</v>
      </c>
    </row>
    <row r="89" spans="1:40" x14ac:dyDescent="0.3">
      <c r="A89" t="str">
        <f>"20200111150721417"</f>
        <v>20200111150721417</v>
      </c>
      <c r="B89" t="str">
        <f>"1578726441410567"</f>
        <v>1578726441410567</v>
      </c>
      <c r="C89" t="s">
        <v>40</v>
      </c>
      <c r="D89">
        <v>5.1465230000000002</v>
      </c>
      <c r="E89">
        <v>0.47551399999999999</v>
      </c>
      <c r="F89" t="s">
        <v>43</v>
      </c>
      <c r="G89">
        <v>-451.15309999999999</v>
      </c>
      <c r="H89" s="1">
        <v>-4.0028260000000003E-6</v>
      </c>
      <c r="I89">
        <v>368.34660000000002</v>
      </c>
      <c r="J89">
        <v>-461.96409999999997</v>
      </c>
      <c r="K89">
        <v>1.1095469999999901</v>
      </c>
      <c r="L89">
        <v>367.27330000000001</v>
      </c>
      <c r="M89">
        <v>0.99996569999999996</v>
      </c>
      <c r="N89">
        <v>0</v>
      </c>
      <c r="O89">
        <v>5.9373739999999996E-3</v>
      </c>
      <c r="P89">
        <v>0.99102610000000002</v>
      </c>
      <c r="Q89">
        <v>0.12839600000000001</v>
      </c>
      <c r="R89">
        <v>3.7174279999999997E-2</v>
      </c>
      <c r="S89">
        <v>3.0551149999999998</v>
      </c>
      <c r="T89">
        <v>-0.30674590000000002</v>
      </c>
      <c r="U89">
        <v>0.29714970000000002</v>
      </c>
      <c r="V89">
        <v>-3.1302480000000001E-2</v>
      </c>
      <c r="W89">
        <v>0.1341231</v>
      </c>
      <c r="X89">
        <v>0.99047019999999997</v>
      </c>
      <c r="Y89">
        <v>-9.0473910000000005E-2</v>
      </c>
      <c r="Z89">
        <v>3.9267820000000002E-3</v>
      </c>
      <c r="AA89">
        <v>0.99589110000000003</v>
      </c>
      <c r="AB89">
        <v>23</v>
      </c>
      <c r="AC89">
        <v>10.8109999999999</v>
      </c>
      <c r="AD89">
        <v>-1.1095510028259901</v>
      </c>
      <c r="AE89">
        <v>1.0733000000000099</v>
      </c>
      <c r="AF89">
        <v>-0.99867443155755498</v>
      </c>
      <c r="AG89">
        <v>-1.1095510028259901</v>
      </c>
      <c r="AH89">
        <v>10.7055186923099</v>
      </c>
      <c r="AI89">
        <v>95.891774703864499</v>
      </c>
      <c r="AJ89">
        <v>95.329467185352996</v>
      </c>
      <c r="AK89">
        <v>10.809097303638101</v>
      </c>
      <c r="AL89">
        <v>82.292084186127198</v>
      </c>
      <c r="AM89">
        <v>91.810153641429395</v>
      </c>
      <c r="AN89">
        <v>1.0000000341478901</v>
      </c>
    </row>
    <row r="90" spans="1:40" x14ac:dyDescent="0.3">
      <c r="A90" t="str">
        <f>"20200111150721507"</f>
        <v>20200111150721507</v>
      </c>
      <c r="B90" t="str">
        <f>"1578726441501273"</f>
        <v>1578726441501273</v>
      </c>
      <c r="C90" t="s">
        <v>40</v>
      </c>
      <c r="D90">
        <v>6.8204759999999904</v>
      </c>
      <c r="E90">
        <v>0.4687383</v>
      </c>
      <c r="F90" t="s">
        <v>43</v>
      </c>
      <c r="G90">
        <v>-450.7167</v>
      </c>
      <c r="H90" s="1">
        <v>-4.1837619999999999E-6</v>
      </c>
      <c r="I90">
        <v>368.38200000000001</v>
      </c>
      <c r="J90">
        <v>-461.01389999999998</v>
      </c>
      <c r="K90">
        <v>1.1095680000000001</v>
      </c>
      <c r="L90">
        <v>367.27949999999998</v>
      </c>
      <c r="M90">
        <v>0.99996379999999996</v>
      </c>
      <c r="N90">
        <v>0</v>
      </c>
      <c r="O90">
        <v>6.2881279999999996E-3</v>
      </c>
      <c r="P90">
        <v>0.99090800000000001</v>
      </c>
      <c r="Q90">
        <v>0.1285357</v>
      </c>
      <c r="R90">
        <v>3.9749449999999999E-2</v>
      </c>
      <c r="S90">
        <v>3.0549620000000002</v>
      </c>
      <c r="T90">
        <v>-0.301367</v>
      </c>
      <c r="U90">
        <v>0.301178</v>
      </c>
      <c r="V90">
        <v>-3.353122E-2</v>
      </c>
      <c r="W90">
        <v>0.13421140000000001</v>
      </c>
      <c r="X90">
        <v>0.99038519999999997</v>
      </c>
      <c r="Y90">
        <v>-9.1441709999999995E-2</v>
      </c>
      <c r="Z90">
        <v>3.8712809999999999E-3</v>
      </c>
      <c r="AA90">
        <v>0.99580290000000005</v>
      </c>
      <c r="AB90">
        <v>24</v>
      </c>
      <c r="AC90">
        <v>10.297199999999901</v>
      </c>
      <c r="AD90">
        <v>-1.1095721837620001</v>
      </c>
      <c r="AE90">
        <v>1.1024999999999601</v>
      </c>
      <c r="AF90">
        <v>-1.02594964823512</v>
      </c>
      <c r="AG90">
        <v>-1.1095721837620001</v>
      </c>
      <c r="AH90">
        <v>10.186987764409199</v>
      </c>
      <c r="AI90">
        <v>96.185138098398198</v>
      </c>
      <c r="AJ90">
        <v>95.750968368814995</v>
      </c>
      <c r="AK90">
        <v>10.298467984312699</v>
      </c>
      <c r="AL90">
        <v>82.286978106254097</v>
      </c>
      <c r="AM90">
        <v>91.939107951289003</v>
      </c>
      <c r="AN90">
        <v>0.99999994349184196</v>
      </c>
    </row>
    <row r="91" spans="1:40" x14ac:dyDescent="0.3">
      <c r="A91" t="str">
        <f>"20200111150721529"</f>
        <v>20200111150721529</v>
      </c>
      <c r="B91" t="str">
        <f>"1578726441520793"</f>
        <v>1578726441520793</v>
      </c>
      <c r="C91" t="s">
        <v>40</v>
      </c>
      <c r="D91">
        <v>5.1729560000000001</v>
      </c>
      <c r="E91">
        <v>0.51833929999999995</v>
      </c>
      <c r="F91" t="s">
        <v>41</v>
      </c>
      <c r="G91">
        <v>-460.23970000000003</v>
      </c>
      <c r="H91">
        <v>0.81799690000000003</v>
      </c>
      <c r="I91">
        <v>367.3655</v>
      </c>
      <c r="J91">
        <v>-460.77159999999998</v>
      </c>
      <c r="K91">
        <v>1.1095680000000001</v>
      </c>
      <c r="L91">
        <v>367.28109999999998</v>
      </c>
      <c r="M91">
        <v>0.99996320000000005</v>
      </c>
      <c r="N91">
        <v>0</v>
      </c>
      <c r="O91">
        <v>6.3775409999999996E-3</v>
      </c>
      <c r="P91">
        <v>0.99089090000000002</v>
      </c>
      <c r="Q91">
        <v>0.1287875</v>
      </c>
      <c r="R91">
        <v>3.9355319999999999E-2</v>
      </c>
      <c r="S91">
        <v>3.1681210000000002</v>
      </c>
      <c r="T91">
        <v>-1.19302</v>
      </c>
      <c r="U91">
        <v>0.35360720000000001</v>
      </c>
      <c r="V91">
        <v>-3.3049340000000003E-2</v>
      </c>
      <c r="W91">
        <v>0.13446140000000001</v>
      </c>
      <c r="X91">
        <v>0.99036749999999996</v>
      </c>
      <c r="Y91">
        <v>-9.8355739999999997E-2</v>
      </c>
      <c r="Z91">
        <v>1.553969E-2</v>
      </c>
      <c r="AA91">
        <v>0.99502999999999997</v>
      </c>
      <c r="AB91">
        <v>24</v>
      </c>
      <c r="AC91">
        <v>0.53189999999994997</v>
      </c>
      <c r="AD91">
        <v>-0.29157110000000003</v>
      </c>
      <c r="AE91">
        <v>8.4400000000016406E-2</v>
      </c>
      <c r="AF91">
        <v>-6.2644366934380594E-2</v>
      </c>
      <c r="AG91">
        <v>-0.29157110000000003</v>
      </c>
      <c r="AH91">
        <v>0.411742035198778</v>
      </c>
      <c r="AI91">
        <v>124.995243012755</v>
      </c>
      <c r="AJ91">
        <v>98.650905679898997</v>
      </c>
      <c r="AK91">
        <v>0.50839898368648495</v>
      </c>
      <c r="AL91">
        <v>82.2725232349066</v>
      </c>
      <c r="AM91">
        <v>91.911295818368004</v>
      </c>
      <c r="AN91">
        <v>0.99999995601032099</v>
      </c>
    </row>
    <row r="92" spans="1:40" x14ac:dyDescent="0.3">
      <c r="A92" t="str">
        <f>"20200111150721551"</f>
        <v>20200111150721551</v>
      </c>
      <c r="B92" t="str">
        <f>"1578726441541292"</f>
        <v>1578726441541292</v>
      </c>
      <c r="C92" t="s">
        <v>40</v>
      </c>
      <c r="D92">
        <v>4.6123909999999997</v>
      </c>
      <c r="E92">
        <v>0.50914009999999998</v>
      </c>
      <c r="F92" t="s">
        <v>41</v>
      </c>
      <c r="G92">
        <v>-459.99169999999998</v>
      </c>
      <c r="H92">
        <v>0.91042210000000001</v>
      </c>
      <c r="I92">
        <v>367.27190000000002</v>
      </c>
      <c r="J92">
        <v>-460.52800000000002</v>
      </c>
      <c r="K92">
        <v>1.109572</v>
      </c>
      <c r="L92">
        <v>367.28269999999998</v>
      </c>
      <c r="M92">
        <v>0.99996260000000003</v>
      </c>
      <c r="N92">
        <v>0</v>
      </c>
      <c r="O92">
        <v>6.4673019999999899E-3</v>
      </c>
      <c r="P92">
        <v>0.99075299999999999</v>
      </c>
      <c r="Q92">
        <v>0.13013150000000001</v>
      </c>
      <c r="R92">
        <v>3.8395930000000002E-2</v>
      </c>
      <c r="S92">
        <v>3.1330870000000002</v>
      </c>
      <c r="T92">
        <v>-0.79997830000000003</v>
      </c>
      <c r="U92">
        <v>-3.7506100000000001E-2</v>
      </c>
      <c r="V92">
        <v>-3.2002089999999997E-2</v>
      </c>
      <c r="W92">
        <v>0.13580739999999999</v>
      </c>
      <c r="X92">
        <v>0.9902183</v>
      </c>
      <c r="Y92">
        <v>1.7662750000000001E-2</v>
      </c>
      <c r="Z92">
        <v>-3.8444759999999999E-3</v>
      </c>
      <c r="AA92">
        <v>0.99983659999999996</v>
      </c>
      <c r="AB92">
        <v>24</v>
      </c>
      <c r="AC92">
        <v>0.53630000000003897</v>
      </c>
      <c r="AD92">
        <v>-0.19914989999999999</v>
      </c>
      <c r="AE92">
        <v>-1.07999999999606E-2</v>
      </c>
      <c r="AF92">
        <v>1.25397879149215E-2</v>
      </c>
      <c r="AG92">
        <v>-0.19914989999999999</v>
      </c>
      <c r="AH92">
        <v>0.47126129070961098</v>
      </c>
      <c r="AI92">
        <v>112.901121604514</v>
      </c>
      <c r="AJ92">
        <v>88.475776729572701</v>
      </c>
      <c r="AK92">
        <v>0.51176667835279099</v>
      </c>
      <c r="AL92">
        <v>82.194689757538299</v>
      </c>
      <c r="AM92">
        <v>91.851053166113402</v>
      </c>
      <c r="AN92">
        <v>1.000000032657</v>
      </c>
    </row>
    <row r="93" spans="1:40" x14ac:dyDescent="0.3">
      <c r="A93" t="str">
        <f>"20200111150721574"</f>
        <v>20200111150721574</v>
      </c>
      <c r="B93" t="str">
        <f>"1578726441571258"</f>
        <v>1578726441571258</v>
      </c>
      <c r="C93" t="s">
        <v>40</v>
      </c>
      <c r="D93">
        <v>4.6892480000000001</v>
      </c>
      <c r="E93">
        <v>0.50899609999999995</v>
      </c>
      <c r="F93" t="s">
        <v>41</v>
      </c>
      <c r="G93">
        <v>-459.76</v>
      </c>
      <c r="H93">
        <v>0.94355489999999997</v>
      </c>
      <c r="I93">
        <v>367.2912</v>
      </c>
      <c r="J93">
        <v>-460.28870000000001</v>
      </c>
      <c r="K93">
        <v>1.1095820000000001</v>
      </c>
      <c r="L93">
        <v>367.28440000000001</v>
      </c>
      <c r="M93">
        <v>0.99996209999999996</v>
      </c>
      <c r="N93">
        <v>0</v>
      </c>
      <c r="O93">
        <v>6.5555049999999997E-3</v>
      </c>
      <c r="P93">
        <v>0.99077930000000003</v>
      </c>
      <c r="Q93">
        <v>0.12998319999999999</v>
      </c>
      <c r="R93">
        <v>3.8224000000000001E-2</v>
      </c>
      <c r="S93">
        <v>3.1151430000000002</v>
      </c>
      <c r="T93">
        <v>-0.67362929999999999</v>
      </c>
      <c r="U93">
        <v>3.5308840000000001E-2</v>
      </c>
      <c r="V93">
        <v>-3.1742550000000001E-2</v>
      </c>
      <c r="W93">
        <v>0.13566429999999999</v>
      </c>
      <c r="X93">
        <v>0.99024619999999997</v>
      </c>
      <c r="Y93">
        <v>-4.8185600000000004E-3</v>
      </c>
      <c r="Z93">
        <v>-8.8632580000000004E-4</v>
      </c>
      <c r="AA93">
        <v>0.99998799999999999</v>
      </c>
      <c r="AB93">
        <v>24</v>
      </c>
      <c r="AC93">
        <v>0.52870000000001405</v>
      </c>
      <c r="AD93">
        <v>-0.16602709999999901</v>
      </c>
      <c r="AE93">
        <v>6.7999999999983603E-3</v>
      </c>
      <c r="AF93">
        <v>-3.0346877707253502E-3</v>
      </c>
      <c r="AG93">
        <v>-0.16602709999999901</v>
      </c>
      <c r="AH93">
        <v>0.48128003398964803</v>
      </c>
      <c r="AI93">
        <v>109.032539368619</v>
      </c>
      <c r="AJ93">
        <v>90.361270954188399</v>
      </c>
      <c r="AK93">
        <v>0.50912147703799804</v>
      </c>
      <c r="AL93">
        <v>82.202964836507803</v>
      </c>
      <c r="AM93">
        <v>91.835999570644802</v>
      </c>
      <c r="AN93">
        <v>0.99999996419471504</v>
      </c>
    </row>
    <row r="94" spans="1:40" x14ac:dyDescent="0.3">
      <c r="A94" t="str">
        <f>"20200111150721595"</f>
        <v>20200111150721595</v>
      </c>
      <c r="B94" t="str">
        <f>"1578726441590778"</f>
        <v>1578726441590778</v>
      </c>
      <c r="C94" t="s">
        <v>40</v>
      </c>
      <c r="D94">
        <v>4.8875469999999996</v>
      </c>
      <c r="E94">
        <v>0.51220459999999901</v>
      </c>
      <c r="F94" t="s">
        <v>41</v>
      </c>
      <c r="G94">
        <v>-459.52890000000002</v>
      </c>
      <c r="H94">
        <v>0.9732208</v>
      </c>
      <c r="I94">
        <v>367.29270000000002</v>
      </c>
      <c r="J94">
        <v>-460.04880000000003</v>
      </c>
      <c r="K94">
        <v>1.109586</v>
      </c>
      <c r="L94">
        <v>367.286</v>
      </c>
      <c r="M94">
        <v>0.99996160000000001</v>
      </c>
      <c r="N94">
        <v>0</v>
      </c>
      <c r="O94">
        <v>6.6436999999999998E-3</v>
      </c>
      <c r="P94">
        <v>0.9909251</v>
      </c>
      <c r="Q94">
        <v>0.12897239999999999</v>
      </c>
      <c r="R94">
        <v>3.7863260000000003E-2</v>
      </c>
      <c r="S94">
        <v>3.0996090000000001</v>
      </c>
      <c r="T94">
        <v>-0.55634019999999995</v>
      </c>
      <c r="U94">
        <v>3.4301760000000001E-2</v>
      </c>
      <c r="V94">
        <v>-3.1293090000000003E-2</v>
      </c>
      <c r="W94">
        <v>0.13466220000000001</v>
      </c>
      <c r="X94">
        <v>0.99039730000000004</v>
      </c>
      <c r="Y94">
        <v>-4.4570909999999998E-3</v>
      </c>
      <c r="Z94">
        <v>-7.8616039999999997E-4</v>
      </c>
      <c r="AA94">
        <v>0.99998969999999998</v>
      </c>
      <c r="AB94">
        <v>24</v>
      </c>
      <c r="AC94">
        <v>0.51990000000000602</v>
      </c>
      <c r="AD94">
        <v>-0.13636519999999899</v>
      </c>
      <c r="AE94">
        <v>6.7000000000234598E-3</v>
      </c>
      <c r="AF94">
        <v>-3.03684587476134E-3</v>
      </c>
      <c r="AG94">
        <v>-0.13636519999999899</v>
      </c>
      <c r="AH94">
        <v>0.48647100684213701</v>
      </c>
      <c r="AI94">
        <v>105.65869971608301</v>
      </c>
      <c r="AJ94">
        <v>90.357670218810895</v>
      </c>
      <c r="AK94">
        <v>0.50523136353744802</v>
      </c>
      <c r="AL94">
        <v>82.260912900583506</v>
      </c>
      <c r="AM94">
        <v>91.809744110596498</v>
      </c>
      <c r="AN94">
        <v>0.99999998871893903</v>
      </c>
    </row>
    <row r="95" spans="1:40" x14ac:dyDescent="0.3">
      <c r="A95" t="str">
        <f>"20200111150721618"</f>
        <v>20200111150721618</v>
      </c>
      <c r="B95" t="str">
        <f>"1578726441611274"</f>
        <v>1578726441611274</v>
      </c>
      <c r="C95" t="s">
        <v>40</v>
      </c>
      <c r="D95">
        <v>4.8761150000000004</v>
      </c>
      <c r="E95">
        <v>0.50946000000000002</v>
      </c>
      <c r="F95" t="s">
        <v>44</v>
      </c>
      <c r="G95">
        <v>-415.06079999999997</v>
      </c>
      <c r="H95">
        <v>-0.05</v>
      </c>
      <c r="I95">
        <v>367.45729999999998</v>
      </c>
      <c r="J95">
        <v>-459.81</v>
      </c>
      <c r="K95">
        <v>1.1095900000000001</v>
      </c>
      <c r="L95">
        <v>367.2878</v>
      </c>
      <c r="M95">
        <v>0.99996090000000004</v>
      </c>
      <c r="N95">
        <v>0</v>
      </c>
      <c r="O95">
        <v>6.7315309999999998E-3</v>
      </c>
      <c r="P95">
        <v>0.9907089</v>
      </c>
      <c r="Q95">
        <v>0.1307267</v>
      </c>
      <c r="R95">
        <v>3.7505219999999999E-2</v>
      </c>
      <c r="S95">
        <v>3.0372309999999998</v>
      </c>
      <c r="T95">
        <v>-7.8286049999999996E-2</v>
      </c>
      <c r="U95">
        <v>1.1566160000000001E-2</v>
      </c>
      <c r="V95">
        <v>-3.085063E-2</v>
      </c>
      <c r="W95">
        <v>0.1364253</v>
      </c>
      <c r="X95">
        <v>0.99016990000000005</v>
      </c>
      <c r="Y95">
        <v>2.9203749999999998E-3</v>
      </c>
      <c r="Z95">
        <v>-2.111108E-4</v>
      </c>
      <c r="AA95">
        <v>0.99999570000000004</v>
      </c>
      <c r="AB95">
        <v>24</v>
      </c>
      <c r="AC95">
        <v>44.749200000000002</v>
      </c>
      <c r="AD95">
        <v>-1.1595899999999999</v>
      </c>
      <c r="AE95">
        <v>0.16949999999997001</v>
      </c>
      <c r="AF95">
        <v>0.131651019780719</v>
      </c>
      <c r="AG95">
        <v>-1.1595899999999999</v>
      </c>
      <c r="AH95">
        <v>44.719299046927198</v>
      </c>
      <c r="AI95">
        <v>91.485364074131596</v>
      </c>
      <c r="AJ95">
        <v>89.831325039265906</v>
      </c>
      <c r="AK95">
        <v>44.734524566688002</v>
      </c>
      <c r="AL95">
        <v>82.158954057302793</v>
      </c>
      <c r="AM95">
        <v>91.784581874466994</v>
      </c>
      <c r="AN95">
        <v>1.0000000273587399</v>
      </c>
    </row>
    <row r="96" spans="1:40" x14ac:dyDescent="0.3">
      <c r="A96" t="str">
        <f>"20200111150721641"</f>
        <v>20200111150721641</v>
      </c>
      <c r="B96" t="str">
        <f>"1578726441630808"</f>
        <v>1578726441630808</v>
      </c>
      <c r="C96" t="s">
        <v>40</v>
      </c>
      <c r="D96">
        <v>5.0876159999999997</v>
      </c>
      <c r="E96">
        <v>0.50886730000000002</v>
      </c>
      <c r="F96" t="s">
        <v>43</v>
      </c>
      <c r="G96">
        <v>-441.67399999999998</v>
      </c>
      <c r="H96" s="1">
        <v>-4.2961369999999998E-6</v>
      </c>
      <c r="I96">
        <v>367.47449999999998</v>
      </c>
      <c r="J96">
        <v>-459.55200000000002</v>
      </c>
      <c r="K96">
        <v>1.1095889999999999</v>
      </c>
      <c r="L96">
        <v>367.28960000000001</v>
      </c>
      <c r="M96">
        <v>0.99996010000000002</v>
      </c>
      <c r="N96">
        <v>0</v>
      </c>
      <c r="O96">
        <v>6.8264459999999999E-3</v>
      </c>
      <c r="P96">
        <v>0.99040569999999895</v>
      </c>
      <c r="Q96">
        <v>0.13277820000000001</v>
      </c>
      <c r="R96">
        <v>3.8293920000000002E-2</v>
      </c>
      <c r="S96">
        <v>3.0516049999999999</v>
      </c>
      <c r="T96">
        <v>-0.18670310000000001</v>
      </c>
      <c r="U96">
        <v>3.143311E-2</v>
      </c>
      <c r="V96">
        <v>-3.1547840000000001E-2</v>
      </c>
      <c r="W96">
        <v>0.1384879</v>
      </c>
      <c r="X96">
        <v>0.98986149999999995</v>
      </c>
      <c r="Y96">
        <v>-3.4797890000000001E-3</v>
      </c>
      <c r="Z96">
        <v>-3.1090700000000002E-4</v>
      </c>
      <c r="AA96">
        <v>0.99999389999999999</v>
      </c>
      <c r="AB96">
        <v>24</v>
      </c>
      <c r="AC96">
        <v>17.877999999999901</v>
      </c>
      <c r="AD96">
        <v>-1.1095932961370001</v>
      </c>
      <c r="AE96">
        <v>0.18489999999997001</v>
      </c>
      <c r="AF96">
        <v>-6.2609316926154304E-2</v>
      </c>
      <c r="AG96">
        <v>-1.1095932961370001</v>
      </c>
      <c r="AH96">
        <v>17.8102473626194</v>
      </c>
      <c r="AI96">
        <v>93.564945396376402</v>
      </c>
      <c r="AJ96">
        <v>90.201414094279897</v>
      </c>
      <c r="AK96">
        <v>17.8448880166587</v>
      </c>
      <c r="AL96">
        <v>82.039642835794496</v>
      </c>
      <c r="AM96">
        <v>91.8254538068378</v>
      </c>
      <c r="AN96">
        <v>0.99999997691866205</v>
      </c>
    </row>
    <row r="97" spans="1:40" x14ac:dyDescent="0.3">
      <c r="A97" t="str">
        <f>"20200111150721663"</f>
        <v>20200111150721663</v>
      </c>
      <c r="B97" t="str">
        <f>"1578726441661050"</f>
        <v>1578726441661050</v>
      </c>
      <c r="C97" t="s">
        <v>40</v>
      </c>
      <c r="D97">
        <v>4.9154309999999999</v>
      </c>
      <c r="E97">
        <v>0.50955430000000002</v>
      </c>
      <c r="F97" t="s">
        <v>43</v>
      </c>
      <c r="G97">
        <v>-440.96190000000001</v>
      </c>
      <c r="H97" s="1">
        <v>-4.6238149999999999E-6</v>
      </c>
      <c r="I97">
        <v>367.52510000000001</v>
      </c>
      <c r="J97">
        <v>-459.29910000000001</v>
      </c>
      <c r="K97">
        <v>1.1095809999999999</v>
      </c>
      <c r="L97">
        <v>367.29140000000001</v>
      </c>
      <c r="M97">
        <v>0.99995940000000005</v>
      </c>
      <c r="N97">
        <v>0</v>
      </c>
      <c r="O97">
        <v>6.9194499999999997E-3</v>
      </c>
      <c r="P97">
        <v>0.99044290000000001</v>
      </c>
      <c r="Q97">
        <v>0.1321003</v>
      </c>
      <c r="R97">
        <v>3.9654710000000003E-2</v>
      </c>
      <c r="S97">
        <v>3.0520019999999999</v>
      </c>
      <c r="T97">
        <v>-0.18216570000000001</v>
      </c>
      <c r="U97">
        <v>3.8665770000000002E-2</v>
      </c>
      <c r="V97">
        <v>-3.2815839999999999E-2</v>
      </c>
      <c r="W97">
        <v>0.13782529999999901</v>
      </c>
      <c r="X97">
        <v>0.98991280000000004</v>
      </c>
      <c r="Y97">
        <v>-5.7507359999999898E-3</v>
      </c>
      <c r="Z97">
        <v>-2.4115580000000001E-4</v>
      </c>
      <c r="AA97">
        <v>0.99998339999999997</v>
      </c>
      <c r="AB97">
        <v>25</v>
      </c>
      <c r="AC97">
        <v>18.337199999999999</v>
      </c>
      <c r="AD97">
        <v>-1.1095856238149999</v>
      </c>
      <c r="AE97">
        <v>0.23369999999999799</v>
      </c>
      <c r="AF97">
        <v>-0.10641936453006499</v>
      </c>
      <c r="AG97">
        <v>-1.1095856238149999</v>
      </c>
      <c r="AH97">
        <v>18.271488440502001</v>
      </c>
      <c r="AI97">
        <v>93.4751148130389</v>
      </c>
      <c r="AJ97">
        <v>90.333706338171297</v>
      </c>
      <c r="AK97">
        <v>18.305458070453199</v>
      </c>
      <c r="AL97">
        <v>82.077974967966895</v>
      </c>
      <c r="AM97">
        <v>91.898673138242799</v>
      </c>
      <c r="AN97">
        <v>1.0000000221394101</v>
      </c>
    </row>
    <row r="98" spans="1:40" x14ac:dyDescent="0.3">
      <c r="A98" t="str">
        <f>"20200111150721684"</f>
        <v>20200111150721684</v>
      </c>
      <c r="B98" t="str">
        <f>"1578726441680570"</f>
        <v>1578726441680570</v>
      </c>
      <c r="C98" t="s">
        <v>40</v>
      </c>
      <c r="D98">
        <v>5.1224639999999999</v>
      </c>
      <c r="E98">
        <v>0.50971929999999999</v>
      </c>
      <c r="F98" t="s">
        <v>43</v>
      </c>
      <c r="G98">
        <v>-442.09829999999999</v>
      </c>
      <c r="H98" s="1">
        <v>-4.091151E-6</v>
      </c>
      <c r="I98">
        <v>367.49959999999999</v>
      </c>
      <c r="J98">
        <v>-459.0729</v>
      </c>
      <c r="K98">
        <v>1.1095729999999999</v>
      </c>
      <c r="L98">
        <v>367.29300000000001</v>
      </c>
      <c r="M98">
        <v>0.99995880000000004</v>
      </c>
      <c r="N98">
        <v>0</v>
      </c>
      <c r="O98">
        <v>7.0022620000000004E-3</v>
      </c>
      <c r="P98">
        <v>0.99051389999999995</v>
      </c>
      <c r="Q98">
        <v>0.1312381</v>
      </c>
      <c r="R98">
        <v>4.0726890000000002E-2</v>
      </c>
      <c r="S98">
        <v>3.053741</v>
      </c>
      <c r="T98">
        <v>-0.19699</v>
      </c>
      <c r="U98">
        <v>3.6956790000000003E-2</v>
      </c>
      <c r="V98">
        <v>-3.3805429999999997E-2</v>
      </c>
      <c r="W98">
        <v>0.13697799999999999</v>
      </c>
      <c r="X98">
        <v>0.98999709999999996</v>
      </c>
      <c r="Y98">
        <v>-5.1030320000000004E-3</v>
      </c>
      <c r="Z98">
        <v>-2.8679919999999998E-4</v>
      </c>
      <c r="AA98">
        <v>0.99998690000000001</v>
      </c>
      <c r="AB98">
        <v>25</v>
      </c>
      <c r="AC98">
        <v>16.974599999999999</v>
      </c>
      <c r="AD98">
        <v>-1.1095770911509999</v>
      </c>
      <c r="AE98">
        <v>0.20659999999997999</v>
      </c>
      <c r="AF98">
        <v>-8.7359139532684593E-2</v>
      </c>
      <c r="AG98">
        <v>-1.1095770911509999</v>
      </c>
      <c r="AH98">
        <v>16.903415759942799</v>
      </c>
      <c r="AI98">
        <v>93.755581941645204</v>
      </c>
      <c r="AJ98">
        <v>90.296109703837402</v>
      </c>
      <c r="AK98">
        <v>16.9400194006368</v>
      </c>
      <c r="AL98">
        <v>82.126986510330497</v>
      </c>
      <c r="AM98">
        <v>91.955719028659502</v>
      </c>
      <c r="AN98">
        <v>1.00000001879494</v>
      </c>
    </row>
    <row r="99" spans="1:40" x14ac:dyDescent="0.3">
      <c r="A99" t="str">
        <f>"20200111150721707"</f>
        <v>20200111150721707</v>
      </c>
      <c r="B99" t="str">
        <f>"1578726441701066"</f>
        <v>1578726441701066</v>
      </c>
      <c r="C99" t="s">
        <v>40</v>
      </c>
      <c r="D99">
        <v>4.9959680000000004</v>
      </c>
      <c r="E99">
        <v>0.50315480000000001</v>
      </c>
      <c r="F99" t="s">
        <v>43</v>
      </c>
      <c r="G99">
        <v>-440.91219999999998</v>
      </c>
      <c r="H99" s="1">
        <v>-4.647065E-6</v>
      </c>
      <c r="I99">
        <v>367.52640000000002</v>
      </c>
      <c r="J99">
        <v>-458.81619999999998</v>
      </c>
      <c r="K99">
        <v>1.1095790000000001</v>
      </c>
      <c r="L99">
        <v>367.29500000000002</v>
      </c>
      <c r="M99">
        <v>0.99995789999999996</v>
      </c>
      <c r="N99">
        <v>0</v>
      </c>
      <c r="O99">
        <v>7.0967449999999998E-3</v>
      </c>
      <c r="P99">
        <v>0.99057260000000003</v>
      </c>
      <c r="Q99">
        <v>0.1305366</v>
      </c>
      <c r="R99">
        <v>4.1544919999999999E-2</v>
      </c>
      <c r="S99">
        <v>3.0518190000000001</v>
      </c>
      <c r="T99">
        <v>-0.18645909999999999</v>
      </c>
      <c r="U99">
        <v>3.9215090000000001E-2</v>
      </c>
      <c r="V99">
        <v>-3.4529560000000001E-2</v>
      </c>
      <c r="W99">
        <v>0.1362949</v>
      </c>
      <c r="X99">
        <v>0.99006629999999995</v>
      </c>
      <c r="Y99">
        <v>-5.7545809999999999E-3</v>
      </c>
      <c r="Z99">
        <v>-2.5754789999999999E-4</v>
      </c>
      <c r="AA99">
        <v>0.99998339999999997</v>
      </c>
      <c r="AB99">
        <v>25</v>
      </c>
      <c r="AC99">
        <v>17.9039999999999</v>
      </c>
      <c r="AD99">
        <v>-1.109583647065</v>
      </c>
      <c r="AE99">
        <v>0.23140000000000699</v>
      </c>
      <c r="AF99">
        <v>-0.10393278382972999</v>
      </c>
      <c r="AG99">
        <v>-1.109583647065</v>
      </c>
      <c r="AH99">
        <v>17.836695871027</v>
      </c>
      <c r="AI99">
        <v>93.559603635369299</v>
      </c>
      <c r="AJ99">
        <v>90.333853451083201</v>
      </c>
      <c r="AK99">
        <v>17.871477205001799</v>
      </c>
      <c r="AL99">
        <v>82.1664951390417</v>
      </c>
      <c r="AM99">
        <v>91.997438463592005</v>
      </c>
      <c r="AN99">
        <v>0.99999993433774403</v>
      </c>
    </row>
    <row r="100" spans="1:40" x14ac:dyDescent="0.3">
      <c r="A100" t="str">
        <f>"20200111150721730"</f>
        <v>20200111150721730</v>
      </c>
      <c r="B100" t="str">
        <f>"1578726441721562"</f>
        <v>1578726441721562</v>
      </c>
      <c r="C100" t="s">
        <v>40</v>
      </c>
      <c r="D100">
        <v>5.005579</v>
      </c>
      <c r="E100">
        <v>0.51618620000000004</v>
      </c>
      <c r="F100" t="s">
        <v>42</v>
      </c>
      <c r="G100">
        <v>-158.19499999999999</v>
      </c>
      <c r="H100">
        <v>54.705269999999999</v>
      </c>
      <c r="I100">
        <v>377.53750000000002</v>
      </c>
      <c r="J100">
        <v>-458.55520000000001</v>
      </c>
      <c r="K100">
        <v>1.1095839999999999</v>
      </c>
      <c r="L100">
        <v>367.29689999999999</v>
      </c>
      <c r="M100">
        <v>0.99995710000000004</v>
      </c>
      <c r="N100">
        <v>0</v>
      </c>
      <c r="O100">
        <v>7.1924750000000003E-3</v>
      </c>
      <c r="P100">
        <v>0.99048610000000004</v>
      </c>
      <c r="Q100">
        <v>0.13091539999999999</v>
      </c>
      <c r="R100">
        <v>4.2408250000000002E-2</v>
      </c>
      <c r="S100">
        <v>2.9549259999999999</v>
      </c>
      <c r="T100">
        <v>0.526814</v>
      </c>
      <c r="U100">
        <v>0.1006775</v>
      </c>
      <c r="V100">
        <v>-3.5299009999999999E-2</v>
      </c>
      <c r="W100">
        <v>0.1366927</v>
      </c>
      <c r="X100">
        <v>0.98998439999999999</v>
      </c>
      <c r="Y100">
        <v>-2.6557040000000001E-2</v>
      </c>
      <c r="Z100">
        <v>-1.076273E-3</v>
      </c>
      <c r="AA100">
        <v>0.9996467</v>
      </c>
      <c r="AB100">
        <v>25</v>
      </c>
      <c r="AC100">
        <v>300.36020000000002</v>
      </c>
      <c r="AD100">
        <v>53.595686000000001</v>
      </c>
      <c r="AE100">
        <v>10.240600000000001</v>
      </c>
      <c r="AF100">
        <v>-7.8309171209958004</v>
      </c>
      <c r="AG100">
        <v>53.595686000000001</v>
      </c>
      <c r="AH100">
        <v>291.16608379138501</v>
      </c>
      <c r="AI100">
        <v>79.573857798332995</v>
      </c>
      <c r="AJ100">
        <v>91.540599643913893</v>
      </c>
      <c r="AK100">
        <v>296.16128911655301</v>
      </c>
      <c r="AL100">
        <v>82.143488170704202</v>
      </c>
      <c r="AM100">
        <v>92.042080507243298</v>
      </c>
      <c r="AN100">
        <v>1.0000000132918101</v>
      </c>
    </row>
    <row r="101" spans="1:40" x14ac:dyDescent="0.3">
      <c r="A101" t="str">
        <f>"20200111150721752"</f>
        <v>20200111150721752</v>
      </c>
      <c r="B101" t="str">
        <f>"1578726441741082"</f>
        <v>1578726441741082</v>
      </c>
      <c r="C101" t="s">
        <v>40</v>
      </c>
      <c r="D101">
        <v>5.0434159999999997</v>
      </c>
      <c r="E101">
        <v>0.51629689999999995</v>
      </c>
      <c r="F101" t="s">
        <v>41</v>
      </c>
      <c r="G101">
        <v>-457.72789999999998</v>
      </c>
      <c r="H101">
        <v>1.0349520000000001</v>
      </c>
      <c r="I101">
        <v>367.29430000000002</v>
      </c>
      <c r="J101">
        <v>-458.30410000000001</v>
      </c>
      <c r="K101">
        <v>1.1095900000000001</v>
      </c>
      <c r="L101">
        <v>367.29880000000003</v>
      </c>
      <c r="M101">
        <v>0.99995639999999997</v>
      </c>
      <c r="N101">
        <v>0</v>
      </c>
      <c r="O101">
        <v>7.2842710000000001E-3</v>
      </c>
      <c r="P101">
        <v>0.99040189999999995</v>
      </c>
      <c r="Q101">
        <v>0.13119790000000001</v>
      </c>
      <c r="R101">
        <v>4.3489489999999999E-2</v>
      </c>
      <c r="S101">
        <v>3.0657350000000001</v>
      </c>
      <c r="T101">
        <v>-0.27681090000000003</v>
      </c>
      <c r="U101">
        <v>-8.0261229999999996E-3</v>
      </c>
      <c r="V101">
        <v>-3.6289729999999999E-2</v>
      </c>
      <c r="W101">
        <v>0.13699449999999999</v>
      </c>
      <c r="X101">
        <v>0.98990679999999998</v>
      </c>
      <c r="Y101">
        <v>9.8326690000000005E-3</v>
      </c>
      <c r="Z101">
        <v>-1.0993859999999999E-3</v>
      </c>
      <c r="AA101">
        <v>0.99995109999999998</v>
      </c>
      <c r="AB101">
        <v>25</v>
      </c>
      <c r="AC101">
        <v>0.57620000000002802</v>
      </c>
      <c r="AD101">
        <v>-7.4637999999999705E-2</v>
      </c>
      <c r="AE101">
        <v>-4.5000000000072699E-3</v>
      </c>
      <c r="AF101">
        <v>8.55363408086365E-3</v>
      </c>
      <c r="AG101">
        <v>-7.4637999999999705E-2</v>
      </c>
      <c r="AH101">
        <v>0.56664462041062902</v>
      </c>
      <c r="AI101">
        <v>97.502913958188302</v>
      </c>
      <c r="AJ101">
        <v>89.135172390215402</v>
      </c>
      <c r="AK101">
        <v>0.57160311540464503</v>
      </c>
      <c r="AL101">
        <v>82.126031628388802</v>
      </c>
      <c r="AM101">
        <v>92.099508417912503</v>
      </c>
      <c r="AN101">
        <v>0.99999995510997997</v>
      </c>
    </row>
    <row r="102" spans="1:40" x14ac:dyDescent="0.3">
      <c r="A102" t="str">
        <f>"20200111150721774"</f>
        <v>20200111150721774</v>
      </c>
      <c r="B102" t="str">
        <f>"1578726441771338"</f>
        <v>1578726441771338</v>
      </c>
      <c r="C102" t="s">
        <v>40</v>
      </c>
      <c r="D102">
        <v>5.0160609999999997</v>
      </c>
      <c r="E102">
        <v>0.51569739999999997</v>
      </c>
      <c r="F102" t="s">
        <v>41</v>
      </c>
      <c r="G102">
        <v>-457.5016</v>
      </c>
      <c r="H102">
        <v>1.0366500000000001</v>
      </c>
      <c r="I102">
        <v>367.29700000000003</v>
      </c>
      <c r="J102">
        <v>-458.06889999999999</v>
      </c>
      <c r="K102">
        <v>1.109588</v>
      </c>
      <c r="L102">
        <v>367.30059999999997</v>
      </c>
      <c r="M102">
        <v>0.99995560000000006</v>
      </c>
      <c r="N102">
        <v>0</v>
      </c>
      <c r="O102">
        <v>7.370583E-3</v>
      </c>
      <c r="P102">
        <v>0.99035130000000005</v>
      </c>
      <c r="Q102">
        <v>0.1314157</v>
      </c>
      <c r="R102">
        <v>4.398179E-2</v>
      </c>
      <c r="S102">
        <v>3.0662539999999998</v>
      </c>
      <c r="T102">
        <v>-0.27883659999999999</v>
      </c>
      <c r="U102">
        <v>-6.1340329999999997E-3</v>
      </c>
      <c r="V102">
        <v>-3.6697279999999999E-2</v>
      </c>
      <c r="W102">
        <v>0.1372321</v>
      </c>
      <c r="X102">
        <v>0.98985889999999999</v>
      </c>
      <c r="Y102">
        <v>9.3023389999999997E-3</v>
      </c>
      <c r="Z102">
        <v>-1.090981E-3</v>
      </c>
      <c r="AA102">
        <v>0.99995610000000001</v>
      </c>
      <c r="AB102">
        <v>25</v>
      </c>
      <c r="AC102">
        <v>0.56729999999998804</v>
      </c>
      <c r="AD102">
        <v>-7.2937999999999906E-2</v>
      </c>
      <c r="AE102">
        <v>-3.6000000000058199E-3</v>
      </c>
      <c r="AF102">
        <v>7.65477497880372E-3</v>
      </c>
      <c r="AG102">
        <v>-7.2937999999999906E-2</v>
      </c>
      <c r="AH102">
        <v>0.55803392877282199</v>
      </c>
      <c r="AI102">
        <v>97.445955814653303</v>
      </c>
      <c r="AJ102">
        <v>89.214100127729196</v>
      </c>
      <c r="AK102">
        <v>0.56283249114244205</v>
      </c>
      <c r="AL102">
        <v>82.112288633419098</v>
      </c>
      <c r="AM102">
        <v>92.123168027901301</v>
      </c>
      <c r="AN102">
        <v>0.99999999076950896</v>
      </c>
    </row>
    <row r="103" spans="1:40" x14ac:dyDescent="0.3">
      <c r="A103" t="str">
        <f>"20200111150721796"</f>
        <v>20200111150721796</v>
      </c>
      <c r="B103" t="str">
        <f>"1578726441790858"</f>
        <v>1578726441790858</v>
      </c>
      <c r="C103" t="s">
        <v>40</v>
      </c>
      <c r="D103">
        <v>5.0870899999999999</v>
      </c>
      <c r="E103">
        <v>0.51638019999999996</v>
      </c>
      <c r="F103" t="s">
        <v>41</v>
      </c>
      <c r="G103">
        <v>-457.27480000000003</v>
      </c>
      <c r="H103">
        <v>1.037412</v>
      </c>
      <c r="I103">
        <v>367.30040000000002</v>
      </c>
      <c r="J103">
        <v>-457.81290000000001</v>
      </c>
      <c r="K103">
        <v>1.109588</v>
      </c>
      <c r="L103">
        <v>367.30259999999998</v>
      </c>
      <c r="M103">
        <v>0.99995480000000003</v>
      </c>
      <c r="N103">
        <v>0</v>
      </c>
      <c r="O103">
        <v>7.4639240000000003E-3</v>
      </c>
      <c r="P103">
        <v>0.99044869999999996</v>
      </c>
      <c r="Q103">
        <v>0.13073129999999999</v>
      </c>
      <c r="R103">
        <v>4.382668E-2</v>
      </c>
      <c r="S103">
        <v>3.0662229999999999</v>
      </c>
      <c r="T103">
        <v>-0.27889049999999999</v>
      </c>
      <c r="U103">
        <v>1.8310550000000001E-4</v>
      </c>
      <c r="V103">
        <v>-3.644907E-2</v>
      </c>
      <c r="W103">
        <v>0.13656989999999999</v>
      </c>
      <c r="X103">
        <v>0.9899597</v>
      </c>
      <c r="Y103">
        <v>7.3432150000000002E-3</v>
      </c>
      <c r="Z103">
        <v>-1.010761E-3</v>
      </c>
      <c r="AA103">
        <v>0.99997250000000004</v>
      </c>
      <c r="AB103">
        <v>25</v>
      </c>
      <c r="AC103">
        <v>0.53809999999998503</v>
      </c>
      <c r="AD103">
        <v>-7.2176000000000004E-2</v>
      </c>
      <c r="AE103">
        <v>-2.1999999999593399E-3</v>
      </c>
      <c r="AF103">
        <v>6.1064848525431703E-3</v>
      </c>
      <c r="AG103">
        <v>-7.2176000000000004E-2</v>
      </c>
      <c r="AH103">
        <v>0.52855934250472603</v>
      </c>
      <c r="AI103">
        <v>97.775266161696393</v>
      </c>
      <c r="AJ103">
        <v>89.338087105004107</v>
      </c>
      <c r="AK103">
        <v>0.53349943081720597</v>
      </c>
      <c r="AL103">
        <v>82.150590910695001</v>
      </c>
      <c r="AM103">
        <v>92.108605999751006</v>
      </c>
      <c r="AN103">
        <v>1.0000000399569799</v>
      </c>
    </row>
    <row r="104" spans="1:40" x14ac:dyDescent="0.3">
      <c r="A104" t="str">
        <f>"20200111150721819"</f>
        <v>20200111150721819</v>
      </c>
      <c r="B104" t="str">
        <f>"1578726441811353"</f>
        <v>1578726441811353</v>
      </c>
      <c r="C104" t="s">
        <v>40</v>
      </c>
      <c r="D104">
        <v>4.7657379999999998</v>
      </c>
      <c r="E104">
        <v>0.51488659999999997</v>
      </c>
      <c r="F104" t="s">
        <v>41</v>
      </c>
      <c r="G104">
        <v>-457.04309999999998</v>
      </c>
      <c r="H104">
        <v>1.043031</v>
      </c>
      <c r="I104">
        <v>367.30099999999999</v>
      </c>
      <c r="J104">
        <v>-457.55009999999999</v>
      </c>
      <c r="K104">
        <v>1.109585</v>
      </c>
      <c r="L104">
        <v>367.30470000000003</v>
      </c>
      <c r="M104">
        <v>0.99995400000000001</v>
      </c>
      <c r="N104">
        <v>0</v>
      </c>
      <c r="O104">
        <v>7.5605949999999998E-3</v>
      </c>
      <c r="P104">
        <v>0.99053159999999896</v>
      </c>
      <c r="Q104">
        <v>0.13014139999999999</v>
      </c>
      <c r="R104">
        <v>4.3708150000000001E-2</v>
      </c>
      <c r="S104">
        <v>3.064209</v>
      </c>
      <c r="T104">
        <v>-0.26513949999999997</v>
      </c>
      <c r="U104">
        <v>-5.4016109999999997E-3</v>
      </c>
      <c r="V104">
        <v>-3.6234309999999999E-2</v>
      </c>
      <c r="W104">
        <v>0.1360035</v>
      </c>
      <c r="X104">
        <v>0.99004550000000002</v>
      </c>
      <c r="Y104">
        <v>9.2606159999999993E-3</v>
      </c>
      <c r="Z104">
        <v>-1.0528930000000001E-3</v>
      </c>
      <c r="AA104">
        <v>0.99995650000000003</v>
      </c>
      <c r="AB104">
        <v>25</v>
      </c>
      <c r="AC104">
        <v>0.507000000000005</v>
      </c>
      <c r="AD104">
        <v>-6.6554000000000002E-2</v>
      </c>
      <c r="AE104">
        <v>-3.70000000003756E-3</v>
      </c>
      <c r="AF104">
        <v>7.4055775243603798E-3</v>
      </c>
      <c r="AG104">
        <v>-6.6554000000000002E-2</v>
      </c>
      <c r="AH104">
        <v>0.49837014180482497</v>
      </c>
      <c r="AI104">
        <v>97.605634048963793</v>
      </c>
      <c r="AJ104">
        <v>89.148670685912805</v>
      </c>
      <c r="AK104">
        <v>0.50284895916868599</v>
      </c>
      <c r="AL104">
        <v>82.183348454707897</v>
      </c>
      <c r="AM104">
        <v>92.096011589392603</v>
      </c>
      <c r="AN104">
        <v>0.99999998465183704</v>
      </c>
    </row>
    <row r="105" spans="1:40" x14ac:dyDescent="0.3">
      <c r="A105" t="str">
        <f>"20200111150721842"</f>
        <v>20200111150721842</v>
      </c>
      <c r="B105" t="str">
        <f>"1578726441830874"</f>
        <v>1578726441830874</v>
      </c>
      <c r="C105" t="s">
        <v>40</v>
      </c>
      <c r="D105">
        <v>5.0851889999999997</v>
      </c>
      <c r="E105">
        <v>0.51408480000000001</v>
      </c>
      <c r="F105" t="s">
        <v>41</v>
      </c>
      <c r="G105">
        <v>-456.81450000000001</v>
      </c>
      <c r="H105">
        <v>1.0431790000000001</v>
      </c>
      <c r="I105">
        <v>367.3057</v>
      </c>
      <c r="J105">
        <v>-457.29109999999997</v>
      </c>
      <c r="K105">
        <v>1.1095870000000001</v>
      </c>
      <c r="L105">
        <v>367.30680000000001</v>
      </c>
      <c r="M105">
        <v>0.99995299999999998</v>
      </c>
      <c r="N105">
        <v>0</v>
      </c>
      <c r="O105">
        <v>7.6554179999999998E-3</v>
      </c>
      <c r="P105">
        <v>0.99054319999999896</v>
      </c>
      <c r="Q105">
        <v>0.13003000000000001</v>
      </c>
      <c r="R105">
        <v>4.3780359999999997E-2</v>
      </c>
      <c r="S105">
        <v>3.0647890000000002</v>
      </c>
      <c r="T105">
        <v>-0.27693839999999997</v>
      </c>
      <c r="U105">
        <v>5.4016109999999997E-3</v>
      </c>
      <c r="V105">
        <v>-3.6212559999999998E-2</v>
      </c>
      <c r="W105">
        <v>0.1359156</v>
      </c>
      <c r="X105">
        <v>0.99005840000000001</v>
      </c>
      <c r="Y105">
        <v>5.8381459999999998E-3</v>
      </c>
      <c r="Z105">
        <v>-9.5358800000000001E-4</v>
      </c>
      <c r="AA105">
        <v>0.9999825</v>
      </c>
      <c r="AB105">
        <v>25</v>
      </c>
      <c r="AC105">
        <v>0.476599999999962</v>
      </c>
      <c r="AD105">
        <v>-6.6407999999999995E-2</v>
      </c>
      <c r="AE105">
        <v>-1.1000000000080899E-3</v>
      </c>
      <c r="AF105">
        <v>4.65816768028316E-3</v>
      </c>
      <c r="AG105">
        <v>-6.6407999999999995E-2</v>
      </c>
      <c r="AH105">
        <v>0.467501222222723</v>
      </c>
      <c r="AI105">
        <v>98.084314380222693</v>
      </c>
      <c r="AJ105">
        <v>89.429125521531603</v>
      </c>
      <c r="AK105">
        <v>0.47221723154696199</v>
      </c>
      <c r="AL105">
        <v>82.188432216357697</v>
      </c>
      <c r="AM105">
        <v>92.094727289698099</v>
      </c>
      <c r="AN105">
        <v>1.0000000176178301</v>
      </c>
    </row>
    <row r="106" spans="1:40" x14ac:dyDescent="0.3">
      <c r="A106" t="str">
        <f>"20200111150721864"</f>
        <v>20200111150721864</v>
      </c>
      <c r="B106" t="str">
        <f>"1578726441861130"</f>
        <v>1578726441861130</v>
      </c>
      <c r="C106" t="s">
        <v>40</v>
      </c>
      <c r="D106">
        <v>5.0748620000000004</v>
      </c>
      <c r="E106">
        <v>0.51597059999999995</v>
      </c>
      <c r="F106" t="s">
        <v>41</v>
      </c>
      <c r="G106">
        <v>-456.36130000000003</v>
      </c>
      <c r="H106">
        <v>1.036456</v>
      </c>
      <c r="I106">
        <v>367.31009999999998</v>
      </c>
      <c r="J106">
        <v>-457.03530000000001</v>
      </c>
      <c r="K106">
        <v>1.109599</v>
      </c>
      <c r="L106">
        <v>367.30880000000002</v>
      </c>
      <c r="M106">
        <v>0.99995219999999996</v>
      </c>
      <c r="N106">
        <v>0</v>
      </c>
      <c r="O106">
        <v>7.7490500000000004E-3</v>
      </c>
      <c r="P106">
        <v>0.99037679999999995</v>
      </c>
      <c r="Q106">
        <v>0.13146150000000001</v>
      </c>
      <c r="R106">
        <v>4.3263330000000003E-2</v>
      </c>
      <c r="S106">
        <v>3.059723</v>
      </c>
      <c r="T106">
        <v>-0.24067949999999999</v>
      </c>
      <c r="U106">
        <v>1.1505130000000001E-2</v>
      </c>
      <c r="V106">
        <v>-3.5604829999999997E-2</v>
      </c>
      <c r="W106">
        <v>0.13736950000000001</v>
      </c>
      <c r="X106">
        <v>0.98987970000000003</v>
      </c>
      <c r="Y106">
        <v>3.9529409999999997E-3</v>
      </c>
      <c r="Z106">
        <v>-7.6383649999999903E-4</v>
      </c>
      <c r="AA106">
        <v>0.99999190000000004</v>
      </c>
      <c r="AB106">
        <v>26</v>
      </c>
      <c r="AC106">
        <v>0.67399999999997795</v>
      </c>
      <c r="AD106">
        <v>-7.3142999999999903E-2</v>
      </c>
      <c r="AE106">
        <v>1.29999999995789E-3</v>
      </c>
      <c r="AF106">
        <v>3.8773293724668101E-3</v>
      </c>
      <c r="AG106">
        <v>-7.3142999999999903E-2</v>
      </c>
      <c r="AH106">
        <v>0.66614483953717396</v>
      </c>
      <c r="AI106">
        <v>96.265895999037198</v>
      </c>
      <c r="AJ106">
        <v>89.666510814296103</v>
      </c>
      <c r="AK106">
        <v>0.67015959246590595</v>
      </c>
      <c r="AL106">
        <v>82.104340615270601</v>
      </c>
      <c r="AM106">
        <v>92.059974978203996</v>
      </c>
      <c r="AN106">
        <v>0.99999995196083302</v>
      </c>
    </row>
    <row r="107" spans="1:40" x14ac:dyDescent="0.3">
      <c r="A107" t="str">
        <f>"20200111150721885"</f>
        <v>20200111150721885</v>
      </c>
      <c r="B107" t="str">
        <f>"1578726441880650"</f>
        <v>1578726441880650</v>
      </c>
      <c r="C107" t="s">
        <v>40</v>
      </c>
      <c r="D107">
        <v>5.1417400000000004</v>
      </c>
      <c r="E107">
        <v>0.51594439999999997</v>
      </c>
      <c r="F107" t="s">
        <v>41</v>
      </c>
      <c r="G107">
        <v>-456.13029999999998</v>
      </c>
      <c r="H107">
        <v>1.037156</v>
      </c>
      <c r="I107">
        <v>367.30700000000002</v>
      </c>
      <c r="J107">
        <v>-456.78769999999997</v>
      </c>
      <c r="K107">
        <v>1.109602</v>
      </c>
      <c r="L107">
        <v>367.31079999999997</v>
      </c>
      <c r="M107">
        <v>0.99995140000000005</v>
      </c>
      <c r="N107">
        <v>0</v>
      </c>
      <c r="O107">
        <v>7.8394650000000003E-3</v>
      </c>
      <c r="P107">
        <v>0.99033680000000002</v>
      </c>
      <c r="Q107">
        <v>0.13181309999999999</v>
      </c>
      <c r="R107">
        <v>4.3110540000000003E-2</v>
      </c>
      <c r="S107">
        <v>3.0619200000000002</v>
      </c>
      <c r="T107">
        <v>-0.24544489999999999</v>
      </c>
      <c r="U107">
        <v>-4.6386719999999999E-3</v>
      </c>
      <c r="V107">
        <v>-3.5363190000000003E-2</v>
      </c>
      <c r="W107">
        <v>0.13774410000000001</v>
      </c>
      <c r="X107">
        <v>0.9898363</v>
      </c>
      <c r="Y107">
        <v>9.2995279999999996E-3</v>
      </c>
      <c r="Z107">
        <v>-9.9954600000000003E-4</v>
      </c>
      <c r="AA107">
        <v>0.99995630000000002</v>
      </c>
      <c r="AB107">
        <v>26</v>
      </c>
      <c r="AC107">
        <v>0.65739999999999499</v>
      </c>
      <c r="AD107">
        <v>-7.2445999999999997E-2</v>
      </c>
      <c r="AE107">
        <v>-3.8000000000124601E-3</v>
      </c>
      <c r="AF107">
        <v>8.8462128997614693E-3</v>
      </c>
      <c r="AG107">
        <v>-7.2445999999999997E-2</v>
      </c>
      <c r="AH107">
        <v>0.649463052492253</v>
      </c>
      <c r="AI107">
        <v>96.364305139913199</v>
      </c>
      <c r="AJ107">
        <v>89.219633325349903</v>
      </c>
      <c r="AK107">
        <v>0.653551019394219</v>
      </c>
      <c r="AL107">
        <v>82.082671583925702</v>
      </c>
      <c r="AM107">
        <v>92.046096060219398</v>
      </c>
      <c r="AN107">
        <v>0.99999994654473601</v>
      </c>
    </row>
    <row r="108" spans="1:40" x14ac:dyDescent="0.3">
      <c r="A108" t="str">
        <f>"20200111150721907"</f>
        <v>20200111150721907</v>
      </c>
      <c r="B108" t="str">
        <f>"1578726441901145"</f>
        <v>1578726441901145</v>
      </c>
      <c r="C108" t="s">
        <v>40</v>
      </c>
      <c r="D108">
        <v>4.8645129999999996</v>
      </c>
      <c r="E108">
        <v>0.51514229999999905</v>
      </c>
      <c r="F108" t="s">
        <v>41</v>
      </c>
      <c r="G108">
        <v>-455.89819999999997</v>
      </c>
      <c r="H108">
        <v>1.0383420000000001</v>
      </c>
      <c r="I108">
        <v>367.30900000000003</v>
      </c>
      <c r="J108">
        <v>-456.52789999999999</v>
      </c>
      <c r="K108">
        <v>1.1096029999999999</v>
      </c>
      <c r="L108">
        <v>367.31290000000001</v>
      </c>
      <c r="M108">
        <v>0.99995049999999996</v>
      </c>
      <c r="N108">
        <v>0</v>
      </c>
      <c r="O108">
        <v>7.9339279999999998E-3</v>
      </c>
      <c r="P108">
        <v>0.99046279999999998</v>
      </c>
      <c r="Q108">
        <v>0.13078699999999999</v>
      </c>
      <c r="R108">
        <v>4.334383E-2</v>
      </c>
      <c r="S108">
        <v>3.062195</v>
      </c>
      <c r="T108">
        <v>-0.24550130000000001</v>
      </c>
      <c r="U108">
        <v>-5.2795409999999996E-3</v>
      </c>
      <c r="V108">
        <v>-3.5501270000000001E-2</v>
      </c>
      <c r="W108">
        <v>0.13674320000000001</v>
      </c>
      <c r="X108">
        <v>0.98997020000000002</v>
      </c>
      <c r="Y108">
        <v>9.6018409999999998E-3</v>
      </c>
      <c r="Z108">
        <v>-1.019346E-3</v>
      </c>
      <c r="AA108">
        <v>0.99995339999999999</v>
      </c>
      <c r="AB108">
        <v>26</v>
      </c>
      <c r="AC108">
        <v>0.62970000000001303</v>
      </c>
      <c r="AD108">
        <v>-7.1261000000000005E-2</v>
      </c>
      <c r="AE108">
        <v>-3.8999999999873498E-3</v>
      </c>
      <c r="AF108">
        <v>8.7834789062556599E-3</v>
      </c>
      <c r="AG108">
        <v>-7.1261000000000005E-2</v>
      </c>
      <c r="AH108">
        <v>0.62168778818538895</v>
      </c>
      <c r="AI108">
        <v>96.538346529990605</v>
      </c>
      <c r="AJ108">
        <v>89.190553845717503</v>
      </c>
      <c r="AK108">
        <v>0.62582025023287502</v>
      </c>
      <c r="AL108">
        <v>82.140567359299993</v>
      </c>
      <c r="AM108">
        <v>92.053800878160899</v>
      </c>
      <c r="AN108">
        <v>1.00000001990294</v>
      </c>
    </row>
    <row r="109" spans="1:40" x14ac:dyDescent="0.3">
      <c r="A109" t="str">
        <f>"20200111150721931"</f>
        <v>20200111150721931</v>
      </c>
      <c r="B109" t="str">
        <f>"1578726441920666"</f>
        <v>1578726441920666</v>
      </c>
      <c r="C109" t="s">
        <v>40</v>
      </c>
      <c r="D109">
        <v>5.2425829999999998</v>
      </c>
      <c r="E109">
        <v>0.51338729999999999</v>
      </c>
      <c r="F109" t="s">
        <v>41</v>
      </c>
      <c r="G109">
        <v>-455.66730000000001</v>
      </c>
      <c r="H109">
        <v>1.0353840000000001</v>
      </c>
      <c r="I109">
        <v>367.31299999999999</v>
      </c>
      <c r="J109">
        <v>-456.26100000000002</v>
      </c>
      <c r="K109">
        <v>1.109602</v>
      </c>
      <c r="L109">
        <v>367.3152</v>
      </c>
      <c r="M109">
        <v>0.99994950000000005</v>
      </c>
      <c r="N109">
        <v>0</v>
      </c>
      <c r="O109">
        <v>8.0314269999999903E-3</v>
      </c>
      <c r="P109">
        <v>0.99048159999999996</v>
      </c>
      <c r="Q109">
        <v>0.1306032</v>
      </c>
      <c r="R109">
        <v>4.3460989999999998E-2</v>
      </c>
      <c r="S109">
        <v>3.063812</v>
      </c>
      <c r="T109">
        <v>-0.26441679999999901</v>
      </c>
      <c r="U109">
        <v>1.495361E-3</v>
      </c>
      <c r="V109">
        <v>-3.5521879999999999E-2</v>
      </c>
      <c r="W109">
        <v>0.13658499999999901</v>
      </c>
      <c r="X109">
        <v>0.98999130000000002</v>
      </c>
      <c r="Y109">
        <v>7.4858360000000001E-3</v>
      </c>
      <c r="Z109">
        <v>-1.014285E-3</v>
      </c>
      <c r="AA109">
        <v>0.99997139999999995</v>
      </c>
      <c r="AB109">
        <v>26</v>
      </c>
      <c r="AC109">
        <v>0.59369999999995504</v>
      </c>
      <c r="AD109">
        <v>-7.4217999999999895E-2</v>
      </c>
      <c r="AE109">
        <v>-2.1999999999593399E-3</v>
      </c>
      <c r="AF109">
        <v>6.8610558438298701E-3</v>
      </c>
      <c r="AG109">
        <v>-7.4217999999999895E-2</v>
      </c>
      <c r="AH109">
        <v>0.58452869237208505</v>
      </c>
      <c r="AI109">
        <v>97.235670113482399</v>
      </c>
      <c r="AJ109">
        <v>89.327506936907099</v>
      </c>
      <c r="AK109">
        <v>0.58926155297754901</v>
      </c>
      <c r="AL109">
        <v>82.149717404011099</v>
      </c>
      <c r="AM109">
        <v>92.054948413963004</v>
      </c>
      <c r="AN109">
        <v>1.0000000201297099</v>
      </c>
    </row>
    <row r="110" spans="1:40" x14ac:dyDescent="0.3">
      <c r="A110" t="str">
        <f>"20200111150721952"</f>
        <v>20200111150721952</v>
      </c>
      <c r="B110" t="str">
        <f>"1578726441941162"</f>
        <v>1578726441941162</v>
      </c>
      <c r="C110" t="s">
        <v>40</v>
      </c>
      <c r="D110">
        <v>5.038036</v>
      </c>
      <c r="E110">
        <v>0.50983610000000001</v>
      </c>
      <c r="F110" t="s">
        <v>41</v>
      </c>
      <c r="G110">
        <v>-455.43220000000002</v>
      </c>
      <c r="H110">
        <v>1.0380819999999999</v>
      </c>
      <c r="I110">
        <v>367.31939999999997</v>
      </c>
      <c r="J110">
        <v>-456.00700000000001</v>
      </c>
      <c r="K110">
        <v>1.1095999999999999</v>
      </c>
      <c r="L110">
        <v>367.31729999999999</v>
      </c>
      <c r="M110">
        <v>0.99994870000000002</v>
      </c>
      <c r="N110">
        <v>0</v>
      </c>
      <c r="O110">
        <v>8.1242180000000008E-3</v>
      </c>
      <c r="P110">
        <v>0.99053270000000004</v>
      </c>
      <c r="Q110">
        <v>0.13023850000000001</v>
      </c>
      <c r="R110">
        <v>4.339585E-2</v>
      </c>
      <c r="S110">
        <v>3.0629879999999998</v>
      </c>
      <c r="T110">
        <v>-0.26438279999999997</v>
      </c>
      <c r="U110">
        <v>1.6113280000000001E-2</v>
      </c>
      <c r="V110">
        <v>-3.536446E-2</v>
      </c>
      <c r="W110">
        <v>0.13624539999999999</v>
      </c>
      <c r="X110">
        <v>0.99004369999999997</v>
      </c>
      <c r="Y110">
        <v>2.8231570000000002E-3</v>
      </c>
      <c r="Z110">
        <v>-8.2155569999999999E-4</v>
      </c>
      <c r="AA110">
        <v>0.99999559999999998</v>
      </c>
      <c r="AB110">
        <v>26</v>
      </c>
      <c r="AC110">
        <v>0.57479999999992504</v>
      </c>
      <c r="AD110">
        <v>-7.1517999999999901E-2</v>
      </c>
      <c r="AE110">
        <v>2.0999999999844398E-3</v>
      </c>
      <c r="AF110">
        <v>2.53077698737178E-3</v>
      </c>
      <c r="AG110">
        <v>-7.1517999999999901E-2</v>
      </c>
      <c r="AH110">
        <v>0.56603544956463903</v>
      </c>
      <c r="AI110">
        <v>97.201034053006396</v>
      </c>
      <c r="AJ110">
        <v>89.7438289877975</v>
      </c>
      <c r="AK110">
        <v>0.57054128625367895</v>
      </c>
      <c r="AL110">
        <v>82.169358432104104</v>
      </c>
      <c r="AM110">
        <v>92.045741200304093</v>
      </c>
      <c r="AN110">
        <v>0.99999999098097003</v>
      </c>
    </row>
    <row r="111" spans="1:40" x14ac:dyDescent="0.3">
      <c r="A111" t="str">
        <f>"20200111150721975"</f>
        <v>20200111150721975</v>
      </c>
      <c r="B111" t="str">
        <f>"1578726441971418"</f>
        <v>1578726441971418</v>
      </c>
      <c r="C111" t="s">
        <v>40</v>
      </c>
      <c r="D111">
        <v>5.2407260000000004</v>
      </c>
      <c r="E111">
        <v>0.50524199999999997</v>
      </c>
      <c r="F111" t="s">
        <v>41</v>
      </c>
      <c r="G111">
        <v>-455.19580000000002</v>
      </c>
      <c r="H111">
        <v>1.03949</v>
      </c>
      <c r="I111">
        <v>367.32870000000003</v>
      </c>
      <c r="J111">
        <v>-455.7441</v>
      </c>
      <c r="K111">
        <v>1.1095969999999999</v>
      </c>
      <c r="L111">
        <v>367.31950000000001</v>
      </c>
      <c r="M111">
        <v>0.99994769999999999</v>
      </c>
      <c r="N111">
        <v>0</v>
      </c>
      <c r="O111">
        <v>8.2205230000000004E-3</v>
      </c>
      <c r="P111">
        <v>0.99058310000000005</v>
      </c>
      <c r="Q111">
        <v>0.12995429999999999</v>
      </c>
      <c r="R111">
        <v>4.3092129999999999E-2</v>
      </c>
      <c r="S111">
        <v>3.0615839999999999</v>
      </c>
      <c r="T111">
        <v>-0.26493919999999999</v>
      </c>
      <c r="U111">
        <v>4.4464110000000001E-2</v>
      </c>
      <c r="V111">
        <v>-3.4964910000000002E-2</v>
      </c>
      <c r="W111">
        <v>0.13598689999999999</v>
      </c>
      <c r="X111">
        <v>0.99009340000000001</v>
      </c>
      <c r="Y111">
        <v>-6.3085499999999996E-3</v>
      </c>
      <c r="Z111">
        <v>-4.3757190000000002E-4</v>
      </c>
      <c r="AA111">
        <v>0.99997999999999998</v>
      </c>
      <c r="AB111">
        <v>26</v>
      </c>
      <c r="AC111">
        <v>0.54829999999998302</v>
      </c>
      <c r="AD111">
        <v>-7.0106999999999906E-2</v>
      </c>
      <c r="AE111">
        <v>9.2000000000211895E-3</v>
      </c>
      <c r="AF111">
        <v>-4.6168344086141401E-3</v>
      </c>
      <c r="AG111">
        <v>-7.0106999999999906E-2</v>
      </c>
      <c r="AH111">
        <v>0.53953876630622999</v>
      </c>
      <c r="AI111">
        <v>97.403193774513298</v>
      </c>
      <c r="AJ111">
        <v>90.4902681452173</v>
      </c>
      <c r="AK111">
        <v>0.54409409752009397</v>
      </c>
      <c r="AL111">
        <v>82.184308300269706</v>
      </c>
      <c r="AM111">
        <v>92.022546141592201</v>
      </c>
      <c r="AN111">
        <v>0.99999996131323798</v>
      </c>
    </row>
    <row r="112" spans="1:40" x14ac:dyDescent="0.3">
      <c r="A112" t="str">
        <f>"20200111150721997"</f>
        <v>20200111150721997</v>
      </c>
      <c r="B112" t="str">
        <f>"1578726441990938"</f>
        <v>1578726441990938</v>
      </c>
      <c r="C112" t="s">
        <v>40</v>
      </c>
      <c r="D112">
        <v>5.2921050000000003</v>
      </c>
      <c r="E112">
        <v>0.50246239999999998</v>
      </c>
      <c r="F112" t="s">
        <v>43</v>
      </c>
      <c r="G112">
        <v>-442.72739999999999</v>
      </c>
      <c r="H112" s="1">
        <v>-3.7647740000000001E-6</v>
      </c>
      <c r="I112">
        <v>367.66300000000001</v>
      </c>
      <c r="J112">
        <v>-455.48099999999999</v>
      </c>
      <c r="K112">
        <v>1.1095980000000001</v>
      </c>
      <c r="L112">
        <v>367.3218</v>
      </c>
      <c r="M112">
        <v>0.99994680000000002</v>
      </c>
      <c r="N112">
        <v>0</v>
      </c>
      <c r="O112">
        <v>8.3168269999999902E-3</v>
      </c>
      <c r="P112">
        <v>0.9906026</v>
      </c>
      <c r="Q112">
        <v>0.129887</v>
      </c>
      <c r="R112">
        <v>4.2847660000000003E-2</v>
      </c>
      <c r="S112">
        <v>3.0592649999999999</v>
      </c>
      <c r="T112">
        <v>-0.26078410000000002</v>
      </c>
      <c r="U112">
        <v>8.0718990000000004E-2</v>
      </c>
      <c r="V112">
        <v>-3.4625179999999998E-2</v>
      </c>
      <c r="W112">
        <v>0.13594589999999901</v>
      </c>
      <c r="X112">
        <v>0.99011099999999996</v>
      </c>
      <c r="Y112">
        <v>-1.802573E-2</v>
      </c>
      <c r="Z112" s="1">
        <v>5.9227520000000003E-5</v>
      </c>
      <c r="AA112">
        <v>0.99983750000000005</v>
      </c>
      <c r="AB112">
        <v>26</v>
      </c>
      <c r="AC112">
        <v>12.7536</v>
      </c>
      <c r="AD112">
        <v>-1.109601764774</v>
      </c>
      <c r="AE112">
        <v>0.34120000000001399</v>
      </c>
      <c r="AF112">
        <v>-0.233351641771643</v>
      </c>
      <c r="AG112">
        <v>-1.109601764774</v>
      </c>
      <c r="AH112">
        <v>12.6602332241001</v>
      </c>
      <c r="AI112">
        <v>95.008023306446404</v>
      </c>
      <c r="AJ112">
        <v>91.055948196361697</v>
      </c>
      <c r="AK112">
        <v>12.7109076919674</v>
      </c>
      <c r="AL112">
        <v>82.186679684972205</v>
      </c>
      <c r="AM112">
        <v>92.002874960796703</v>
      </c>
      <c r="AN112">
        <v>0.99999999156892105</v>
      </c>
    </row>
    <row r="113" spans="1:40" x14ac:dyDescent="0.3">
      <c r="A113" t="str">
        <f>"20200111150722021"</f>
        <v>20200111150722021</v>
      </c>
      <c r="B113" t="str">
        <f>"1578726442011435"</f>
        <v>1578726442011435</v>
      </c>
      <c r="C113" t="s">
        <v>40</v>
      </c>
      <c r="D113">
        <v>5.2166269999999999</v>
      </c>
      <c r="E113">
        <v>0.50017149999999999</v>
      </c>
      <c r="F113" t="s">
        <v>43</v>
      </c>
      <c r="G113">
        <v>-442.44510000000002</v>
      </c>
      <c r="H113" s="1">
        <v>-3.8817590000000002E-6</v>
      </c>
      <c r="I113">
        <v>367.75569999999999</v>
      </c>
      <c r="J113">
        <v>-455.2088</v>
      </c>
      <c r="K113">
        <v>1.1096029999999999</v>
      </c>
      <c r="L113">
        <v>367.32420000000002</v>
      </c>
      <c r="M113">
        <v>0.99994570000000005</v>
      </c>
      <c r="N113">
        <v>0</v>
      </c>
      <c r="O113">
        <v>8.4162879999999992E-3</v>
      </c>
      <c r="P113">
        <v>0.99051549999999999</v>
      </c>
      <c r="Q113">
        <v>0.130383</v>
      </c>
      <c r="R113">
        <v>4.3353290000000003E-2</v>
      </c>
      <c r="S113">
        <v>3.0582280000000002</v>
      </c>
      <c r="T113">
        <v>-0.26031349999999998</v>
      </c>
      <c r="U113">
        <v>0.10177609999999999</v>
      </c>
      <c r="V113">
        <v>-3.5033380000000003E-2</v>
      </c>
      <c r="W113">
        <v>0.1364678</v>
      </c>
      <c r="X113">
        <v>0.99002489999999999</v>
      </c>
      <c r="Y113">
        <v>-2.4788930000000001E-2</v>
      </c>
      <c r="Z113">
        <v>3.3793240000000002E-4</v>
      </c>
      <c r="AA113">
        <v>0.99969269999999999</v>
      </c>
      <c r="AB113">
        <v>26</v>
      </c>
      <c r="AC113">
        <v>12.763699999999901</v>
      </c>
      <c r="AD113">
        <v>-1.1096068817589999</v>
      </c>
      <c r="AE113">
        <v>0.43149999999997102</v>
      </c>
      <c r="AF113">
        <v>-0.32163171756426301</v>
      </c>
      <c r="AG113">
        <v>-1.1096068817589999</v>
      </c>
      <c r="AH113">
        <v>12.671224631583099</v>
      </c>
      <c r="AI113">
        <v>95.002966557473201</v>
      </c>
      <c r="AJ113">
        <v>91.454017615320893</v>
      </c>
      <c r="AK113">
        <v>12.7237812012715</v>
      </c>
      <c r="AL113">
        <v>82.156496179323398</v>
      </c>
      <c r="AM113">
        <v>92.026643588696501</v>
      </c>
      <c r="AN113">
        <v>1.00000005038553</v>
      </c>
    </row>
    <row r="114" spans="1:40" x14ac:dyDescent="0.3">
      <c r="A114" t="str">
        <f>"20200111150722042"</f>
        <v>20200111150722042</v>
      </c>
      <c r="B114" t="str">
        <f>"1578726442030956"</f>
        <v>1578726442030956</v>
      </c>
      <c r="C114" t="s">
        <v>40</v>
      </c>
      <c r="D114">
        <v>5.2016349999999996</v>
      </c>
      <c r="E114">
        <v>0.49804280000000001</v>
      </c>
      <c r="F114" t="s">
        <v>41</v>
      </c>
      <c r="G114">
        <v>-454.2552</v>
      </c>
      <c r="H114">
        <v>1.028532</v>
      </c>
      <c r="I114">
        <v>367.36189999999999</v>
      </c>
      <c r="J114">
        <v>-454.94819999999999</v>
      </c>
      <c r="K114">
        <v>1.1096079999999999</v>
      </c>
      <c r="L114">
        <v>367.32639999999998</v>
      </c>
      <c r="M114">
        <v>0.99994470000000002</v>
      </c>
      <c r="N114">
        <v>0</v>
      </c>
      <c r="O114">
        <v>8.5112219999999902E-3</v>
      </c>
      <c r="P114">
        <v>0.99044219999999905</v>
      </c>
      <c r="Q114">
        <v>0.1309737</v>
      </c>
      <c r="R114">
        <v>4.3245110000000003E-2</v>
      </c>
      <c r="S114">
        <v>3.0576479999999999</v>
      </c>
      <c r="T114">
        <v>-0.26013259999999999</v>
      </c>
      <c r="U114">
        <v>0.1216431</v>
      </c>
      <c r="V114">
        <v>-3.4832109999999999E-2</v>
      </c>
      <c r="W114">
        <v>0.13708429999999999</v>
      </c>
      <c r="X114">
        <v>0.98994680000000002</v>
      </c>
      <c r="Y114">
        <v>-3.1163980000000001E-2</v>
      </c>
      <c r="Z114">
        <v>6.0025569999999997E-4</v>
      </c>
      <c r="AA114">
        <v>0.99951409999999996</v>
      </c>
      <c r="AB114">
        <v>26</v>
      </c>
      <c r="AC114">
        <v>0.69299999999998296</v>
      </c>
      <c r="AD114">
        <v>-8.1075999999999898E-2</v>
      </c>
      <c r="AE114">
        <v>3.5500000000013097E-2</v>
      </c>
      <c r="AF114">
        <v>-2.9201678361601199E-2</v>
      </c>
      <c r="AG114">
        <v>-8.1075999999999898E-2</v>
      </c>
      <c r="AH114">
        <v>0.68394024980891999</v>
      </c>
      <c r="AI114">
        <v>96.754340452966503</v>
      </c>
      <c r="AJ114">
        <v>92.444829568104197</v>
      </c>
      <c r="AK114">
        <v>0.68934775048869301</v>
      </c>
      <c r="AL114">
        <v>82.120838009644601</v>
      </c>
      <c r="AM114">
        <v>92.015168799478204</v>
      </c>
      <c r="AN114">
        <v>1.00000002401189</v>
      </c>
    </row>
    <row r="115" spans="1:40" x14ac:dyDescent="0.3">
      <c r="A115" t="str">
        <f>"20200111150722065"</f>
        <v>20200111150722065</v>
      </c>
      <c r="B115" t="str">
        <f>"1578726442061210"</f>
        <v>1578726442061210</v>
      </c>
      <c r="C115" t="s">
        <v>40</v>
      </c>
      <c r="D115">
        <v>5.1603779999999997</v>
      </c>
      <c r="E115">
        <v>0.49569530000000001</v>
      </c>
      <c r="F115" t="s">
        <v>43</v>
      </c>
      <c r="G115">
        <v>-441.58909999999997</v>
      </c>
      <c r="H115" s="1">
        <v>-4.2553039999999998E-6</v>
      </c>
      <c r="I115">
        <v>367.93090000000001</v>
      </c>
      <c r="J115">
        <v>-454.6841</v>
      </c>
      <c r="K115">
        <v>1.1096170000000001</v>
      </c>
      <c r="L115">
        <v>367.3288</v>
      </c>
      <c r="M115">
        <v>0.9999439</v>
      </c>
      <c r="N115">
        <v>0</v>
      </c>
      <c r="O115">
        <v>8.6068120000000001E-3</v>
      </c>
      <c r="P115">
        <v>0.99035419999999996</v>
      </c>
      <c r="Q115">
        <v>0.13163649999999999</v>
      </c>
      <c r="R115">
        <v>4.3247809999999998E-2</v>
      </c>
      <c r="S115">
        <v>3.0564879999999999</v>
      </c>
      <c r="T115">
        <v>-0.2538744</v>
      </c>
      <c r="U115">
        <v>0.1383057</v>
      </c>
      <c r="V115">
        <v>-3.4740500000000001E-2</v>
      </c>
      <c r="W115">
        <v>0.13777200000000001</v>
      </c>
      <c r="X115">
        <v>0.98985449999999997</v>
      </c>
      <c r="Y115">
        <v>-3.6507869999999998E-2</v>
      </c>
      <c r="Z115">
        <v>7.9954149999999905E-4</v>
      </c>
      <c r="AA115">
        <v>0.99933300000000003</v>
      </c>
      <c r="AB115">
        <v>27</v>
      </c>
      <c r="AC115">
        <v>13.095000000000001</v>
      </c>
      <c r="AD115">
        <v>-1.1096212553039999</v>
      </c>
      <c r="AE115">
        <v>0.60210000000000696</v>
      </c>
      <c r="AF115">
        <v>-0.48588791813396598</v>
      </c>
      <c r="AG115">
        <v>-1.1096212553039999</v>
      </c>
      <c r="AH115">
        <v>13.006504500280201</v>
      </c>
      <c r="AI115">
        <v>94.872873095968501</v>
      </c>
      <c r="AJ115">
        <v>92.139420879754994</v>
      </c>
      <c r="AK115">
        <v>13.062790885374399</v>
      </c>
      <c r="AL115">
        <v>82.081057900789801</v>
      </c>
      <c r="AM115">
        <v>92.010060427293695</v>
      </c>
      <c r="AN115">
        <v>0.999999978747249</v>
      </c>
    </row>
    <row r="116" spans="1:40" x14ac:dyDescent="0.3">
      <c r="A116" t="str">
        <f>"20200111150722086"</f>
        <v>20200111150722086</v>
      </c>
      <c r="B116" t="str">
        <f>"1578726442080730"</f>
        <v>1578726442080730</v>
      </c>
      <c r="C116" t="s">
        <v>40</v>
      </c>
      <c r="D116">
        <v>5.1942339999999998</v>
      </c>
      <c r="E116">
        <v>0.49446459999999998</v>
      </c>
      <c r="F116" t="s">
        <v>43</v>
      </c>
      <c r="G116">
        <v>-441.31659999999999</v>
      </c>
      <c r="H116" s="1">
        <v>-4.3689060000000004E-6</v>
      </c>
      <c r="I116">
        <v>368.01679999999999</v>
      </c>
      <c r="J116">
        <v>-454.41849999999999</v>
      </c>
      <c r="K116">
        <v>1.1096200000000001</v>
      </c>
      <c r="L116">
        <v>367.33120000000002</v>
      </c>
      <c r="M116">
        <v>0.99994280000000002</v>
      </c>
      <c r="N116">
        <v>0</v>
      </c>
      <c r="O116">
        <v>8.7032940000000003E-3</v>
      </c>
      <c r="P116">
        <v>0.9903016</v>
      </c>
      <c r="Q116">
        <v>0.13189919999999999</v>
      </c>
      <c r="R116">
        <v>4.3653789999999998E-2</v>
      </c>
      <c r="S116">
        <v>3.0560299999999998</v>
      </c>
      <c r="T116">
        <v>-0.25367669999999998</v>
      </c>
      <c r="U116">
        <v>0.1572876</v>
      </c>
      <c r="V116">
        <v>-3.5052479999999997E-2</v>
      </c>
      <c r="W116">
        <v>0.13806099999999999</v>
      </c>
      <c r="X116">
        <v>0.98980330000000005</v>
      </c>
      <c r="Y116">
        <v>-4.2589790000000002E-2</v>
      </c>
      <c r="Z116">
        <v>1.0427629999999999E-3</v>
      </c>
      <c r="AA116">
        <v>0.99909210000000004</v>
      </c>
      <c r="AB116">
        <v>27</v>
      </c>
      <c r="AC116">
        <v>13.101900000000001</v>
      </c>
      <c r="AD116">
        <v>-1.1096243689059999</v>
      </c>
      <c r="AE116">
        <v>0.68559999999996502</v>
      </c>
      <c r="AF116">
        <v>-0.56748286499881695</v>
      </c>
      <c r="AG116">
        <v>-1.1096243689059999</v>
      </c>
      <c r="AH116">
        <v>13.014278086969099</v>
      </c>
      <c r="AI116">
        <v>94.868766552735295</v>
      </c>
      <c r="AJ116">
        <v>92.496780009425393</v>
      </c>
      <c r="AK116">
        <v>13.073818767563701</v>
      </c>
      <c r="AL116">
        <v>82.064340182435899</v>
      </c>
      <c r="AM116">
        <v>92.0282011799831</v>
      </c>
      <c r="AN116">
        <v>1.0000000443830099</v>
      </c>
    </row>
    <row r="117" spans="1:40" x14ac:dyDescent="0.3">
      <c r="A117" t="str">
        <f>"20200111150722109"</f>
        <v>20200111150722109</v>
      </c>
      <c r="B117" t="str">
        <f>"1578726442101226"</f>
        <v>1578726442101226</v>
      </c>
      <c r="C117" t="s">
        <v>40</v>
      </c>
      <c r="D117">
        <v>5.156263</v>
      </c>
      <c r="E117">
        <v>0.49342609999999998</v>
      </c>
      <c r="F117" t="s">
        <v>43</v>
      </c>
      <c r="G117">
        <v>-441.13409999999999</v>
      </c>
      <c r="H117" s="1">
        <v>-4.4469359999999999E-6</v>
      </c>
      <c r="I117">
        <v>368.0634</v>
      </c>
      <c r="J117">
        <v>-454.14569999999998</v>
      </c>
      <c r="K117">
        <v>1.109623</v>
      </c>
      <c r="L117">
        <v>367.33370000000002</v>
      </c>
      <c r="M117">
        <v>0.99994179999999999</v>
      </c>
      <c r="N117">
        <v>0</v>
      </c>
      <c r="O117">
        <v>8.8018599999999999E-3</v>
      </c>
      <c r="P117">
        <v>0.99024650000000003</v>
      </c>
      <c r="Q117">
        <v>0.13215399999999999</v>
      </c>
      <c r="R117">
        <v>4.4129889999999998E-2</v>
      </c>
      <c r="S117">
        <v>3.0559690000000002</v>
      </c>
      <c r="T117">
        <v>-0.25526019999999999</v>
      </c>
      <c r="U117">
        <v>0.16842650000000001</v>
      </c>
      <c r="V117">
        <v>-3.5431490000000003E-2</v>
      </c>
      <c r="W117">
        <v>0.13834250000000001</v>
      </c>
      <c r="X117">
        <v>0.98975040000000003</v>
      </c>
      <c r="Y117">
        <v>-4.6110089999999999E-2</v>
      </c>
      <c r="Z117">
        <v>1.187617E-3</v>
      </c>
      <c r="AA117">
        <v>0.99893560000000003</v>
      </c>
      <c r="AB117">
        <v>27</v>
      </c>
      <c r="AC117">
        <v>13.0115999999999</v>
      </c>
      <c r="AD117">
        <v>-1.1096274469359999</v>
      </c>
      <c r="AE117">
        <v>0.72969999999997903</v>
      </c>
      <c r="AF117">
        <v>-0.61071562298860405</v>
      </c>
      <c r="AG117">
        <v>-1.1096274469359999</v>
      </c>
      <c r="AH117">
        <v>12.9238229655752</v>
      </c>
      <c r="AI117">
        <v>94.901884197003398</v>
      </c>
      <c r="AJ117">
        <v>92.705501064831495</v>
      </c>
      <c r="AK117">
        <v>12.9857401286443</v>
      </c>
      <c r="AL117">
        <v>82.0480543645686</v>
      </c>
      <c r="AM117">
        <v>92.050222265208703</v>
      </c>
      <c r="AN117">
        <v>0.99999994604501297</v>
      </c>
    </row>
    <row r="118" spans="1:40" x14ac:dyDescent="0.3">
      <c r="A118" t="str">
        <f>"20200111150722133"</f>
        <v>20200111150722133</v>
      </c>
      <c r="B118" t="str">
        <f>"1578726442131482"</f>
        <v>1578726442131482</v>
      </c>
      <c r="C118" t="s">
        <v>40</v>
      </c>
      <c r="D118">
        <v>5.1361739999999996</v>
      </c>
      <c r="E118">
        <v>0.49181629999999898</v>
      </c>
      <c r="F118" t="s">
        <v>43</v>
      </c>
      <c r="G118">
        <v>-441.0754</v>
      </c>
      <c r="H118" s="1">
        <v>-4.469188E-6</v>
      </c>
      <c r="I118">
        <v>368.09429999999998</v>
      </c>
      <c r="J118">
        <v>-453.86099999999999</v>
      </c>
      <c r="K118">
        <v>1.1096220000000001</v>
      </c>
      <c r="L118">
        <v>367.33629999999999</v>
      </c>
      <c r="M118">
        <v>0.99994059999999996</v>
      </c>
      <c r="N118">
        <v>0</v>
      </c>
      <c r="O118">
        <v>8.9050099999999997E-3</v>
      </c>
      <c r="P118">
        <v>0.99023090000000002</v>
      </c>
      <c r="Q118">
        <v>0.13215299999999999</v>
      </c>
      <c r="R118">
        <v>4.4478990000000003E-2</v>
      </c>
      <c r="S118">
        <v>3.0562740000000002</v>
      </c>
      <c r="T118">
        <v>-0.25946780000000003</v>
      </c>
      <c r="U118">
        <v>0.1778564</v>
      </c>
      <c r="V118">
        <v>-3.5678639999999998E-2</v>
      </c>
      <c r="W118">
        <v>0.13836979999999999</v>
      </c>
      <c r="X118">
        <v>0.98973770000000005</v>
      </c>
      <c r="Y118">
        <v>-4.9059190000000003E-2</v>
      </c>
      <c r="Z118">
        <v>1.3230239999999999E-3</v>
      </c>
      <c r="AA118">
        <v>0.99879499999999999</v>
      </c>
      <c r="AB118">
        <v>27</v>
      </c>
      <c r="AC118">
        <v>12.785599999999899</v>
      </c>
      <c r="AD118">
        <v>-1.10962646918799</v>
      </c>
      <c r="AE118">
        <v>0.75799999999998102</v>
      </c>
      <c r="AF118">
        <v>-0.63931334477064095</v>
      </c>
      <c r="AG118">
        <v>-1.10962646918799</v>
      </c>
      <c r="AH118">
        <v>12.696547465893101</v>
      </c>
      <c r="AI118">
        <v>94.988438577982294</v>
      </c>
      <c r="AJ118">
        <v>92.882598254100103</v>
      </c>
      <c r="AK118">
        <v>12.7609682237517</v>
      </c>
      <c r="AL118">
        <v>82.046474958664803</v>
      </c>
      <c r="AM118">
        <v>92.064537589833094</v>
      </c>
      <c r="AN118">
        <v>0.99999994085278798</v>
      </c>
    </row>
    <row r="119" spans="1:40" x14ac:dyDescent="0.3">
      <c r="A119" t="str">
        <f>"20200111150722154"</f>
        <v>20200111150722154</v>
      </c>
      <c r="B119" t="str">
        <f>"1578726442151002"</f>
        <v>1578726442151002</v>
      </c>
      <c r="C119" t="s">
        <v>40</v>
      </c>
      <c r="D119">
        <v>5.1195069999999996</v>
      </c>
      <c r="E119">
        <v>0.49086619999999997</v>
      </c>
      <c r="F119" t="s">
        <v>43</v>
      </c>
      <c r="G119">
        <v>-440.91320000000002</v>
      </c>
      <c r="H119" s="1">
        <v>-4.5356759999999998E-6</v>
      </c>
      <c r="I119">
        <v>368.15159999999997</v>
      </c>
      <c r="J119">
        <v>-453.6037</v>
      </c>
      <c r="K119">
        <v>1.109621</v>
      </c>
      <c r="L119">
        <v>367.33870000000002</v>
      </c>
      <c r="M119">
        <v>0.99993969999999999</v>
      </c>
      <c r="N119">
        <v>0</v>
      </c>
      <c r="O119">
        <v>8.9983919999999992E-3</v>
      </c>
      <c r="P119">
        <v>0.99014570000000002</v>
      </c>
      <c r="Q119">
        <v>0.1326271</v>
      </c>
      <c r="R119">
        <v>4.496149E-2</v>
      </c>
      <c r="S119">
        <v>3.0559080000000001</v>
      </c>
      <c r="T119">
        <v>-0.26189230000000002</v>
      </c>
      <c r="U119">
        <v>0.19241330000000001</v>
      </c>
      <c r="V119">
        <v>-3.6069690000000001E-2</v>
      </c>
      <c r="W119">
        <v>0.13886950000000001</v>
      </c>
      <c r="X119">
        <v>0.98965360000000002</v>
      </c>
      <c r="Y119">
        <v>-5.3693440000000002E-2</v>
      </c>
      <c r="Z119">
        <v>1.525354E-3</v>
      </c>
      <c r="AA119">
        <v>0.99855629999999995</v>
      </c>
      <c r="AB119">
        <v>27</v>
      </c>
      <c r="AC119">
        <v>12.690499999999901</v>
      </c>
      <c r="AD119">
        <v>-1.1096255356760001</v>
      </c>
      <c r="AE119">
        <v>0.81289999999995599</v>
      </c>
      <c r="AF119">
        <v>-0.69339119923564296</v>
      </c>
      <c r="AG119">
        <v>-1.1096255356760001</v>
      </c>
      <c r="AH119">
        <v>12.6013534879304</v>
      </c>
      <c r="AI119">
        <v>95.024698815047202</v>
      </c>
      <c r="AJ119">
        <v>93.149531985196504</v>
      </c>
      <c r="AK119">
        <v>12.669102963997799</v>
      </c>
      <c r="AL119">
        <v>82.017565661058896</v>
      </c>
      <c r="AM119">
        <v>92.087322925324898</v>
      </c>
      <c r="AN119">
        <v>1.00000000427995</v>
      </c>
    </row>
    <row r="120" spans="1:40" x14ac:dyDescent="0.3">
      <c r="A120" t="str">
        <f>"20200111150722177"</f>
        <v>20200111150722177</v>
      </c>
      <c r="B120" t="str">
        <f>"1578726442171498"</f>
        <v>1578726442171498</v>
      </c>
      <c r="C120" t="s">
        <v>40</v>
      </c>
      <c r="D120">
        <v>5.1575009999999999</v>
      </c>
      <c r="E120">
        <v>0.489902</v>
      </c>
      <c r="F120" t="s">
        <v>43</v>
      </c>
      <c r="G120">
        <v>-440.64980000000003</v>
      </c>
      <c r="H120" s="1">
        <v>-4.6532639999999998E-6</v>
      </c>
      <c r="I120">
        <v>368.19060000000002</v>
      </c>
      <c r="J120">
        <v>-453.32479999999998</v>
      </c>
      <c r="K120">
        <v>1.1096220000000001</v>
      </c>
      <c r="L120">
        <v>367.34129999999999</v>
      </c>
      <c r="M120">
        <v>0.99993869999999896</v>
      </c>
      <c r="N120">
        <v>0</v>
      </c>
      <c r="O120">
        <v>9.1002280000000001E-3</v>
      </c>
      <c r="P120">
        <v>0.9901375</v>
      </c>
      <c r="Q120">
        <v>0.13245670000000001</v>
      </c>
      <c r="R120">
        <v>4.5640029999999998E-2</v>
      </c>
      <c r="S120">
        <v>3.0557560000000001</v>
      </c>
      <c r="T120">
        <v>-0.26175569999999998</v>
      </c>
      <c r="U120">
        <v>0.20095830000000001</v>
      </c>
      <c r="V120">
        <v>-3.6647569999999997E-2</v>
      </c>
      <c r="W120">
        <v>0.1387264</v>
      </c>
      <c r="X120">
        <v>0.98965250000000005</v>
      </c>
      <c r="Y120">
        <v>-5.6366270000000003E-2</v>
      </c>
      <c r="Z120">
        <v>1.6299520000000001E-3</v>
      </c>
      <c r="AA120">
        <v>0.99840890000000004</v>
      </c>
      <c r="AB120">
        <v>27</v>
      </c>
      <c r="AC120">
        <v>12.674999999999899</v>
      </c>
      <c r="AD120">
        <v>-1.10962665326399</v>
      </c>
      <c r="AE120">
        <v>0.84930000000002703</v>
      </c>
      <c r="AF120">
        <v>-0.72835991702037395</v>
      </c>
      <c r="AG120">
        <v>-1.10962665326399</v>
      </c>
      <c r="AH120">
        <v>12.586174307961301</v>
      </c>
      <c r="AI120">
        <v>95.029931610952701</v>
      </c>
      <c r="AJ120">
        <v>93.312003786196996</v>
      </c>
      <c r="AK120">
        <v>12.6559694685449</v>
      </c>
      <c r="AL120">
        <v>82.025845307538702</v>
      </c>
      <c r="AM120">
        <v>92.120736419904901</v>
      </c>
      <c r="AN120">
        <v>1.00000006460005</v>
      </c>
    </row>
    <row r="121" spans="1:40" x14ac:dyDescent="0.3">
      <c r="A121" t="str">
        <f>"20200111150722199"</f>
        <v>20200111150722199</v>
      </c>
      <c r="B121" t="str">
        <f>"1578726442191018"</f>
        <v>1578726442191018</v>
      </c>
      <c r="C121" t="s">
        <v>40</v>
      </c>
      <c r="D121">
        <v>5.0498690000000002</v>
      </c>
      <c r="E121">
        <v>0.48977140000000002</v>
      </c>
      <c r="F121" t="s">
        <v>43</v>
      </c>
      <c r="G121">
        <v>-440.41160000000002</v>
      </c>
      <c r="H121" s="1">
        <v>-4.7585670000000002E-6</v>
      </c>
      <c r="I121">
        <v>368.2319</v>
      </c>
      <c r="J121">
        <v>-453.05259999999998</v>
      </c>
      <c r="K121">
        <v>1.1096220000000001</v>
      </c>
      <c r="L121">
        <v>367.34390000000002</v>
      </c>
      <c r="M121">
        <v>0.99993750000000003</v>
      </c>
      <c r="N121">
        <v>0</v>
      </c>
      <c r="O121">
        <v>9.1994539999999993E-3</v>
      </c>
      <c r="P121">
        <v>0.99022540000000003</v>
      </c>
      <c r="Q121">
        <v>0.13215789999999999</v>
      </c>
      <c r="R121">
        <v>4.4584480000000003E-2</v>
      </c>
      <c r="S121">
        <v>3.0553279999999998</v>
      </c>
      <c r="T121">
        <v>-0.26254250000000001</v>
      </c>
      <c r="U121">
        <v>0.21072389999999999</v>
      </c>
      <c r="V121">
        <v>-3.5492759999999998E-2</v>
      </c>
      <c r="W121">
        <v>0.13845250000000001</v>
      </c>
      <c r="X121">
        <v>0.98973290000000003</v>
      </c>
      <c r="Y121">
        <v>-5.9440850000000003E-2</v>
      </c>
      <c r="Z121">
        <v>1.7580899999999999E-3</v>
      </c>
      <c r="AA121">
        <v>0.99823030000000001</v>
      </c>
      <c r="AB121">
        <v>27</v>
      </c>
      <c r="AC121">
        <v>12.640999999999901</v>
      </c>
      <c r="AD121">
        <v>-1.1096267585670001</v>
      </c>
      <c r="AE121">
        <v>0.88799999999997603</v>
      </c>
      <c r="AF121">
        <v>-0.76579802932590002</v>
      </c>
      <c r="AG121">
        <v>-1.1096267585670001</v>
      </c>
      <c r="AH121">
        <v>12.552389046491401</v>
      </c>
      <c r="AI121">
        <v>95.042468070119199</v>
      </c>
      <c r="AJ121">
        <v>93.491182394109401</v>
      </c>
      <c r="AK121">
        <v>12.624586683908699</v>
      </c>
      <c r="AL121">
        <v>82.041691197178693</v>
      </c>
      <c r="AM121">
        <v>92.0538008667708</v>
      </c>
      <c r="AN121">
        <v>1.0000000220555301</v>
      </c>
    </row>
    <row r="122" spans="1:40" x14ac:dyDescent="0.3">
      <c r="A122" t="str">
        <f>"20200111150722221"</f>
        <v>20200111150722221</v>
      </c>
      <c r="B122" t="str">
        <f>"1578726442211514"</f>
        <v>1578726442211514</v>
      </c>
      <c r="C122" t="s">
        <v>40</v>
      </c>
      <c r="D122">
        <v>5.1676460000000004</v>
      </c>
      <c r="E122">
        <v>0.527119</v>
      </c>
      <c r="F122" t="s">
        <v>43</v>
      </c>
      <c r="G122">
        <v>-440.18009999999998</v>
      </c>
      <c r="H122" s="1">
        <v>-4.8688179999999999E-6</v>
      </c>
      <c r="I122">
        <v>368.22730000000001</v>
      </c>
      <c r="J122">
        <v>-452.7869</v>
      </c>
      <c r="K122">
        <v>1.1096170000000001</v>
      </c>
      <c r="L122">
        <v>367.34640000000002</v>
      </c>
      <c r="M122">
        <v>0.99993659999999995</v>
      </c>
      <c r="N122">
        <v>0</v>
      </c>
      <c r="O122">
        <v>9.2963679999999993E-3</v>
      </c>
      <c r="P122">
        <v>0.99032710000000002</v>
      </c>
      <c r="Q122">
        <v>0.13174559999999999</v>
      </c>
      <c r="R122">
        <v>4.3539229999999998E-2</v>
      </c>
      <c r="S122">
        <v>3.0552980000000001</v>
      </c>
      <c r="T122">
        <v>-0.26337110000000002</v>
      </c>
      <c r="U122">
        <v>0.20968629999999999</v>
      </c>
      <c r="V122">
        <v>-3.4350650000000003E-2</v>
      </c>
      <c r="W122">
        <v>0.13806099999999999</v>
      </c>
      <c r="X122">
        <v>0.98982789999999998</v>
      </c>
      <c r="Y122">
        <v>-5.9008169999999999E-2</v>
      </c>
      <c r="Z122">
        <v>1.7367350000000001E-3</v>
      </c>
      <c r="AA122">
        <v>0.99825600000000003</v>
      </c>
      <c r="AB122">
        <v>27</v>
      </c>
      <c r="AC122">
        <v>12.6068</v>
      </c>
      <c r="AD122">
        <v>-1.109621868818</v>
      </c>
      <c r="AE122">
        <v>0.88089999999999602</v>
      </c>
      <c r="AF122">
        <v>-0.75781972004706</v>
      </c>
      <c r="AG122">
        <v>-1.109621868818</v>
      </c>
      <c r="AH122">
        <v>12.517937775117</v>
      </c>
      <c r="AI122">
        <v>95.0563946838151</v>
      </c>
      <c r="AJ122">
        <v>93.464384073714001</v>
      </c>
      <c r="AK122">
        <v>12.589849783121</v>
      </c>
      <c r="AL122">
        <v>82.064340141418896</v>
      </c>
      <c r="AM122">
        <v>91.987575547449495</v>
      </c>
      <c r="AN122">
        <v>1.00000003924741</v>
      </c>
    </row>
    <row r="123" spans="1:40" x14ac:dyDescent="0.3">
      <c r="A123" t="str">
        <f>"20200111150722242"</f>
        <v>20200111150722242</v>
      </c>
      <c r="B123" t="str">
        <f>"1578726442231034"</f>
        <v>1578726442231034</v>
      </c>
      <c r="C123" t="s">
        <v>40</v>
      </c>
      <c r="D123">
        <v>5.1091610000000003</v>
      </c>
      <c r="E123">
        <v>0.52926649999999997</v>
      </c>
      <c r="F123" t="s">
        <v>41</v>
      </c>
      <c r="G123">
        <v>-451.84530000000001</v>
      </c>
      <c r="H123">
        <v>1.0177149999999999</v>
      </c>
      <c r="I123">
        <v>367.31810000000002</v>
      </c>
      <c r="J123">
        <v>-452.5197</v>
      </c>
      <c r="K123">
        <v>1.109612</v>
      </c>
      <c r="L123">
        <v>367.34899999999999</v>
      </c>
      <c r="M123">
        <v>0.99993540000000003</v>
      </c>
      <c r="N123">
        <v>0</v>
      </c>
      <c r="O123">
        <v>9.3938270000000004E-3</v>
      </c>
      <c r="P123">
        <v>0.99049540000000003</v>
      </c>
      <c r="Q123">
        <v>0.1307854</v>
      </c>
      <c r="R123">
        <v>4.2591629999999998E-2</v>
      </c>
      <c r="S123">
        <v>3.0732119999999998</v>
      </c>
      <c r="T123">
        <v>-0.30018889999999998</v>
      </c>
      <c r="U123">
        <v>-9.1033939999999994E-2</v>
      </c>
      <c r="V123">
        <v>-3.3304849999999997E-2</v>
      </c>
      <c r="W123">
        <v>0.1371202</v>
      </c>
      <c r="X123">
        <v>0.98999429999999999</v>
      </c>
      <c r="Y123">
        <v>3.8768329999999997E-2</v>
      </c>
      <c r="Z123">
        <v>-2.8037679999999999E-3</v>
      </c>
      <c r="AA123">
        <v>0.99924429999999997</v>
      </c>
      <c r="AB123">
        <v>27</v>
      </c>
      <c r="AC123">
        <v>0.67439999999999101</v>
      </c>
      <c r="AD123">
        <v>-9.1897000000000104E-2</v>
      </c>
      <c r="AE123">
        <v>-3.0899999999974101E-2</v>
      </c>
      <c r="AF123">
        <v>3.6556598512676799E-2</v>
      </c>
      <c r="AG123">
        <v>-9.1897000000000104E-2</v>
      </c>
      <c r="AH123">
        <v>0.66181702418246202</v>
      </c>
      <c r="AI123">
        <v>97.893410891263997</v>
      </c>
      <c r="AJ123">
        <v>86.838382195093303</v>
      </c>
      <c r="AK123">
        <v>0.66916606085600705</v>
      </c>
      <c r="AL123">
        <v>82.118760801413501</v>
      </c>
      <c r="AM123">
        <v>91.9267868042526</v>
      </c>
      <c r="AN123">
        <v>0.99999993815702404</v>
      </c>
    </row>
    <row r="124" spans="1:40" x14ac:dyDescent="0.3">
      <c r="A124" t="str">
        <f>"20200111150722265"</f>
        <v>20200111150722265</v>
      </c>
      <c r="B124" t="str">
        <f>"1578726442261290"</f>
        <v>1578726442261290</v>
      </c>
      <c r="C124" t="s">
        <v>40</v>
      </c>
      <c r="D124">
        <v>5.0626290000000003</v>
      </c>
      <c r="E124">
        <v>0.52894099999999999</v>
      </c>
      <c r="F124" t="s">
        <v>41</v>
      </c>
      <c r="G124">
        <v>-451.6</v>
      </c>
      <c r="H124">
        <v>1.015498</v>
      </c>
      <c r="I124">
        <v>367.315</v>
      </c>
      <c r="J124">
        <v>-452.25200000000001</v>
      </c>
      <c r="K124">
        <v>1.109607</v>
      </c>
      <c r="L124">
        <v>367.35169999999999</v>
      </c>
      <c r="M124">
        <v>0.9999344</v>
      </c>
      <c r="N124">
        <v>0</v>
      </c>
      <c r="O124">
        <v>9.4915840000000008E-3</v>
      </c>
      <c r="P124">
        <v>0.9906372</v>
      </c>
      <c r="Q124">
        <v>0.1299679</v>
      </c>
      <c r="R124">
        <v>4.1790019999999997E-2</v>
      </c>
      <c r="S124">
        <v>3.0751949999999999</v>
      </c>
      <c r="T124">
        <v>-0.31493070000000001</v>
      </c>
      <c r="U124">
        <v>-0.1126099</v>
      </c>
      <c r="V124">
        <v>-3.2405379999999998E-2</v>
      </c>
      <c r="W124">
        <v>0.13632049999999901</v>
      </c>
      <c r="X124">
        <v>0.99013470000000003</v>
      </c>
      <c r="Y124">
        <v>4.5789249999999997E-2</v>
      </c>
      <c r="Z124">
        <v>-3.306972E-3</v>
      </c>
      <c r="AA124">
        <v>0.99894570000000005</v>
      </c>
      <c r="AB124">
        <v>27</v>
      </c>
      <c r="AC124">
        <v>0.65199999999992997</v>
      </c>
      <c r="AD124">
        <v>-9.4108999999999998E-2</v>
      </c>
      <c r="AE124">
        <v>-3.6699999999996097E-2</v>
      </c>
      <c r="AF124">
        <v>4.2014433722210698E-2</v>
      </c>
      <c r="AG124">
        <v>-9.4108999999999998E-2</v>
      </c>
      <c r="AH124">
        <v>0.63836476325799496</v>
      </c>
      <c r="AI124">
        <v>98.368404211851896</v>
      </c>
      <c r="AJ124">
        <v>86.2344680650519</v>
      </c>
      <c r="AK124">
        <v>0.64663071956985896</v>
      </c>
      <c r="AL124">
        <v>82.165015505268798</v>
      </c>
      <c r="AM124">
        <v>91.874521727788306</v>
      </c>
      <c r="AN124">
        <v>1.0000000557586399</v>
      </c>
    </row>
    <row r="125" spans="1:40" x14ac:dyDescent="0.3">
      <c r="A125" t="str">
        <f>"20200111150722289"</f>
        <v>20200111150722289</v>
      </c>
      <c r="B125" t="str">
        <f>"1578726442280810"</f>
        <v>1578726442280810</v>
      </c>
      <c r="C125" t="s">
        <v>40</v>
      </c>
      <c r="D125">
        <v>5.0354939999999999</v>
      </c>
      <c r="E125">
        <v>0.52893319999999999</v>
      </c>
      <c r="F125" t="s">
        <v>41</v>
      </c>
      <c r="G125">
        <v>-451.3562</v>
      </c>
      <c r="H125">
        <v>1.0087539999999999</v>
      </c>
      <c r="I125">
        <v>367.31830000000002</v>
      </c>
      <c r="J125">
        <v>-451.95890000000003</v>
      </c>
      <c r="K125">
        <v>1.1096029999999999</v>
      </c>
      <c r="L125">
        <v>367.3546</v>
      </c>
      <c r="M125">
        <v>0.99993339999999997</v>
      </c>
      <c r="N125">
        <v>0</v>
      </c>
      <c r="O125">
        <v>9.5981030000000002E-3</v>
      </c>
      <c r="P125">
        <v>0.9907224</v>
      </c>
      <c r="Q125">
        <v>0.12938730000000001</v>
      </c>
      <c r="R125">
        <v>4.1575330000000001E-2</v>
      </c>
      <c r="S125">
        <v>3.0786129999999998</v>
      </c>
      <c r="T125">
        <v>-0.34680680000000003</v>
      </c>
      <c r="U125">
        <v>-0.1128845</v>
      </c>
      <c r="V125">
        <v>-3.2084469999999997E-2</v>
      </c>
      <c r="W125">
        <v>0.1357583</v>
      </c>
      <c r="X125">
        <v>0.9902223</v>
      </c>
      <c r="Y125">
        <v>4.5882399999999997E-2</v>
      </c>
      <c r="Z125">
        <v>-3.6528490000000001E-3</v>
      </c>
      <c r="AA125">
        <v>0.99894019999999994</v>
      </c>
      <c r="AB125">
        <v>28</v>
      </c>
      <c r="AC125">
        <v>0.60270000000002699</v>
      </c>
      <c r="AD125">
        <v>-0.100848999999999</v>
      </c>
      <c r="AE125">
        <v>-3.6299999999982901E-2</v>
      </c>
      <c r="AF125">
        <v>4.0941062263908798E-2</v>
      </c>
      <c r="AG125">
        <v>-0.100848999999999</v>
      </c>
      <c r="AH125">
        <v>0.58597642969548103</v>
      </c>
      <c r="AI125">
        <v>99.741887279367006</v>
      </c>
      <c r="AJ125">
        <v>86.003347350442297</v>
      </c>
      <c r="AK125">
        <v>0.59599921773351305</v>
      </c>
      <c r="AL125">
        <v>82.1975287573201</v>
      </c>
      <c r="AM125">
        <v>91.855807340858604</v>
      </c>
      <c r="AN125">
        <v>0.999999966325679</v>
      </c>
    </row>
    <row r="126" spans="1:40" x14ac:dyDescent="0.3">
      <c r="A126" t="str">
        <f>"20200111150722312"</f>
        <v>20200111150722312</v>
      </c>
      <c r="B126" t="str">
        <f>"1578726442301309"</f>
        <v>1578726442301309</v>
      </c>
      <c r="C126" t="s">
        <v>40</v>
      </c>
      <c r="D126">
        <v>5.097353</v>
      </c>
      <c r="E126">
        <v>0.52907789999999999</v>
      </c>
      <c r="F126" t="s">
        <v>41</v>
      </c>
      <c r="G126">
        <v>-451.10570000000001</v>
      </c>
      <c r="H126">
        <v>1.013968</v>
      </c>
      <c r="I126">
        <v>367.32299999999998</v>
      </c>
      <c r="J126">
        <v>-451.67419999999998</v>
      </c>
      <c r="K126">
        <v>1.1096010000000001</v>
      </c>
      <c r="L126">
        <v>367.35739999999998</v>
      </c>
      <c r="M126">
        <v>0.9999323</v>
      </c>
      <c r="N126">
        <v>0</v>
      </c>
      <c r="O126">
        <v>9.7017149999999996E-3</v>
      </c>
      <c r="P126">
        <v>0.99066849999999995</v>
      </c>
      <c r="Q126">
        <v>0.12963519999999901</v>
      </c>
      <c r="R126">
        <v>4.2077429999999999E-2</v>
      </c>
      <c r="S126">
        <v>3.0779420000000002</v>
      </c>
      <c r="T126">
        <v>-0.3451437</v>
      </c>
      <c r="U126">
        <v>-0.1130371</v>
      </c>
      <c r="V126">
        <v>-3.248417E-2</v>
      </c>
      <c r="W126">
        <v>0.13602</v>
      </c>
      <c r="X126">
        <v>0.99017339999999998</v>
      </c>
      <c r="Y126">
        <v>4.604486E-2</v>
      </c>
      <c r="Z126">
        <v>-3.6568809999999998E-3</v>
      </c>
      <c r="AA126">
        <v>0.99893270000000001</v>
      </c>
      <c r="AB126">
        <v>28</v>
      </c>
      <c r="AC126">
        <v>0.56849999999997103</v>
      </c>
      <c r="AD126">
        <v>-9.5632999999999996E-2</v>
      </c>
      <c r="AE126">
        <v>-3.4399999999948201E-2</v>
      </c>
      <c r="AF126">
        <v>3.8819418200035399E-2</v>
      </c>
      <c r="AG126">
        <v>-9.5632999999999996E-2</v>
      </c>
      <c r="AH126">
        <v>0.55256023182969205</v>
      </c>
      <c r="AI126">
        <v>99.795382684213394</v>
      </c>
      <c r="AJ126">
        <v>85.981360455144198</v>
      </c>
      <c r="AK126">
        <v>0.56211691641336703</v>
      </c>
      <c r="AL126">
        <v>82.182394420940298</v>
      </c>
      <c r="AM126">
        <v>91.879002761677796</v>
      </c>
      <c r="AN126">
        <v>1.00000001188407</v>
      </c>
    </row>
    <row r="127" spans="1:40" x14ac:dyDescent="0.3">
      <c r="A127" t="str">
        <f>"20200111150722333"</f>
        <v>20200111150722333</v>
      </c>
      <c r="B127" t="str">
        <f>"1578726442320828"</f>
        <v>1578726442320828</v>
      </c>
      <c r="C127" t="s">
        <v>40</v>
      </c>
      <c r="D127">
        <v>5.138134</v>
      </c>
      <c r="E127">
        <v>0.52851230000000005</v>
      </c>
      <c r="F127" t="s">
        <v>41</v>
      </c>
      <c r="G127">
        <v>-450.85469999999998</v>
      </c>
      <c r="H127">
        <v>1.0183629999999999</v>
      </c>
      <c r="I127">
        <v>367.32690000000002</v>
      </c>
      <c r="J127">
        <v>-451.4067</v>
      </c>
      <c r="K127">
        <v>1.1095999999999999</v>
      </c>
      <c r="L127">
        <v>367.36009999999999</v>
      </c>
      <c r="M127">
        <v>0.99993120000000002</v>
      </c>
      <c r="N127">
        <v>0</v>
      </c>
      <c r="O127">
        <v>9.7990160000000007E-3</v>
      </c>
      <c r="P127">
        <v>0.9905815</v>
      </c>
      <c r="Q127">
        <v>0.12994639999999999</v>
      </c>
      <c r="R127">
        <v>4.3158420000000003E-2</v>
      </c>
      <c r="S127">
        <v>3.0779719999999999</v>
      </c>
      <c r="T127">
        <v>-0.34294580000000002</v>
      </c>
      <c r="U127">
        <v>-0.11282349999999999</v>
      </c>
      <c r="V127">
        <v>-3.346992E-2</v>
      </c>
      <c r="W127">
        <v>0.1363412</v>
      </c>
      <c r="X127">
        <v>0.99009639999999999</v>
      </c>
      <c r="Y127">
        <v>4.607609E-2</v>
      </c>
      <c r="Z127">
        <v>-3.6462460000000001E-3</v>
      </c>
      <c r="AA127">
        <v>0.99893129999999997</v>
      </c>
      <c r="AB127">
        <v>28</v>
      </c>
      <c r="AC127">
        <v>0.55200000000002003</v>
      </c>
      <c r="AD127">
        <v>-9.1236999999999999E-2</v>
      </c>
      <c r="AE127">
        <v>-3.3199999999965202E-2</v>
      </c>
      <c r="AF127">
        <v>3.7584507203650197E-2</v>
      </c>
      <c r="AG127">
        <v>-9.1236999999999999E-2</v>
      </c>
      <c r="AH127">
        <v>0.53702995367616602</v>
      </c>
      <c r="AI127">
        <v>99.618934517148404</v>
      </c>
      <c r="AJ127">
        <v>85.996632841994398</v>
      </c>
      <c r="AK127">
        <v>0.54602010631126596</v>
      </c>
      <c r="AL127">
        <v>82.163818021544103</v>
      </c>
      <c r="AM127">
        <v>91.936129828919704</v>
      </c>
      <c r="AN127">
        <v>1.0000000198276</v>
      </c>
    </row>
    <row r="128" spans="1:40" x14ac:dyDescent="0.3">
      <c r="A128" t="str">
        <f>"20200111150722354"</f>
        <v>20200111150722354</v>
      </c>
      <c r="B128" t="str">
        <f>"1578726442351082"</f>
        <v>1578726442351082</v>
      </c>
      <c r="C128" t="s">
        <v>40</v>
      </c>
      <c r="D128">
        <v>5.0469580000000001</v>
      </c>
      <c r="E128">
        <v>0.52913759999999999</v>
      </c>
      <c r="F128" t="s">
        <v>41</v>
      </c>
      <c r="G128">
        <v>-450.60379999999998</v>
      </c>
      <c r="H128">
        <v>1.021118</v>
      </c>
      <c r="I128">
        <v>367.33260000000001</v>
      </c>
      <c r="J128">
        <v>-451.1386</v>
      </c>
      <c r="K128">
        <v>1.1095980000000001</v>
      </c>
      <c r="L128">
        <v>367.36290000000002</v>
      </c>
      <c r="M128">
        <v>0.99993010000000004</v>
      </c>
      <c r="N128">
        <v>0</v>
      </c>
      <c r="O128">
        <v>9.8964450000000002E-3</v>
      </c>
      <c r="P128">
        <v>0.99054529999999996</v>
      </c>
      <c r="Q128">
        <v>0.13003239999999999</v>
      </c>
      <c r="R128">
        <v>4.3720139999999998E-2</v>
      </c>
      <c r="S128">
        <v>3.0775450000000002</v>
      </c>
      <c r="T128">
        <v>-0.339144</v>
      </c>
      <c r="U128">
        <v>-0.10495</v>
      </c>
      <c r="V128">
        <v>-3.3935460000000001E-2</v>
      </c>
      <c r="W128">
        <v>0.13643569999999999</v>
      </c>
      <c r="X128">
        <v>0.99006749999999999</v>
      </c>
      <c r="Y128">
        <v>4.3647470000000001E-2</v>
      </c>
      <c r="Z128">
        <v>-3.4840520000000001E-3</v>
      </c>
      <c r="AA128">
        <v>0.99904090000000001</v>
      </c>
      <c r="AB128">
        <v>28</v>
      </c>
      <c r="AC128">
        <v>0.53480000000001804</v>
      </c>
      <c r="AD128">
        <v>-8.8479999999999795E-2</v>
      </c>
      <c r="AE128">
        <v>-3.0300000000010999E-2</v>
      </c>
      <c r="AF128">
        <v>3.4645949167528403E-2</v>
      </c>
      <c r="AG128">
        <v>-8.8479999999999795E-2</v>
      </c>
      <c r="AH128">
        <v>0.52027841766546301</v>
      </c>
      <c r="AI128">
        <v>99.630613384998</v>
      </c>
      <c r="AJ128">
        <v>86.190231620828399</v>
      </c>
      <c r="AK128">
        <v>0.52888437685584699</v>
      </c>
      <c r="AL128">
        <v>82.158352223650397</v>
      </c>
      <c r="AM128">
        <v>91.963096187736696</v>
      </c>
      <c r="AN128">
        <v>0.99999998511807497</v>
      </c>
    </row>
    <row r="129" spans="1:40" x14ac:dyDescent="0.3">
      <c r="A129" t="str">
        <f>"20200111150722378"</f>
        <v>20200111150722378</v>
      </c>
      <c r="B129" t="str">
        <f>"1578726442370602"</f>
        <v>1578726442370602</v>
      </c>
      <c r="C129" t="s">
        <v>40</v>
      </c>
      <c r="D129">
        <v>5.0766330000000002</v>
      </c>
      <c r="E129">
        <v>0.52933379999999997</v>
      </c>
      <c r="F129" t="s">
        <v>41</v>
      </c>
      <c r="G129">
        <v>-450.35180000000003</v>
      </c>
      <c r="H129">
        <v>1.0243789999999999</v>
      </c>
      <c r="I129">
        <v>367.3347</v>
      </c>
      <c r="J129">
        <v>-450.84530000000001</v>
      </c>
      <c r="K129">
        <v>1.109599</v>
      </c>
      <c r="L129">
        <v>367.36590000000001</v>
      </c>
      <c r="M129">
        <v>0.99992910000000002</v>
      </c>
      <c r="N129">
        <v>0</v>
      </c>
      <c r="O129">
        <v>1.000294E-2</v>
      </c>
      <c r="P129">
        <v>0.99052030000000002</v>
      </c>
      <c r="Q129">
        <v>0.13014870000000001</v>
      </c>
      <c r="R129">
        <v>4.39441E-2</v>
      </c>
      <c r="S129">
        <v>3.0772089999999999</v>
      </c>
      <c r="T129">
        <v>-0.33362730000000002</v>
      </c>
      <c r="U129">
        <v>-0.1081848</v>
      </c>
      <c r="V129">
        <v>-3.4054309999999997E-2</v>
      </c>
      <c r="W129">
        <v>0.1365576</v>
      </c>
      <c r="X129">
        <v>0.9900466</v>
      </c>
      <c r="Y129">
        <v>4.4809469999999997E-2</v>
      </c>
      <c r="Z129">
        <v>-3.5023200000000002E-3</v>
      </c>
      <c r="AA129">
        <v>0.99898940000000003</v>
      </c>
      <c r="AB129">
        <v>28</v>
      </c>
      <c r="AC129">
        <v>0.49349999999998301</v>
      </c>
      <c r="AD129">
        <v>-8.5219999999999796E-2</v>
      </c>
      <c r="AE129">
        <v>-3.1200000000012499E-2</v>
      </c>
      <c r="AF129">
        <v>3.5092692220164701E-2</v>
      </c>
      <c r="AG129">
        <v>-8.5219999999999796E-2</v>
      </c>
      <c r="AH129">
        <v>0.478938097996636</v>
      </c>
      <c r="AI129">
        <v>100.06292419296599</v>
      </c>
      <c r="AJ129">
        <v>85.809319722176298</v>
      </c>
      <c r="AK129">
        <v>0.48772497081848698</v>
      </c>
      <c r="AL129">
        <v>82.151301778210495</v>
      </c>
      <c r="AM129">
        <v>91.970007560280294</v>
      </c>
      <c r="AN129">
        <v>0.99999997215944703</v>
      </c>
    </row>
    <row r="130" spans="1:40" x14ac:dyDescent="0.3">
      <c r="A130" t="str">
        <f>"20200111150723326"</f>
        <v>20200111150723326</v>
      </c>
      <c r="B130" t="str">
        <f>"1578726443321244"</f>
        <v>1578726443321244</v>
      </c>
      <c r="C130" t="s">
        <v>40</v>
      </c>
      <c r="D130">
        <v>8.1804489999999994</v>
      </c>
      <c r="E130">
        <v>0.43524439999999998</v>
      </c>
      <c r="F130" t="s">
        <v>41</v>
      </c>
      <c r="G130">
        <v>-437.54169999999999</v>
      </c>
      <c r="H130">
        <v>0.86909139999999996</v>
      </c>
      <c r="I130">
        <v>367.61279999999999</v>
      </c>
      <c r="J130">
        <v>-438.10820000000001</v>
      </c>
      <c r="K130">
        <v>1.100614</v>
      </c>
      <c r="L130">
        <v>367.52620000000002</v>
      </c>
      <c r="M130">
        <v>0.99976189999999998</v>
      </c>
      <c r="N130">
        <v>0</v>
      </c>
      <c r="O130">
        <v>1.453629E-2</v>
      </c>
      <c r="P130">
        <v>0.99269779999999996</v>
      </c>
      <c r="Q130">
        <v>0.1124868</v>
      </c>
      <c r="R130">
        <v>4.3565529999999998E-2</v>
      </c>
      <c r="S130">
        <v>3.1027529999999999</v>
      </c>
      <c r="T130">
        <v>-0.82156609999999997</v>
      </c>
      <c r="U130">
        <v>0.32202150000000002</v>
      </c>
      <c r="V130">
        <v>-2.9158819999999998E-2</v>
      </c>
      <c r="W130">
        <v>0.1286331</v>
      </c>
      <c r="X130">
        <v>0.99126349999999996</v>
      </c>
      <c r="Y130">
        <v>-8.6313139999999997E-2</v>
      </c>
      <c r="Z130">
        <v>7.4312140000000002E-3</v>
      </c>
      <c r="AA130">
        <v>0.99624029999999997</v>
      </c>
      <c r="AB130">
        <v>32</v>
      </c>
      <c r="AC130">
        <v>0.56650000000001899</v>
      </c>
      <c r="AD130">
        <v>-0.231522599999999</v>
      </c>
      <c r="AE130">
        <v>8.6599999999975794E-2</v>
      </c>
      <c r="AF130">
        <v>-6.7360790820907707E-2</v>
      </c>
      <c r="AG130">
        <v>-0.231522599999999</v>
      </c>
      <c r="AH130">
        <v>0.48804400446539697</v>
      </c>
      <c r="AI130">
        <v>115.170416029854</v>
      </c>
      <c r="AJ130">
        <v>97.858425711817802</v>
      </c>
      <c r="AK130">
        <v>0.54435938565013997</v>
      </c>
      <c r="AL130">
        <v>82.609388603881698</v>
      </c>
      <c r="AM130">
        <v>91.684915966512307</v>
      </c>
      <c r="AN130">
        <v>1.00000001881582</v>
      </c>
    </row>
    <row r="131" spans="1:40" x14ac:dyDescent="0.3">
      <c r="A131" t="str">
        <f>"20200111150723349"</f>
        <v>20200111150723349</v>
      </c>
      <c r="B131" t="str">
        <f>"1578726443340765"</f>
        <v>1578726443340765</v>
      </c>
      <c r="C131" t="s">
        <v>40</v>
      </c>
      <c r="D131">
        <v>4.7352919999999896</v>
      </c>
      <c r="E131">
        <v>0.44989820000000003</v>
      </c>
      <c r="F131" t="s">
        <v>44</v>
      </c>
      <c r="G131">
        <v>-427.37389999999999</v>
      </c>
      <c r="H131">
        <v>-0.05</v>
      </c>
      <c r="I131">
        <v>369.8014</v>
      </c>
      <c r="J131">
        <v>-437.77719999999999</v>
      </c>
      <c r="K131">
        <v>1.098536</v>
      </c>
      <c r="L131">
        <v>367.53109999999998</v>
      </c>
      <c r="M131">
        <v>0.99974169999999996</v>
      </c>
      <c r="N131">
        <v>0</v>
      </c>
      <c r="O131">
        <v>1.465635E-2</v>
      </c>
      <c r="P131">
        <v>0.99279890000000004</v>
      </c>
      <c r="Q131">
        <v>0.1115593</v>
      </c>
      <c r="R131">
        <v>4.3643269999999998E-2</v>
      </c>
      <c r="S131">
        <v>3.0307010000000001</v>
      </c>
      <c r="T131">
        <v>-0.3248626</v>
      </c>
      <c r="U131">
        <v>0.6423645</v>
      </c>
      <c r="V131">
        <v>-2.9116619999999999E-2</v>
      </c>
      <c r="W131">
        <v>0.12879009999999999</v>
      </c>
      <c r="X131">
        <v>0.99124429999999997</v>
      </c>
      <c r="Y131">
        <v>-0.1920123</v>
      </c>
      <c r="Z131">
        <v>8.6007059999999996E-3</v>
      </c>
      <c r="AA131">
        <v>0.98135479999999997</v>
      </c>
      <c r="AB131">
        <v>32</v>
      </c>
      <c r="AC131">
        <v>10.4033</v>
      </c>
      <c r="AD131">
        <v>-1.148536</v>
      </c>
      <c r="AE131">
        <v>2.27030000000001</v>
      </c>
      <c r="AF131">
        <v>-2.0932056015474001</v>
      </c>
      <c r="AG131">
        <v>-1.148536</v>
      </c>
      <c r="AH131">
        <v>10.315448182454</v>
      </c>
      <c r="AI131">
        <v>96.227334139176506</v>
      </c>
      <c r="AJ131">
        <v>101.470683248261</v>
      </c>
      <c r="AK131">
        <v>10.588159228049999</v>
      </c>
      <c r="AL131">
        <v>82.600317314066501</v>
      </c>
      <c r="AM131">
        <v>91.6825114505546</v>
      </c>
      <c r="AN131">
        <v>0.99999996485036102</v>
      </c>
    </row>
    <row r="132" spans="1:40" x14ac:dyDescent="0.3">
      <c r="A132" t="str">
        <f>"20200111150723371"</f>
        <v>20200111150723371</v>
      </c>
      <c r="B132" t="str">
        <f>"1578726443360889"</f>
        <v>1578726443360889</v>
      </c>
      <c r="C132" t="s">
        <v>40</v>
      </c>
      <c r="D132">
        <v>4.7348359999999996</v>
      </c>
      <c r="E132">
        <v>0.49663350000000001</v>
      </c>
      <c r="F132" t="s">
        <v>44</v>
      </c>
      <c r="G132">
        <v>-423.62060000000002</v>
      </c>
      <c r="H132">
        <v>-0.05</v>
      </c>
      <c r="I132">
        <v>369.99329999999998</v>
      </c>
      <c r="J132">
        <v>-437.4581</v>
      </c>
      <c r="K132">
        <v>1.0963309999999999</v>
      </c>
      <c r="L132">
        <v>367.536</v>
      </c>
      <c r="M132">
        <v>0.999726</v>
      </c>
      <c r="N132">
        <v>0</v>
      </c>
      <c r="O132">
        <v>1.476354E-2</v>
      </c>
      <c r="P132">
        <v>0.99282820000000005</v>
      </c>
      <c r="Q132">
        <v>0.1112484</v>
      </c>
      <c r="R132">
        <v>4.3771629999999999E-2</v>
      </c>
      <c r="S132">
        <v>3.0261840000000002</v>
      </c>
      <c r="T132">
        <v>-0.2455164</v>
      </c>
      <c r="U132">
        <v>0.52633669999999899</v>
      </c>
      <c r="V132">
        <v>-2.913984E-2</v>
      </c>
      <c r="W132">
        <v>0.12926760000000001</v>
      </c>
      <c r="X132">
        <v>0.99118150000000005</v>
      </c>
      <c r="Y132">
        <v>-0.15633749999999999</v>
      </c>
      <c r="Z132">
        <v>5.0978100000000004E-3</v>
      </c>
      <c r="AA132">
        <v>0.98769050000000003</v>
      </c>
      <c r="AB132">
        <v>32</v>
      </c>
      <c r="AC132">
        <v>13.837499999999901</v>
      </c>
      <c r="AD132">
        <v>-1.146331</v>
      </c>
      <c r="AE132">
        <v>2.4572999999999698</v>
      </c>
      <c r="AF132">
        <v>-2.2378195819675701</v>
      </c>
      <c r="AG132">
        <v>-1.146331</v>
      </c>
      <c r="AH132">
        <v>13.7805928971996</v>
      </c>
      <c r="AI132">
        <v>94.693962243852894</v>
      </c>
      <c r="AJ132">
        <v>99.223701596686396</v>
      </c>
      <c r="AK132">
        <v>14.0080923698177</v>
      </c>
      <c r="AL132">
        <v>82.572728248981704</v>
      </c>
      <c r="AM132">
        <v>91.683959077460102</v>
      </c>
      <c r="AN132">
        <v>1.0000000043136099</v>
      </c>
    </row>
    <row r="133" spans="1:40" x14ac:dyDescent="0.3">
      <c r="A133" t="str">
        <f>"20200111150723416"</f>
        <v>20200111150723416</v>
      </c>
      <c r="B133" t="str">
        <f>"1578726443411641"</f>
        <v>1578726443411641</v>
      </c>
      <c r="C133" t="s">
        <v>40</v>
      </c>
      <c r="D133">
        <v>5.192164</v>
      </c>
      <c r="E133">
        <v>0.49502610000000002</v>
      </c>
      <c r="F133" t="s">
        <v>45</v>
      </c>
      <c r="G133">
        <v>-223.25620000000001</v>
      </c>
      <c r="H133">
        <v>8.8289980000000003</v>
      </c>
      <c r="I133">
        <v>378.71300000000002</v>
      </c>
      <c r="J133">
        <v>-436.82709999999997</v>
      </c>
      <c r="K133">
        <v>1.091367</v>
      </c>
      <c r="L133">
        <v>367.54559999999998</v>
      </c>
      <c r="M133">
        <v>0.99971350000000003</v>
      </c>
      <c r="N133">
        <v>0</v>
      </c>
      <c r="O133">
        <v>1.4981950000000001E-2</v>
      </c>
      <c r="P133">
        <v>0.99274560000000001</v>
      </c>
      <c r="Q133">
        <v>0.11178490000000001</v>
      </c>
      <c r="R133">
        <v>4.4277959999999998E-2</v>
      </c>
      <c r="S133">
        <v>3.0026250000000001</v>
      </c>
      <c r="T133">
        <v>0.10839550000000001</v>
      </c>
      <c r="U133">
        <v>0.15667719999999999</v>
      </c>
      <c r="V133">
        <v>-2.9431680000000002E-2</v>
      </c>
      <c r="W133">
        <v>0.13030449999999999</v>
      </c>
      <c r="X133">
        <v>0.9910371</v>
      </c>
      <c r="Y133">
        <v>-3.7124770000000001E-2</v>
      </c>
      <c r="Z133">
        <v>-1.2909830000000001E-4</v>
      </c>
      <c r="AA133">
        <v>0.99931060000000005</v>
      </c>
      <c r="AB133">
        <v>32</v>
      </c>
      <c r="AC133">
        <v>213.57089999999999</v>
      </c>
      <c r="AD133">
        <v>7.7376309999999897</v>
      </c>
      <c r="AE133">
        <v>11.167400000000001</v>
      </c>
      <c r="AF133">
        <v>-7.9554661479080897</v>
      </c>
      <c r="AG133">
        <v>7.7376309999999897</v>
      </c>
      <c r="AH133">
        <v>213.43486956891101</v>
      </c>
      <c r="AI133">
        <v>87.925211131204193</v>
      </c>
      <c r="AJ133">
        <v>92.1346264605519</v>
      </c>
      <c r="AK133">
        <v>213.72319463039301</v>
      </c>
      <c r="AL133">
        <v>82.512811521018506</v>
      </c>
      <c r="AM133">
        <v>91.701062004242203</v>
      </c>
      <c r="AN133">
        <v>1.00000001004214</v>
      </c>
    </row>
    <row r="134" spans="1:40" x14ac:dyDescent="0.3">
      <c r="A134" t="str">
        <f>"20200111150723439"</f>
        <v>20200111150723439</v>
      </c>
      <c r="B134" t="str">
        <f>"1578726443431161"</f>
        <v>1578726443431161</v>
      </c>
      <c r="C134" t="s">
        <v>40</v>
      </c>
      <c r="D134">
        <v>4.7331500000000002</v>
      </c>
      <c r="E134">
        <v>0.49289270000000002</v>
      </c>
      <c r="F134" t="s">
        <v>42</v>
      </c>
      <c r="G134">
        <v>-168.84350000000001</v>
      </c>
      <c r="H134">
        <v>9.7668680000000005</v>
      </c>
      <c r="I134">
        <v>382.81639999999999</v>
      </c>
      <c r="J134">
        <v>-436.4948</v>
      </c>
      <c r="K134">
        <v>1.088538</v>
      </c>
      <c r="L134">
        <v>367.55070000000001</v>
      </c>
      <c r="M134">
        <v>0.99971370000000004</v>
      </c>
      <c r="N134">
        <v>0</v>
      </c>
      <c r="O134">
        <v>1.509048E-2</v>
      </c>
      <c r="P134">
        <v>0.99263069999999998</v>
      </c>
      <c r="Q134">
        <v>0.11258319999999999</v>
      </c>
      <c r="R134">
        <v>4.4827260000000001E-2</v>
      </c>
      <c r="S134">
        <v>3.0033259999999999</v>
      </c>
      <c r="T134">
        <v>9.7228410000000001E-2</v>
      </c>
      <c r="U134">
        <v>0.17114260000000001</v>
      </c>
      <c r="V134">
        <v>-2.987501E-2</v>
      </c>
      <c r="W134">
        <v>0.1310028</v>
      </c>
      <c r="X134">
        <v>0.99093169999999997</v>
      </c>
      <c r="Y134">
        <v>-4.1802989999999998E-2</v>
      </c>
      <c r="Z134">
        <v>-1.87904E-4</v>
      </c>
      <c r="AA134">
        <v>0.99912579999999995</v>
      </c>
      <c r="AB134">
        <v>32</v>
      </c>
      <c r="AC134">
        <v>267.65129999999999</v>
      </c>
      <c r="AD134">
        <v>8.6783299999999901</v>
      </c>
      <c r="AE134">
        <v>15.265699999999899</v>
      </c>
      <c r="AF134">
        <v>-11.2125283504853</v>
      </c>
      <c r="AG134">
        <v>8.6783299999999901</v>
      </c>
      <c r="AH134">
        <v>267.570829514666</v>
      </c>
      <c r="AI134">
        <v>88.143960997867396</v>
      </c>
      <c r="AJ134">
        <v>92.399569895639004</v>
      </c>
      <c r="AK134">
        <v>267.94623156664397</v>
      </c>
      <c r="AL134">
        <v>82.472455437179605</v>
      </c>
      <c r="AM134">
        <v>91.726853285515006</v>
      </c>
      <c r="AN134">
        <v>0.99999994194761299</v>
      </c>
    </row>
    <row r="135" spans="1:40" x14ac:dyDescent="0.3">
      <c r="A135" t="str">
        <f>"20200111150723462"</f>
        <v>20200111150723462</v>
      </c>
      <c r="B135" t="str">
        <f>"1578726443451657"</f>
        <v>1578726443451657</v>
      </c>
      <c r="C135" t="s">
        <v>40</v>
      </c>
      <c r="D135">
        <v>7.3467949999999904</v>
      </c>
      <c r="E135">
        <v>0.49354949999999997</v>
      </c>
      <c r="F135" t="s">
        <v>42</v>
      </c>
      <c r="G135">
        <v>-158.78319999999999</v>
      </c>
      <c r="H135">
        <v>11.88998</v>
      </c>
      <c r="I135">
        <v>385.11950000000002</v>
      </c>
      <c r="J135">
        <v>-436.17059999999998</v>
      </c>
      <c r="K135">
        <v>1.0857209999999999</v>
      </c>
      <c r="L135">
        <v>367.5557</v>
      </c>
      <c r="M135">
        <v>0.9997161</v>
      </c>
      <c r="N135">
        <v>0</v>
      </c>
      <c r="O135">
        <v>1.5196329999999999E-2</v>
      </c>
      <c r="P135">
        <v>0.99240709999999999</v>
      </c>
      <c r="Q135">
        <v>0.1143412</v>
      </c>
      <c r="R135">
        <v>4.5325039999999997E-2</v>
      </c>
      <c r="S135">
        <v>3.0004879999999998</v>
      </c>
      <c r="T135">
        <v>0.1167033</v>
      </c>
      <c r="U135">
        <v>0.1898193</v>
      </c>
      <c r="V135">
        <v>-3.0271329999999999E-2</v>
      </c>
      <c r="W135">
        <v>0.13254270000000001</v>
      </c>
      <c r="X135">
        <v>0.99071489999999995</v>
      </c>
      <c r="Y135">
        <v>-4.7936090000000001E-2</v>
      </c>
      <c r="Z135">
        <v>-3.4069329999999998E-4</v>
      </c>
      <c r="AA135">
        <v>0.99885029999999997</v>
      </c>
      <c r="AB135">
        <v>32</v>
      </c>
      <c r="AC135">
        <v>277.38740000000001</v>
      </c>
      <c r="AD135">
        <v>10.804259</v>
      </c>
      <c r="AE135">
        <v>17.563800000000001</v>
      </c>
      <c r="AF135">
        <v>-13.325654999739299</v>
      </c>
      <c r="AG135">
        <v>10.804259</v>
      </c>
      <c r="AH135">
        <v>277.203441072641</v>
      </c>
      <c r="AI135">
        <v>87.770546019746007</v>
      </c>
      <c r="AJ135">
        <v>92.752189787489399</v>
      </c>
      <c r="AK135">
        <v>277.73378050972502</v>
      </c>
      <c r="AL135">
        <v>82.383449707082406</v>
      </c>
      <c r="AM135">
        <v>91.750130127381496</v>
      </c>
      <c r="AN135">
        <v>0.99999996691263304</v>
      </c>
    </row>
    <row r="136" spans="1:40" x14ac:dyDescent="0.3">
      <c r="A136" t="str">
        <f>"20200111150723483"</f>
        <v>20200111150723483</v>
      </c>
      <c r="B136" t="str">
        <f>"1578726443480742"</f>
        <v>1578726443480742</v>
      </c>
      <c r="C136" t="s">
        <v>40</v>
      </c>
      <c r="D136">
        <v>8.7631639999999997</v>
      </c>
      <c r="E136">
        <v>0.49303160000000001</v>
      </c>
      <c r="F136" t="s">
        <v>42</v>
      </c>
      <c r="G136">
        <v>-158.78319999999999</v>
      </c>
      <c r="H136">
        <v>12.46716</v>
      </c>
      <c r="I136">
        <v>384.78379999999999</v>
      </c>
      <c r="J136">
        <v>-435.86849999999998</v>
      </c>
      <c r="K136">
        <v>1.083099</v>
      </c>
      <c r="L136">
        <v>367.56040000000002</v>
      </c>
      <c r="M136">
        <v>0.99972090000000002</v>
      </c>
      <c r="N136">
        <v>0</v>
      </c>
      <c r="O136">
        <v>1.5300879999999999E-2</v>
      </c>
      <c r="P136">
        <v>0.99220059999999999</v>
      </c>
      <c r="Q136">
        <v>0.11591700000000001</v>
      </c>
      <c r="R136">
        <v>4.5837740000000002E-2</v>
      </c>
      <c r="S136">
        <v>3.0002439999999999</v>
      </c>
      <c r="T136">
        <v>0.1231034</v>
      </c>
      <c r="U136">
        <v>0.18634029999999999</v>
      </c>
      <c r="V136">
        <v>-3.068245E-2</v>
      </c>
      <c r="W136">
        <v>0.13376250000000001</v>
      </c>
      <c r="X136">
        <v>0.99053829999999998</v>
      </c>
      <c r="Y136">
        <v>-4.6681460000000001E-2</v>
      </c>
      <c r="Z136">
        <v>-3.2941930000000001E-4</v>
      </c>
      <c r="AA136">
        <v>0.99890979999999996</v>
      </c>
      <c r="AB136">
        <v>32</v>
      </c>
      <c r="AC136">
        <v>277.08530000000002</v>
      </c>
      <c r="AD136">
        <v>11.384061000000001</v>
      </c>
      <c r="AE136">
        <v>17.223399999999899</v>
      </c>
      <c r="AF136">
        <v>-12.959256378438401</v>
      </c>
      <c r="AG136">
        <v>11.384061000000001</v>
      </c>
      <c r="AH136">
        <v>276.85090798194398</v>
      </c>
      <c r="AI136">
        <v>87.647906637669706</v>
      </c>
      <c r="AJ136">
        <v>92.680031287395806</v>
      </c>
      <c r="AK136">
        <v>277.38775102942202</v>
      </c>
      <c r="AL136">
        <v>82.312932425292004</v>
      </c>
      <c r="AM136">
        <v>91.774199911565105</v>
      </c>
      <c r="AN136">
        <v>0.99999997145556996</v>
      </c>
    </row>
    <row r="137" spans="1:40" x14ac:dyDescent="0.3">
      <c r="A137" t="str">
        <f>"20200111150724564"</f>
        <v>20200111150724564</v>
      </c>
      <c r="B137" t="str">
        <f>"1578726444561086"</f>
        <v>1578726444561086</v>
      </c>
      <c r="C137" t="s">
        <v>40</v>
      </c>
      <c r="D137">
        <v>4.9009580000000001</v>
      </c>
      <c r="E137">
        <v>0.49303160000000001</v>
      </c>
      <c r="F137" t="s">
        <v>42</v>
      </c>
      <c r="G137">
        <v>-158.78319999999999</v>
      </c>
      <c r="H137">
        <v>17.632839999999899</v>
      </c>
      <c r="I137">
        <v>385.37729999999999</v>
      </c>
      <c r="J137">
        <v>-419.69819999999999</v>
      </c>
      <c r="K137">
        <v>1.0594709999999901</v>
      </c>
      <c r="L137">
        <v>367.84989999999999</v>
      </c>
      <c r="M137">
        <v>0.99979859999999998</v>
      </c>
      <c r="N137">
        <v>0</v>
      </c>
      <c r="O137">
        <v>1.872366E-2</v>
      </c>
      <c r="P137">
        <v>0.99035530000000005</v>
      </c>
      <c r="Q137">
        <v>0.13024079999999999</v>
      </c>
      <c r="R137">
        <v>4.7261909999999997E-2</v>
      </c>
      <c r="S137">
        <v>2.993805</v>
      </c>
      <c r="T137">
        <v>0.1788148</v>
      </c>
      <c r="U137">
        <v>0.19250490000000001</v>
      </c>
      <c r="V137">
        <v>-2.8705000000000001E-2</v>
      </c>
      <c r="W137">
        <v>0.13739599999999999</v>
      </c>
      <c r="X137">
        <v>0.99010019999999999</v>
      </c>
      <c r="Y137">
        <v>-4.542438E-2</v>
      </c>
      <c r="Z137">
        <v>-2.37958E-4</v>
      </c>
      <c r="AA137">
        <v>0.99896779999999996</v>
      </c>
      <c r="AB137">
        <v>36</v>
      </c>
      <c r="AC137">
        <v>260.91500000000002</v>
      </c>
      <c r="AD137">
        <v>16.573369</v>
      </c>
      <c r="AE137">
        <v>17.5274</v>
      </c>
      <c r="AF137">
        <v>-12.5883525302816</v>
      </c>
      <c r="AG137">
        <v>16.573369</v>
      </c>
      <c r="AH137">
        <v>260.15249272017002</v>
      </c>
      <c r="AI137">
        <v>86.359068825403696</v>
      </c>
      <c r="AJ137">
        <v>92.770288018305706</v>
      </c>
      <c r="AK137">
        <v>260.983644406991</v>
      </c>
      <c r="AL137">
        <v>82.102808298563502</v>
      </c>
      <c r="AM137">
        <v>91.660654931403201</v>
      </c>
      <c r="AN137">
        <v>1.0000000219405101</v>
      </c>
    </row>
    <row r="138" spans="1:40" x14ac:dyDescent="0.3">
      <c r="A138" t="str">
        <f>"20200111150724588"</f>
        <v>20200111150724588</v>
      </c>
      <c r="B138" t="str">
        <f>"1578726444581583"</f>
        <v>1578726444581583</v>
      </c>
      <c r="C138" t="s">
        <v>40</v>
      </c>
      <c r="D138">
        <v>4.8796169999999996</v>
      </c>
      <c r="E138">
        <v>0.48617070000000001</v>
      </c>
      <c r="F138" t="s">
        <v>42</v>
      </c>
      <c r="G138">
        <v>-158.78319999999999</v>
      </c>
      <c r="H138">
        <v>20.430800000000001</v>
      </c>
      <c r="I138">
        <v>385.0283</v>
      </c>
      <c r="J138">
        <v>-419.32580000000002</v>
      </c>
      <c r="K138">
        <v>1.0594600000000001</v>
      </c>
      <c r="L138">
        <v>367.8569</v>
      </c>
      <c r="M138">
        <v>0.99979770000000001</v>
      </c>
      <c r="N138">
        <v>0</v>
      </c>
      <c r="O138">
        <v>1.872468E-2</v>
      </c>
      <c r="P138">
        <v>0.99042810000000003</v>
      </c>
      <c r="Q138">
        <v>0.1296795</v>
      </c>
      <c r="R138">
        <v>4.7281749999999997E-2</v>
      </c>
      <c r="S138">
        <v>2.990631</v>
      </c>
      <c r="T138">
        <v>0.2220367</v>
      </c>
      <c r="U138">
        <v>0.1968994</v>
      </c>
      <c r="V138">
        <v>-2.8722330000000001E-2</v>
      </c>
      <c r="W138">
        <v>0.13696</v>
      </c>
      <c r="X138">
        <v>0.99016009999999999</v>
      </c>
      <c r="Y138">
        <v>-4.6923010000000001E-2</v>
      </c>
      <c r="Z138">
        <v>-3.5105629999999997E-4</v>
      </c>
      <c r="AA138">
        <v>0.99889839999999996</v>
      </c>
      <c r="AB138">
        <v>36</v>
      </c>
      <c r="AC138">
        <v>260.54259999999999</v>
      </c>
      <c r="AD138">
        <v>19.37134</v>
      </c>
      <c r="AE138">
        <v>17.171399999999998</v>
      </c>
      <c r="AF138">
        <v>-12.2224086003145</v>
      </c>
      <c r="AG138">
        <v>19.37134</v>
      </c>
      <c r="AH138">
        <v>259.39076594431702</v>
      </c>
      <c r="AI138">
        <v>85.733786868834898</v>
      </c>
      <c r="AJ138">
        <v>92.697763110801901</v>
      </c>
      <c r="AK138">
        <v>260.40008744731301</v>
      </c>
      <c r="AL138">
        <v>82.128027646239701</v>
      </c>
      <c r="AM138">
        <v>91.661556486639498</v>
      </c>
      <c r="AN138">
        <v>1.0000000187363101</v>
      </c>
    </row>
    <row r="139" spans="1:40" x14ac:dyDescent="0.3">
      <c r="A139" t="str">
        <f>"20200111150724611"</f>
        <v>20200111150724611</v>
      </c>
      <c r="B139" t="str">
        <f>"1578726444601102"</f>
        <v>1578726444601102</v>
      </c>
      <c r="C139" t="s">
        <v>40</v>
      </c>
      <c r="D139">
        <v>4.868595</v>
      </c>
      <c r="E139">
        <v>0.48712719999999998</v>
      </c>
      <c r="F139" t="s">
        <v>44</v>
      </c>
      <c r="G139">
        <v>-407.43329999999997</v>
      </c>
      <c r="H139">
        <v>-0.05</v>
      </c>
      <c r="I139">
        <v>368.83199999999999</v>
      </c>
      <c r="J139">
        <v>-418.95420000000001</v>
      </c>
      <c r="K139">
        <v>1.059453</v>
      </c>
      <c r="L139">
        <v>367.8639</v>
      </c>
      <c r="M139">
        <v>0.99979680000000004</v>
      </c>
      <c r="N139">
        <v>0</v>
      </c>
      <c r="O139">
        <v>1.872563E-2</v>
      </c>
      <c r="P139">
        <v>0.99046970000000001</v>
      </c>
      <c r="Q139">
        <v>0.12945699999999999</v>
      </c>
      <c r="R139">
        <v>4.7014830000000001E-2</v>
      </c>
      <c r="S139">
        <v>3.0543520000000002</v>
      </c>
      <c r="T139">
        <v>-0.28494160000000002</v>
      </c>
      <c r="U139">
        <v>0.25042720000000002</v>
      </c>
      <c r="V139">
        <v>-2.8454130000000001E-2</v>
      </c>
      <c r="W139">
        <v>0.1368471</v>
      </c>
      <c r="X139">
        <v>0.99018340000000005</v>
      </c>
      <c r="Y139">
        <v>-6.2848009999999996E-2</v>
      </c>
      <c r="Z139">
        <v>1.1804630000000001E-3</v>
      </c>
      <c r="AA139">
        <v>0.99802239999999998</v>
      </c>
      <c r="AB139">
        <v>36</v>
      </c>
      <c r="AC139">
        <v>11.520899999999999</v>
      </c>
      <c r="AD139">
        <v>-1.109453</v>
      </c>
      <c r="AE139">
        <v>0.96809999999999197</v>
      </c>
      <c r="AF139">
        <v>-0.745324795220627</v>
      </c>
      <c r="AG139">
        <v>-1.109453</v>
      </c>
      <c r="AH139">
        <v>11.4317393501602</v>
      </c>
      <c r="AI139">
        <v>95.531537966891605</v>
      </c>
      <c r="AJ139">
        <v>93.730281944906395</v>
      </c>
      <c r="AK139">
        <v>11.509607273038499</v>
      </c>
      <c r="AL139">
        <v>82.134557407593206</v>
      </c>
      <c r="AM139">
        <v>91.646011263474193</v>
      </c>
      <c r="AN139">
        <v>0.99999996596401297</v>
      </c>
    </row>
    <row r="140" spans="1:40" x14ac:dyDescent="0.3">
      <c r="A140" t="str">
        <f>"20200111150724633"</f>
        <v>20200111150724633</v>
      </c>
      <c r="B140" t="str">
        <f>"1578726444631358"</f>
        <v>1578726444631358</v>
      </c>
      <c r="C140" t="s">
        <v>40</v>
      </c>
      <c r="D140">
        <v>4.8963150000000004</v>
      </c>
      <c r="E140">
        <v>0.4863498</v>
      </c>
      <c r="F140" t="s">
        <v>44</v>
      </c>
      <c r="G140">
        <v>-406.81540000000001</v>
      </c>
      <c r="H140">
        <v>-0.05</v>
      </c>
      <c r="I140">
        <v>368.82600000000002</v>
      </c>
      <c r="J140">
        <v>-418.60969999999998</v>
      </c>
      <c r="K140">
        <v>1.0594479999999999</v>
      </c>
      <c r="L140">
        <v>367.87029999999999</v>
      </c>
      <c r="M140">
        <v>0.99979620000000002</v>
      </c>
      <c r="N140">
        <v>0</v>
      </c>
      <c r="O140">
        <v>1.8726240000000002E-2</v>
      </c>
      <c r="P140">
        <v>0.99054969999999998</v>
      </c>
      <c r="Q140">
        <v>0.1290114</v>
      </c>
      <c r="R140">
        <v>4.6559110000000001E-2</v>
      </c>
      <c r="S140">
        <v>3.053925</v>
      </c>
      <c r="T140">
        <v>-0.27912039999999999</v>
      </c>
      <c r="U140">
        <v>0.24206539999999999</v>
      </c>
      <c r="V140">
        <v>-2.799658E-2</v>
      </c>
      <c r="W140">
        <v>0.1364919</v>
      </c>
      <c r="X140">
        <v>0.9902455</v>
      </c>
      <c r="Y140">
        <v>-6.016225E-2</v>
      </c>
      <c r="Z140">
        <v>1.034377E-3</v>
      </c>
      <c r="AA140">
        <v>0.99818810000000002</v>
      </c>
      <c r="AB140">
        <v>36</v>
      </c>
      <c r="AC140">
        <v>11.7942999999999</v>
      </c>
      <c r="AD140">
        <v>-1.109448</v>
      </c>
      <c r="AE140">
        <v>0.95569999999997801</v>
      </c>
      <c r="AF140">
        <v>-0.728261249311554</v>
      </c>
      <c r="AG140">
        <v>-1.109448</v>
      </c>
      <c r="AH140">
        <v>11.7072133963203</v>
      </c>
      <c r="AI140">
        <v>95.403153685321996</v>
      </c>
      <c r="AJ140">
        <v>93.559566026513295</v>
      </c>
      <c r="AK140">
        <v>11.7821935486961</v>
      </c>
      <c r="AL140">
        <v>82.155101900927903</v>
      </c>
      <c r="AM140">
        <v>91.619455663819593</v>
      </c>
      <c r="AN140">
        <v>0.99999999876377799</v>
      </c>
    </row>
    <row r="141" spans="1:40" x14ac:dyDescent="0.3">
      <c r="A141" t="str">
        <f>"20200111150724654"</f>
        <v>20200111150724654</v>
      </c>
      <c r="B141" t="str">
        <f>"1578726444650880"</f>
        <v>1578726444650880</v>
      </c>
      <c r="C141" t="s">
        <v>40</v>
      </c>
      <c r="D141">
        <v>4.8781600000000003</v>
      </c>
      <c r="E141">
        <v>0.4857843</v>
      </c>
      <c r="F141" t="s">
        <v>44</v>
      </c>
      <c r="G141">
        <v>-405.89589999999998</v>
      </c>
      <c r="H141">
        <v>-0.05</v>
      </c>
      <c r="I141">
        <v>368.89789999999999</v>
      </c>
      <c r="J141">
        <v>-418.2595</v>
      </c>
      <c r="K141">
        <v>1.059447</v>
      </c>
      <c r="L141">
        <v>367.87689999999998</v>
      </c>
      <c r="M141">
        <v>0.99979560000000001</v>
      </c>
      <c r="N141">
        <v>0</v>
      </c>
      <c r="O141">
        <v>1.8726820000000002E-2</v>
      </c>
      <c r="P141">
        <v>0.99061270000000001</v>
      </c>
      <c r="Q141">
        <v>0.12858789999999901</v>
      </c>
      <c r="R141">
        <v>4.638867E-2</v>
      </c>
      <c r="S141">
        <v>3.0517270000000001</v>
      </c>
      <c r="T141">
        <v>-0.26630280000000001</v>
      </c>
      <c r="U141">
        <v>0.2466431</v>
      </c>
      <c r="V141">
        <v>-2.7824129999999999E-2</v>
      </c>
      <c r="W141">
        <v>0.13614989999999999</v>
      </c>
      <c r="X141">
        <v>0.99029739999999999</v>
      </c>
      <c r="Y141">
        <v>-6.1715260000000001E-2</v>
      </c>
      <c r="Z141">
        <v>1.055184E-3</v>
      </c>
      <c r="AA141">
        <v>0.99809320000000001</v>
      </c>
      <c r="AB141">
        <v>36</v>
      </c>
      <c r="AC141">
        <v>12.3636</v>
      </c>
      <c r="AD141">
        <v>-1.1094469999999901</v>
      </c>
      <c r="AE141">
        <v>1.0210000000000099</v>
      </c>
      <c r="AF141">
        <v>-0.78302085210046102</v>
      </c>
      <c r="AG141">
        <v>-1.1094469999999901</v>
      </c>
      <c r="AH141">
        <v>12.2823206312517</v>
      </c>
      <c r="AI141">
        <v>95.151049512927102</v>
      </c>
      <c r="AJ141">
        <v>93.647776284024204</v>
      </c>
      <c r="AK141">
        <v>12.3571596408521</v>
      </c>
      <c r="AL141">
        <v>82.174881394040995</v>
      </c>
      <c r="AM141">
        <v>91.609401290354299</v>
      </c>
      <c r="AN141">
        <v>0.99999995896351201</v>
      </c>
    </row>
    <row r="142" spans="1:40" x14ac:dyDescent="0.3">
      <c r="A142" t="str">
        <f>"20200111150724668"</f>
        <v>20200111150724668</v>
      </c>
      <c r="B142" t="str">
        <f>"1578726444661615"</f>
        <v>1578726444661615</v>
      </c>
      <c r="C142" t="s">
        <v>40</v>
      </c>
      <c r="D142">
        <v>5.0128149999999998</v>
      </c>
      <c r="E142">
        <v>0.4857843</v>
      </c>
      <c r="F142" t="s">
        <v>44</v>
      </c>
      <c r="G142">
        <v>-405.4024</v>
      </c>
      <c r="H142">
        <v>-0.05</v>
      </c>
      <c r="I142">
        <v>368.93369999999999</v>
      </c>
      <c r="J142">
        <v>-418.04</v>
      </c>
      <c r="K142">
        <v>1.0594460000000001</v>
      </c>
      <c r="L142">
        <v>367.88099999999997</v>
      </c>
      <c r="M142">
        <v>0.99979510000000005</v>
      </c>
      <c r="N142">
        <v>0</v>
      </c>
      <c r="O142">
        <v>1.872712E-2</v>
      </c>
      <c r="P142">
        <v>0.99066430000000005</v>
      </c>
      <c r="Q142">
        <v>0.12830150000000001</v>
      </c>
      <c r="R142">
        <v>4.6074190000000001E-2</v>
      </c>
      <c r="S142">
        <v>3.0508419999999998</v>
      </c>
      <c r="T142">
        <v>-0.26325859999999901</v>
      </c>
      <c r="U142">
        <v>0.25076290000000001</v>
      </c>
      <c r="V142">
        <v>-2.7508660000000001E-2</v>
      </c>
      <c r="W142">
        <v>0.135909</v>
      </c>
      <c r="X142">
        <v>0.99033930000000003</v>
      </c>
      <c r="Y142">
        <v>-6.3075679999999995E-2</v>
      </c>
      <c r="Z142">
        <v>1.101877E-3</v>
      </c>
      <c r="AA142">
        <v>0.99800809999999995</v>
      </c>
      <c r="AB142">
        <v>36</v>
      </c>
      <c r="AC142">
        <v>12.637600000000001</v>
      </c>
      <c r="AD142">
        <v>-1.1094459999999999</v>
      </c>
      <c r="AE142">
        <v>1.05270000000001</v>
      </c>
      <c r="AF142">
        <v>-0.80964563124987299</v>
      </c>
      <c r="AG142">
        <v>-1.1094459999999999</v>
      </c>
      <c r="AH142">
        <v>12.558973730332401</v>
      </c>
      <c r="AI142">
        <v>95.037937539523696</v>
      </c>
      <c r="AJ142">
        <v>93.688611253618404</v>
      </c>
      <c r="AK142">
        <v>12.6338520505148</v>
      </c>
      <c r="AL142">
        <v>82.188813425107099</v>
      </c>
      <c r="AM142">
        <v>91.591096046474902</v>
      </c>
      <c r="AN142">
        <v>0.99999995589024104</v>
      </c>
    </row>
    <row r="143" spans="1:40" x14ac:dyDescent="0.3">
      <c r="A143" t="str">
        <f>"20200111150724688"</f>
        <v>20200111150724688</v>
      </c>
      <c r="B143" t="str">
        <f>"1578726444681135"</f>
        <v>1578726444681135</v>
      </c>
      <c r="C143" t="s">
        <v>40</v>
      </c>
      <c r="D143">
        <v>4.897278</v>
      </c>
      <c r="E143">
        <v>0.48783320000000002</v>
      </c>
      <c r="F143" t="s">
        <v>44</v>
      </c>
      <c r="G143">
        <v>-405.22570000000002</v>
      </c>
      <c r="H143">
        <v>-0.05</v>
      </c>
      <c r="I143">
        <v>368.92869999999999</v>
      </c>
      <c r="J143">
        <v>-417.7133</v>
      </c>
      <c r="K143">
        <v>1.059447</v>
      </c>
      <c r="L143">
        <v>367.88709999999998</v>
      </c>
      <c r="M143">
        <v>0.99979479999999998</v>
      </c>
      <c r="N143">
        <v>0</v>
      </c>
      <c r="O143">
        <v>1.8727230000000001E-2</v>
      </c>
      <c r="P143">
        <v>0.99066779999999999</v>
      </c>
      <c r="Q143">
        <v>0.1283096</v>
      </c>
      <c r="R143">
        <v>4.5979890000000002E-2</v>
      </c>
      <c r="S143">
        <v>3.0508730000000002</v>
      </c>
      <c r="T143">
        <v>-0.26414090000000001</v>
      </c>
      <c r="U143">
        <v>0.2494507</v>
      </c>
      <c r="V143">
        <v>-2.7413949999999999E-2</v>
      </c>
      <c r="W143">
        <v>0.1359794</v>
      </c>
      <c r="X143">
        <v>0.99033230000000005</v>
      </c>
      <c r="Y143">
        <v>-6.2648809999999999E-2</v>
      </c>
      <c r="Z143">
        <v>1.0871399999999999E-3</v>
      </c>
      <c r="AA143">
        <v>0.99803500000000001</v>
      </c>
      <c r="AB143">
        <v>36</v>
      </c>
      <c r="AC143">
        <v>12.487599999999899</v>
      </c>
      <c r="AD143">
        <v>-1.1094469999999901</v>
      </c>
      <c r="AE143">
        <v>1.0416000000000101</v>
      </c>
      <c r="AF143">
        <v>-0.80127126576063201</v>
      </c>
      <c r="AG143">
        <v>-1.1094469999999901</v>
      </c>
      <c r="AH143">
        <v>12.407656874915901</v>
      </c>
      <c r="AI143">
        <v>95.099023757868906</v>
      </c>
      <c r="AJ143">
        <v>93.694960370632003</v>
      </c>
      <c r="AK143">
        <v>12.4829026036732</v>
      </c>
      <c r="AL143">
        <v>82.184742298023295</v>
      </c>
      <c r="AM143">
        <v>91.585632040092904</v>
      </c>
      <c r="AN143">
        <v>0.99999999315112598</v>
      </c>
    </row>
    <row r="144" spans="1:40" x14ac:dyDescent="0.3">
      <c r="A144" t="str">
        <f>"20200111150724711"</f>
        <v>20200111150724711</v>
      </c>
      <c r="B144" t="str">
        <f>"1578726444701630"</f>
        <v>1578726444701630</v>
      </c>
      <c r="C144" t="s">
        <v>40</v>
      </c>
      <c r="D144">
        <v>4.8974650000000004</v>
      </c>
      <c r="E144">
        <v>0.48579919999999999</v>
      </c>
      <c r="F144" t="s">
        <v>43</v>
      </c>
      <c r="G144">
        <v>-372.45929999999998</v>
      </c>
      <c r="H144" s="1">
        <v>-3.6850829999999998E-6</v>
      </c>
      <c r="I144">
        <v>371.37450000000001</v>
      </c>
      <c r="J144">
        <v>-417.334</v>
      </c>
      <c r="K144">
        <v>1.0594479999999999</v>
      </c>
      <c r="L144">
        <v>367.89420000000001</v>
      </c>
      <c r="M144">
        <v>0.99979419999999997</v>
      </c>
      <c r="N144">
        <v>0</v>
      </c>
      <c r="O144">
        <v>1.8727629999999999E-2</v>
      </c>
      <c r="P144">
        <v>0.99060360000000003</v>
      </c>
      <c r="Q144">
        <v>0.12873329999999999</v>
      </c>
      <c r="R144">
        <v>4.6176420000000003E-2</v>
      </c>
      <c r="S144">
        <v>3.0266419999999998</v>
      </c>
      <c r="T144">
        <v>-7.0857290000000003E-2</v>
      </c>
      <c r="U144">
        <v>0.2332458</v>
      </c>
      <c r="V144">
        <v>-2.7610900000000001E-2</v>
      </c>
      <c r="W144">
        <v>0.13646639999999999</v>
      </c>
      <c r="X144">
        <v>0.99025980000000002</v>
      </c>
      <c r="Y144">
        <v>-5.8139389999999999E-2</v>
      </c>
      <c r="Z144">
        <v>2.4181340000000001E-4</v>
      </c>
      <c r="AA144">
        <v>0.99830839999999998</v>
      </c>
      <c r="AB144">
        <v>36</v>
      </c>
      <c r="AC144">
        <v>44.874699999999997</v>
      </c>
      <c r="AD144">
        <v>-1.059451685083</v>
      </c>
      <c r="AE144">
        <v>3.4803000000000002</v>
      </c>
      <c r="AF144">
        <v>-2.6378057596387201</v>
      </c>
      <c r="AG144">
        <v>-1.059451685083</v>
      </c>
      <c r="AH144">
        <v>44.907128137035599</v>
      </c>
      <c r="AI144">
        <v>91.349150187458505</v>
      </c>
      <c r="AJ144">
        <v>93.361641739653507</v>
      </c>
      <c r="AK144">
        <v>44.997006729500796</v>
      </c>
      <c r="AL144">
        <v>82.156576404482493</v>
      </c>
      <c r="AM144">
        <v>91.597134677770995</v>
      </c>
      <c r="AN144">
        <v>0.99999995581190404</v>
      </c>
    </row>
    <row r="145" spans="1:40" x14ac:dyDescent="0.3">
      <c r="A145" t="str">
        <f>"20200111150724732"</f>
        <v>20200111150724732</v>
      </c>
      <c r="B145" t="str">
        <f>"1578726444721150"</f>
        <v>1578726444721150</v>
      </c>
      <c r="C145" t="s">
        <v>40</v>
      </c>
      <c r="D145">
        <v>4.8868830000000001</v>
      </c>
      <c r="E145">
        <v>0.48594789999999999</v>
      </c>
      <c r="F145" t="s">
        <v>44</v>
      </c>
      <c r="G145">
        <v>-405.65839999999997</v>
      </c>
      <c r="H145">
        <v>-0.05</v>
      </c>
      <c r="I145">
        <v>368.84820000000002</v>
      </c>
      <c r="J145">
        <v>-416.98919999999998</v>
      </c>
      <c r="K145">
        <v>1.0594490000000001</v>
      </c>
      <c r="L145">
        <v>367.90069999999997</v>
      </c>
      <c r="M145">
        <v>0.99979379999999995</v>
      </c>
      <c r="N145">
        <v>0</v>
      </c>
      <c r="O145">
        <v>1.8728249999999998E-2</v>
      </c>
      <c r="P145">
        <v>0.99055389999999999</v>
      </c>
      <c r="Q145">
        <v>0.12909809999999999</v>
      </c>
      <c r="R145">
        <v>4.6225969999999998E-2</v>
      </c>
      <c r="S145">
        <v>3.0545040000000001</v>
      </c>
      <c r="T145">
        <v>-0.29024899999999998</v>
      </c>
      <c r="U145">
        <v>0.24957280000000001</v>
      </c>
      <c r="V145">
        <v>-2.766124E-2</v>
      </c>
      <c r="W145">
        <v>0.13688210000000001</v>
      </c>
      <c r="X145">
        <v>0.99020109999999995</v>
      </c>
      <c r="Y145">
        <v>-6.2558130000000003E-2</v>
      </c>
      <c r="Z145">
        <v>1.1883340000000001E-3</v>
      </c>
      <c r="AA145">
        <v>0.99804059999999994</v>
      </c>
      <c r="AB145">
        <v>36</v>
      </c>
      <c r="AC145">
        <v>11.3308</v>
      </c>
      <c r="AD145">
        <v>-1.1094489999999999</v>
      </c>
      <c r="AE145">
        <v>0.94750000000004697</v>
      </c>
      <c r="AF145">
        <v>-0.72818837883701004</v>
      </c>
      <c r="AG145">
        <v>-1.1094489999999999</v>
      </c>
      <c r="AH145">
        <v>11.2395501547383</v>
      </c>
      <c r="AI145">
        <v>95.625650206124206</v>
      </c>
      <c r="AJ145">
        <v>93.706900253892002</v>
      </c>
      <c r="AK145">
        <v>11.3176244450658</v>
      </c>
      <c r="AL145">
        <v>82.132533559393906</v>
      </c>
      <c r="AM145">
        <v>91.600139853033099</v>
      </c>
      <c r="AN145">
        <v>1.0000000359699699</v>
      </c>
    </row>
    <row r="146" spans="1:40" x14ac:dyDescent="0.3">
      <c r="A146" t="str">
        <f>"20200111150724746"</f>
        <v>20200111150724746</v>
      </c>
      <c r="B146" t="str">
        <f>"1578726444741646"</f>
        <v>1578726444741646</v>
      </c>
      <c r="C146" t="s">
        <v>40</v>
      </c>
      <c r="D146">
        <v>4.9398260000000001</v>
      </c>
      <c r="E146">
        <v>0.48612030000000001</v>
      </c>
      <c r="F146" t="s">
        <v>44</v>
      </c>
      <c r="G146">
        <v>-404.18950000000001</v>
      </c>
      <c r="H146">
        <v>-0.05</v>
      </c>
      <c r="I146">
        <v>368.94369999999998</v>
      </c>
      <c r="J146">
        <v>-416.76780000000002</v>
      </c>
      <c r="K146">
        <v>1.0594520000000001</v>
      </c>
      <c r="L146">
        <v>367.90480000000002</v>
      </c>
      <c r="M146">
        <v>0.9997935</v>
      </c>
      <c r="N146">
        <v>0</v>
      </c>
      <c r="O146">
        <v>1.8728789999999999E-2</v>
      </c>
      <c r="P146">
        <v>0.99054399999999998</v>
      </c>
      <c r="Q146">
        <v>0.1292143</v>
      </c>
      <c r="R146">
        <v>4.6107500000000003E-2</v>
      </c>
      <c r="S146">
        <v>3.0514830000000002</v>
      </c>
      <c r="T146">
        <v>-0.26449699999999998</v>
      </c>
      <c r="U146">
        <v>0.24865719999999999</v>
      </c>
      <c r="V146">
        <v>-2.754216E-2</v>
      </c>
      <c r="W146">
        <v>0.1370285</v>
      </c>
      <c r="X146">
        <v>0.99018410000000001</v>
      </c>
      <c r="Y146">
        <v>-6.237388E-2</v>
      </c>
      <c r="Z146">
        <v>1.0763840000000001E-3</v>
      </c>
      <c r="AA146">
        <v>0.9980523</v>
      </c>
      <c r="AB146">
        <v>36</v>
      </c>
      <c r="AC146">
        <v>12.5783</v>
      </c>
      <c r="AD146">
        <v>-1.1094520000000001</v>
      </c>
      <c r="AE146">
        <v>1.03889999999995</v>
      </c>
      <c r="AF146">
        <v>-0.79697573425698998</v>
      </c>
      <c r="AG146">
        <v>-1.1094520000000001</v>
      </c>
      <c r="AH146">
        <v>12.4989699126492</v>
      </c>
      <c r="AI146">
        <v>95.062251478706102</v>
      </c>
      <c r="AJ146">
        <v>93.648429541953703</v>
      </c>
      <c r="AK146">
        <v>12.5733966349038</v>
      </c>
      <c r="AL146">
        <v>82.124065113097302</v>
      </c>
      <c r="AM146">
        <v>91.593282243657697</v>
      </c>
      <c r="AN146">
        <v>0.99999996614126196</v>
      </c>
    </row>
    <row r="147" spans="1:40" x14ac:dyDescent="0.3">
      <c r="A147" t="str">
        <f>"20200111150724801"</f>
        <v>20200111150724801</v>
      </c>
      <c r="B147" t="str">
        <f>"1578726444791425"</f>
        <v>1578726444791425</v>
      </c>
      <c r="C147" t="s">
        <v>40</v>
      </c>
      <c r="D147">
        <v>5.0291899999999998</v>
      </c>
      <c r="E147">
        <v>0.4865527</v>
      </c>
      <c r="F147" t="s">
        <v>44</v>
      </c>
      <c r="G147">
        <v>-403.37650000000002</v>
      </c>
      <c r="H147">
        <v>-0.05</v>
      </c>
      <c r="I147">
        <v>368.99059999999997</v>
      </c>
      <c r="J147">
        <v>-415.88400000000001</v>
      </c>
      <c r="K147">
        <v>1.05945</v>
      </c>
      <c r="L147">
        <v>367.92140000000001</v>
      </c>
      <c r="M147">
        <v>0.99979280000000004</v>
      </c>
      <c r="N147">
        <v>0</v>
      </c>
      <c r="O147">
        <v>1.873039E-2</v>
      </c>
      <c r="P147">
        <v>0.9906954</v>
      </c>
      <c r="Q147">
        <v>0.1282276</v>
      </c>
      <c r="R147">
        <v>4.5614979999999999E-2</v>
      </c>
      <c r="S147">
        <v>3.0500790000000002</v>
      </c>
      <c r="T147">
        <v>-0.25269599999999998</v>
      </c>
      <c r="U147">
        <v>0.24731449999999999</v>
      </c>
      <c r="V147">
        <v>-2.7044990000000001E-2</v>
      </c>
      <c r="W147">
        <v>0.13614470000000001</v>
      </c>
      <c r="X147">
        <v>0.99031970000000002</v>
      </c>
      <c r="Y147">
        <v>-6.1988269999999998E-2</v>
      </c>
      <c r="Z147">
        <v>1.01296E-3</v>
      </c>
      <c r="AA147">
        <v>0.99807639999999997</v>
      </c>
      <c r="AB147">
        <v>36</v>
      </c>
      <c r="AC147">
        <v>12.507499999999901</v>
      </c>
      <c r="AD147">
        <v>-1.10945</v>
      </c>
      <c r="AE147">
        <v>1.06919999999996</v>
      </c>
      <c r="AF147">
        <v>-0.82826496215226497</v>
      </c>
      <c r="AG147">
        <v>-1.10945</v>
      </c>
      <c r="AH147">
        <v>12.428254483846301</v>
      </c>
      <c r="AI147">
        <v>95.089948087775596</v>
      </c>
      <c r="AJ147">
        <v>93.812765215258693</v>
      </c>
      <c r="AK147">
        <v>12.505135411712899</v>
      </c>
      <c r="AL147">
        <v>82.175182136743899</v>
      </c>
      <c r="AM147">
        <v>91.564321839016998</v>
      </c>
      <c r="AN147">
        <v>0.99999995951513898</v>
      </c>
    </row>
    <row r="148" spans="1:40" x14ac:dyDescent="0.3">
      <c r="A148" t="str">
        <f>"20200111150724824"</f>
        <v>20200111150724824</v>
      </c>
      <c r="B148" t="str">
        <f>"1578726444821678"</f>
        <v>1578726444821678</v>
      </c>
      <c r="C148" t="s">
        <v>40</v>
      </c>
      <c r="D148">
        <v>4.980442</v>
      </c>
      <c r="E148">
        <v>0.54100479999999995</v>
      </c>
      <c r="F148" t="s">
        <v>44</v>
      </c>
      <c r="G148">
        <v>-401.93979999999999</v>
      </c>
      <c r="H148">
        <v>-0.05</v>
      </c>
      <c r="I148">
        <v>369.02839999999998</v>
      </c>
      <c r="J148">
        <v>-415.50630000000001</v>
      </c>
      <c r="K148">
        <v>1.0594520000000001</v>
      </c>
      <c r="L148">
        <v>367.92849999999999</v>
      </c>
      <c r="M148">
        <v>0.99979240000000003</v>
      </c>
      <c r="N148">
        <v>0</v>
      </c>
      <c r="O148">
        <v>1.8731080000000001E-2</v>
      </c>
      <c r="P148">
        <v>0.99076209999999998</v>
      </c>
      <c r="Q148">
        <v>0.12787009999999999</v>
      </c>
      <c r="R148">
        <v>4.5167180000000001E-2</v>
      </c>
      <c r="S148">
        <v>3.0484309999999999</v>
      </c>
      <c r="T148">
        <v>-0.24254490000000001</v>
      </c>
      <c r="U148">
        <v>0.24200440000000001</v>
      </c>
      <c r="V148">
        <v>-2.6596149999999999E-2</v>
      </c>
      <c r="W148">
        <v>0.135824</v>
      </c>
      <c r="X148">
        <v>0.99037589999999998</v>
      </c>
      <c r="Y148">
        <v>-6.0320169999999999E-2</v>
      </c>
      <c r="Z148">
        <v>9.0677399999999995E-4</v>
      </c>
      <c r="AA148">
        <v>0.99817869999999997</v>
      </c>
      <c r="AB148">
        <v>37</v>
      </c>
      <c r="AC148">
        <v>13.5665</v>
      </c>
      <c r="AD148">
        <v>-1.1094520000000001</v>
      </c>
      <c r="AE148">
        <v>1.0998999999999901</v>
      </c>
      <c r="AF148">
        <v>-0.84000259129524601</v>
      </c>
      <c r="AG148">
        <v>-1.1094520000000001</v>
      </c>
      <c r="AH148">
        <v>13.495060178120299</v>
      </c>
      <c r="AI148">
        <v>94.690777112164497</v>
      </c>
      <c r="AJ148">
        <v>93.561791441831602</v>
      </c>
      <c r="AK148">
        <v>13.5666184919004</v>
      </c>
      <c r="AL148">
        <v>82.193729250239798</v>
      </c>
      <c r="AM148">
        <v>91.538285601761501</v>
      </c>
      <c r="AN148">
        <v>0.99999996873581498</v>
      </c>
    </row>
    <row r="149" spans="1:40" x14ac:dyDescent="0.3">
      <c r="A149" t="str">
        <f>"20200111150724845"</f>
        <v>20200111150724845</v>
      </c>
      <c r="B149" t="str">
        <f>"1578726444841198"</f>
        <v>1578726444841198</v>
      </c>
      <c r="C149" t="s">
        <v>40</v>
      </c>
      <c r="D149">
        <v>4.9868709999999998</v>
      </c>
      <c r="E149">
        <v>0.54100109999999901</v>
      </c>
      <c r="F149" t="s">
        <v>41</v>
      </c>
      <c r="G149">
        <v>-414.51350000000002</v>
      </c>
      <c r="H149">
        <v>0.99999450000000001</v>
      </c>
      <c r="I149">
        <v>367.8655</v>
      </c>
      <c r="J149">
        <v>-415.16699999999997</v>
      </c>
      <c r="K149">
        <v>1.0594509999999999</v>
      </c>
      <c r="L149">
        <v>367.9348</v>
      </c>
      <c r="M149">
        <v>0.99979220000000002</v>
      </c>
      <c r="N149">
        <v>0</v>
      </c>
      <c r="O149">
        <v>1.873143E-2</v>
      </c>
      <c r="P149">
        <v>0.99069779999999996</v>
      </c>
      <c r="Q149">
        <v>0.12825029999999901</v>
      </c>
      <c r="R149">
        <v>4.549798E-2</v>
      </c>
      <c r="S149">
        <v>3.060486</v>
      </c>
      <c r="T149">
        <v>-0.18362990000000001</v>
      </c>
      <c r="U149">
        <v>-0.1929932</v>
      </c>
      <c r="V149">
        <v>-2.6927079999999999E-2</v>
      </c>
      <c r="W149">
        <v>0.13623299999999999</v>
      </c>
      <c r="X149">
        <v>0.99031080000000005</v>
      </c>
      <c r="Y149">
        <v>8.1439029999999996E-2</v>
      </c>
      <c r="Z149">
        <v>-3.5604920000000002E-3</v>
      </c>
      <c r="AA149">
        <v>0.996672</v>
      </c>
      <c r="AB149">
        <v>37</v>
      </c>
      <c r="AC149">
        <v>0.65349999999995101</v>
      </c>
      <c r="AD149">
        <v>-5.9456499999999898E-2</v>
      </c>
      <c r="AE149">
        <v>-6.9299999999998294E-2</v>
      </c>
      <c r="AF149">
        <v>8.0867278259527803E-2</v>
      </c>
      <c r="AG149">
        <v>-5.9456499999999898E-2</v>
      </c>
      <c r="AH149">
        <v>0.64679281449741099</v>
      </c>
      <c r="AI149">
        <v>95.211808452397804</v>
      </c>
      <c r="AJ149">
        <v>82.873398277710194</v>
      </c>
      <c r="AK149">
        <v>0.65453459570204198</v>
      </c>
      <c r="AL149">
        <v>82.170075572997206</v>
      </c>
      <c r="AM149">
        <v>91.557519109063193</v>
      </c>
      <c r="AN149">
        <v>0.99999998926148304</v>
      </c>
    </row>
    <row r="150" spans="1:40" x14ac:dyDescent="0.3">
      <c r="A150" t="str">
        <f>"20200111150724866"</f>
        <v>20200111150724866</v>
      </c>
      <c r="B150" t="str">
        <f>"1578726444861695"</f>
        <v>1578726444861695</v>
      </c>
      <c r="C150" t="s">
        <v>40</v>
      </c>
      <c r="D150">
        <v>4.9753829999999999</v>
      </c>
      <c r="E150">
        <v>0.54085850000000002</v>
      </c>
      <c r="F150" t="s">
        <v>41</v>
      </c>
      <c r="G150">
        <v>-414.1807</v>
      </c>
      <c r="H150">
        <v>1.0047969999999999</v>
      </c>
      <c r="I150">
        <v>367.87259999999998</v>
      </c>
      <c r="J150">
        <v>-414.80529999999999</v>
      </c>
      <c r="K150">
        <v>1.059455</v>
      </c>
      <c r="L150">
        <v>367.94159999999999</v>
      </c>
      <c r="M150">
        <v>0.99979189999999996</v>
      </c>
      <c r="N150">
        <v>0</v>
      </c>
      <c r="O150">
        <v>1.8731790000000002E-2</v>
      </c>
      <c r="P150">
        <v>0.9906741</v>
      </c>
      <c r="Q150">
        <v>0.128163</v>
      </c>
      <c r="R150">
        <v>4.6250720000000002E-2</v>
      </c>
      <c r="S150">
        <v>3.0589599999999999</v>
      </c>
      <c r="T150">
        <v>-0.16955789999999901</v>
      </c>
      <c r="U150">
        <v>-0.19265750000000001</v>
      </c>
      <c r="V150">
        <v>-2.7680010000000001E-2</v>
      </c>
      <c r="W150">
        <v>0.136174499999999</v>
      </c>
      <c r="X150">
        <v>0.99029809999999996</v>
      </c>
      <c r="Y150">
        <v>8.138803E-2</v>
      </c>
      <c r="Z150">
        <v>-3.2883330000000001E-3</v>
      </c>
      <c r="AA150">
        <v>0.99667700000000004</v>
      </c>
      <c r="AB150">
        <v>37</v>
      </c>
      <c r="AC150">
        <v>0.62459999999998606</v>
      </c>
      <c r="AD150">
        <v>-5.4657999999999998E-2</v>
      </c>
      <c r="AE150">
        <v>-6.9000000000016798E-2</v>
      </c>
      <c r="AF150">
        <v>8.00822910296939E-2</v>
      </c>
      <c r="AG150">
        <v>-5.4657999999999998E-2</v>
      </c>
      <c r="AH150">
        <v>0.61851848846559399</v>
      </c>
      <c r="AI150">
        <v>95.008475121841002</v>
      </c>
      <c r="AJ150">
        <v>82.622705785877898</v>
      </c>
      <c r="AK150">
        <v>0.62607171384301397</v>
      </c>
      <c r="AL150">
        <v>82.173459007313298</v>
      </c>
      <c r="AM150">
        <v>91.601068330946205</v>
      </c>
      <c r="AN150">
        <v>1.0000000021337201</v>
      </c>
    </row>
    <row r="151" spans="1:40" x14ac:dyDescent="0.3">
      <c r="A151" t="str">
        <f>"20200111150724880"</f>
        <v>20200111150724880</v>
      </c>
      <c r="B151" t="str">
        <f>"1578726444871455"</f>
        <v>1578726444871455</v>
      </c>
      <c r="C151" t="s">
        <v>40</v>
      </c>
      <c r="D151">
        <v>4.9252359999999999</v>
      </c>
      <c r="E151">
        <v>0.54063649999999996</v>
      </c>
      <c r="F151" t="s">
        <v>41</v>
      </c>
      <c r="G151">
        <v>-413.84199999999998</v>
      </c>
      <c r="H151">
        <v>1.0066079999999999</v>
      </c>
      <c r="I151">
        <v>367.88139999999999</v>
      </c>
      <c r="J151">
        <v>-414.57350000000002</v>
      </c>
      <c r="K151">
        <v>1.059456</v>
      </c>
      <c r="L151">
        <v>367.94600000000003</v>
      </c>
      <c r="M151">
        <v>0.99979169999999995</v>
      </c>
      <c r="N151">
        <v>0</v>
      </c>
      <c r="O151">
        <v>1.873207E-2</v>
      </c>
      <c r="P151">
        <v>0.99066330000000002</v>
      </c>
      <c r="Q151">
        <v>0.12820589999999901</v>
      </c>
      <c r="R151">
        <v>4.6359900000000002E-2</v>
      </c>
      <c r="S151">
        <v>3.0588679999999999</v>
      </c>
      <c r="T151">
        <v>-0.16816719999999999</v>
      </c>
      <c r="U151">
        <v>-0.1896362</v>
      </c>
      <c r="V151">
        <v>-2.7789330000000001E-2</v>
      </c>
      <c r="W151">
        <v>0.13623450000000001</v>
      </c>
      <c r="X151">
        <v>0.99028680000000002</v>
      </c>
      <c r="Y151">
        <v>8.0413499999999999E-2</v>
      </c>
      <c r="Z151">
        <v>-3.2348699999999999E-3</v>
      </c>
      <c r="AA151">
        <v>0.99675630000000004</v>
      </c>
      <c r="AB151">
        <v>37</v>
      </c>
      <c r="AC151">
        <v>0.73150000000003901</v>
      </c>
      <c r="AD151">
        <v>-5.2847999999999999E-2</v>
      </c>
      <c r="AE151">
        <v>-6.4599999999984406E-2</v>
      </c>
      <c r="AF151">
        <v>7.7888232444009706E-2</v>
      </c>
      <c r="AG151">
        <v>-5.2847999999999999E-2</v>
      </c>
      <c r="AH151">
        <v>0.72639941329229996</v>
      </c>
      <c r="AI151">
        <v>94.137495477426796</v>
      </c>
      <c r="AJ151">
        <v>83.879839133521202</v>
      </c>
      <c r="AK151">
        <v>0.73247224895462804</v>
      </c>
      <c r="AL151">
        <v>82.169989031604302</v>
      </c>
      <c r="AM151">
        <v>91.607406644373498</v>
      </c>
      <c r="AN151">
        <v>1.0000000160531599</v>
      </c>
    </row>
    <row r="152" spans="1:40" x14ac:dyDescent="0.3">
      <c r="A152" t="str">
        <f>"20200111150724893"</f>
        <v>20200111150724893</v>
      </c>
      <c r="B152" t="str">
        <f>"1578726444890976"</f>
        <v>1578726444890976</v>
      </c>
      <c r="C152" t="s">
        <v>40</v>
      </c>
      <c r="D152">
        <v>4.9424720000000004</v>
      </c>
      <c r="E152">
        <v>0.54049269999999905</v>
      </c>
      <c r="F152" t="s">
        <v>41</v>
      </c>
      <c r="G152">
        <v>-413.52420000000001</v>
      </c>
      <c r="H152">
        <v>1.0016510000000001</v>
      </c>
      <c r="I152">
        <v>367.88170000000002</v>
      </c>
      <c r="J152">
        <v>-414.35149999999999</v>
      </c>
      <c r="K152">
        <v>1.059456</v>
      </c>
      <c r="L152">
        <v>367.95010000000002</v>
      </c>
      <c r="M152">
        <v>0.9997916</v>
      </c>
      <c r="N152">
        <v>0</v>
      </c>
      <c r="O152">
        <v>1.873153E-2</v>
      </c>
      <c r="P152">
        <v>0.99067850000000002</v>
      </c>
      <c r="Q152">
        <v>0.12817999999999999</v>
      </c>
      <c r="R152">
        <v>4.610678E-2</v>
      </c>
      <c r="S152">
        <v>3.0587770000000001</v>
      </c>
      <c r="T152">
        <v>-0.16851429999999901</v>
      </c>
      <c r="U152">
        <v>-0.18737789999999999</v>
      </c>
      <c r="V152">
        <v>-2.7535799999999999E-2</v>
      </c>
      <c r="W152">
        <v>0.13622409999999999</v>
      </c>
      <c r="X152">
        <v>0.99029529999999999</v>
      </c>
      <c r="Y152">
        <v>7.9682139999999999E-2</v>
      </c>
      <c r="Z152">
        <v>-3.2215640000000001E-3</v>
      </c>
      <c r="AA152">
        <v>0.99681509999999995</v>
      </c>
      <c r="AB152">
        <v>37</v>
      </c>
      <c r="AC152">
        <v>0.82729999999997905</v>
      </c>
      <c r="AD152">
        <v>-5.7804999999999801E-2</v>
      </c>
      <c r="AE152">
        <v>-6.8399999999996894E-2</v>
      </c>
      <c r="AF152">
        <v>8.3480313295586597E-2</v>
      </c>
      <c r="AG152">
        <v>-5.7804999999999801E-2</v>
      </c>
      <c r="AH152">
        <v>0.82188828061427299</v>
      </c>
      <c r="AI152">
        <v>94.0025723937744</v>
      </c>
      <c r="AJ152">
        <v>84.200279715841901</v>
      </c>
      <c r="AK152">
        <v>0.82813690084672298</v>
      </c>
      <c r="AL152">
        <v>82.170590415855898</v>
      </c>
      <c r="AM152">
        <v>91.592735738741098</v>
      </c>
      <c r="AN152">
        <v>1.00000000345227</v>
      </c>
    </row>
    <row r="153" spans="1:40" x14ac:dyDescent="0.3">
      <c r="A153" t="str">
        <f>"20200111150724912"</f>
        <v>20200111150724912</v>
      </c>
      <c r="B153" t="str">
        <f>"1578726444900734"</f>
        <v>1578726444900734</v>
      </c>
      <c r="C153" t="s">
        <v>40</v>
      </c>
      <c r="D153">
        <v>4.950844</v>
      </c>
      <c r="E153">
        <v>0.54054869999999899</v>
      </c>
      <c r="F153" t="s">
        <v>43</v>
      </c>
      <c r="G153">
        <v>-395.56740000000002</v>
      </c>
      <c r="H153" s="1">
        <v>-2.382282E-6</v>
      </c>
      <c r="I153">
        <v>366.80650000000003</v>
      </c>
      <c r="J153">
        <v>-414.04750000000001</v>
      </c>
      <c r="K153">
        <v>1.059453</v>
      </c>
      <c r="L153">
        <v>367.95580000000001</v>
      </c>
      <c r="M153">
        <v>0.9997916</v>
      </c>
      <c r="N153">
        <v>0</v>
      </c>
      <c r="O153">
        <v>1.8722699999999998E-2</v>
      </c>
      <c r="P153">
        <v>0.99068590000000001</v>
      </c>
      <c r="Q153">
        <v>0.12843299999999999</v>
      </c>
      <c r="R153">
        <v>4.5236539999999999E-2</v>
      </c>
      <c r="S153">
        <v>3.0592350000000001</v>
      </c>
      <c r="T153">
        <v>-0.172546</v>
      </c>
      <c r="U153">
        <v>-0.18624879999999999</v>
      </c>
      <c r="V153">
        <v>-2.6672990000000001E-2</v>
      </c>
      <c r="W153">
        <v>0.1364976</v>
      </c>
      <c r="X153">
        <v>0.99028119999999997</v>
      </c>
      <c r="Y153">
        <v>7.9291159999999999E-2</v>
      </c>
      <c r="Z153">
        <v>-3.28656E-3</v>
      </c>
      <c r="AA153">
        <v>0.99684609999999996</v>
      </c>
      <c r="AB153">
        <v>37</v>
      </c>
      <c r="AC153">
        <v>18.4801</v>
      </c>
      <c r="AD153">
        <v>-1.0594553822820001</v>
      </c>
      <c r="AE153">
        <v>-1.14929999999998</v>
      </c>
      <c r="AF153">
        <v>1.4902283310123801</v>
      </c>
      <c r="AG153">
        <v>-1.0594553822820001</v>
      </c>
      <c r="AH153">
        <v>18.395115965318599</v>
      </c>
      <c r="AI153">
        <v>93.285533566260995</v>
      </c>
      <c r="AJ153">
        <v>85.368458907404701</v>
      </c>
      <c r="AK153">
        <v>18.485765268528102</v>
      </c>
      <c r="AL153">
        <v>82.154771837739801</v>
      </c>
      <c r="AM153">
        <v>91.542875238345999</v>
      </c>
      <c r="AN153">
        <v>0.999999949137368</v>
      </c>
    </row>
    <row r="154" spans="1:40" x14ac:dyDescent="0.3">
      <c r="A154" t="str">
        <f>"20200111150725117"</f>
        <v>20200111150725117</v>
      </c>
      <c r="B154" t="str">
        <f>"1578726445111589"</f>
        <v>1578726445111589</v>
      </c>
      <c r="C154" t="s">
        <v>40</v>
      </c>
      <c r="D154">
        <v>4.6772900000000002</v>
      </c>
      <c r="E154">
        <v>0.60489989999999905</v>
      </c>
      <c r="F154" t="s">
        <v>43</v>
      </c>
      <c r="G154">
        <v>-395.14670000000001</v>
      </c>
      <c r="H154" s="1">
        <v>-2.5668070000000001E-6</v>
      </c>
      <c r="I154">
        <v>366.78370000000001</v>
      </c>
      <c r="J154">
        <v>-410.63690000000003</v>
      </c>
      <c r="K154">
        <v>1.05877</v>
      </c>
      <c r="L154">
        <v>368.01310000000001</v>
      </c>
      <c r="M154">
        <v>0.99985500000000005</v>
      </c>
      <c r="N154">
        <v>0</v>
      </c>
      <c r="O154">
        <v>1.486645E-2</v>
      </c>
      <c r="P154">
        <v>0.9907897</v>
      </c>
      <c r="Q154">
        <v>0.12797220000000001</v>
      </c>
      <c r="R154">
        <v>4.4262620000000003E-2</v>
      </c>
      <c r="S154">
        <v>3.0590519999999999</v>
      </c>
      <c r="T154">
        <v>-0.17146989999999901</v>
      </c>
      <c r="U154">
        <v>-0.18969730000000001</v>
      </c>
      <c r="V154">
        <v>-2.9289409999999998E-2</v>
      </c>
      <c r="W154">
        <v>0.13625670000000001</v>
      </c>
      <c r="X154">
        <v>0.99024049999999997</v>
      </c>
      <c r="Y154">
        <v>7.6581499999999997E-2</v>
      </c>
      <c r="Z154">
        <v>-2.9745499999999999E-3</v>
      </c>
      <c r="AA154">
        <v>0.99705889999999997</v>
      </c>
      <c r="AB154">
        <v>38</v>
      </c>
      <c r="AC154">
        <v>15.4902</v>
      </c>
      <c r="AD154">
        <v>-1.058772566807</v>
      </c>
      <c r="AE154">
        <v>-1.2293999999999901</v>
      </c>
      <c r="AF154">
        <v>1.45281148359898</v>
      </c>
      <c r="AG154">
        <v>-1.058772566807</v>
      </c>
      <c r="AH154">
        <v>15.398719997736301</v>
      </c>
      <c r="AI154">
        <v>93.915970364863398</v>
      </c>
      <c r="AJ154">
        <v>84.610311881286194</v>
      </c>
      <c r="AK154">
        <v>15.5032976532021</v>
      </c>
      <c r="AL154">
        <v>82.168704988554893</v>
      </c>
      <c r="AM154">
        <v>91.694205041881304</v>
      </c>
      <c r="AN154">
        <v>1.00000000283664</v>
      </c>
    </row>
    <row r="155" spans="1:40" x14ac:dyDescent="0.3">
      <c r="A155" t="str">
        <f>"20200111150725135"</f>
        <v>20200111150725135</v>
      </c>
      <c r="B155" t="str">
        <f>"1578726445131111"</f>
        <v>1578726445131111</v>
      </c>
      <c r="C155" t="s">
        <v>40</v>
      </c>
      <c r="D155">
        <v>4.7769349999999999</v>
      </c>
      <c r="E155">
        <v>0.60236440000000002</v>
      </c>
      <c r="F155" t="s">
        <v>43</v>
      </c>
      <c r="G155">
        <v>-391.85950000000003</v>
      </c>
      <c r="H155" s="1">
        <v>-4.5236119999999997E-6</v>
      </c>
      <c r="I155">
        <v>363.70229999999998</v>
      </c>
      <c r="J155">
        <v>-410.33600000000001</v>
      </c>
      <c r="K155">
        <v>1.058702</v>
      </c>
      <c r="L155">
        <v>368.01690000000002</v>
      </c>
      <c r="M155">
        <v>0.99986640000000004</v>
      </c>
      <c r="N155">
        <v>0</v>
      </c>
      <c r="O155">
        <v>1.4081730000000001E-2</v>
      </c>
      <c r="P155">
        <v>0.99067340000000004</v>
      </c>
      <c r="Q155">
        <v>0.1293088</v>
      </c>
      <c r="R155">
        <v>4.2960159999999997E-2</v>
      </c>
      <c r="S155">
        <v>3.0819399999999999</v>
      </c>
      <c r="T155">
        <v>-0.17377619999999999</v>
      </c>
      <c r="U155">
        <v>-0.70751949999999997</v>
      </c>
      <c r="V155">
        <v>-2.8739549999999999E-2</v>
      </c>
      <c r="W155">
        <v>0.13760849999999999</v>
      </c>
      <c r="X155">
        <v>0.99006970000000005</v>
      </c>
      <c r="Y155">
        <v>0.23707300000000001</v>
      </c>
      <c r="Z155">
        <v>-7.3763959999999899E-3</v>
      </c>
      <c r="AA155">
        <v>0.97146390000000005</v>
      </c>
      <c r="AB155">
        <v>38</v>
      </c>
      <c r="AC155">
        <v>18.476499999999898</v>
      </c>
      <c r="AD155">
        <v>-1.0587065236119999</v>
      </c>
      <c r="AE155">
        <v>-4.3146000000000404</v>
      </c>
      <c r="AF155">
        <v>4.56016402401597</v>
      </c>
      <c r="AG155">
        <v>-1.0587065236119999</v>
      </c>
      <c r="AH155">
        <v>18.356754524140101</v>
      </c>
      <c r="AI155">
        <v>93.203657257301103</v>
      </c>
      <c r="AJ155">
        <v>76.049051895260305</v>
      </c>
      <c r="AK155">
        <v>18.9442970861578</v>
      </c>
      <c r="AL155">
        <v>82.090516299872903</v>
      </c>
      <c r="AM155">
        <v>91.662703803506403</v>
      </c>
      <c r="AN155">
        <v>1.00000003593227</v>
      </c>
    </row>
    <row r="156" spans="1:40" x14ac:dyDescent="0.3">
      <c r="A156" t="str">
        <f>"20200111150725148"</f>
        <v>20200111150725148</v>
      </c>
      <c r="B156" t="str">
        <f>"1578726445140872"</f>
        <v>1578726445140872</v>
      </c>
      <c r="C156" t="s">
        <v>40</v>
      </c>
      <c r="D156">
        <v>4.7834079999999997</v>
      </c>
      <c r="E156">
        <v>0.60115419999999997</v>
      </c>
      <c r="F156" t="s">
        <v>43</v>
      </c>
      <c r="G156">
        <v>-390.89</v>
      </c>
      <c r="H156" s="1">
        <v>-4.9480069999999999E-6</v>
      </c>
      <c r="I156">
        <v>363.65429999999998</v>
      </c>
      <c r="J156">
        <v>-410.09859999999998</v>
      </c>
      <c r="K156">
        <v>1.058651</v>
      </c>
      <c r="L156">
        <v>368.0197</v>
      </c>
      <c r="M156">
        <v>0.99987530000000002</v>
      </c>
      <c r="N156">
        <v>0</v>
      </c>
      <c r="O156">
        <v>1.342805E-2</v>
      </c>
      <c r="P156">
        <v>0.99068369999999994</v>
      </c>
      <c r="Q156">
        <v>0.1295857</v>
      </c>
      <c r="R156">
        <v>4.1877600000000001E-2</v>
      </c>
      <c r="S156">
        <v>3.0800480000000001</v>
      </c>
      <c r="T156">
        <v>-0.1676879</v>
      </c>
      <c r="U156">
        <v>-0.69097900000000001</v>
      </c>
      <c r="V156">
        <v>-2.828613E-2</v>
      </c>
      <c r="W156">
        <v>0.13789760000000001</v>
      </c>
      <c r="X156">
        <v>0.99004250000000005</v>
      </c>
      <c r="Y156">
        <v>0.2316368</v>
      </c>
      <c r="Z156">
        <v>-6.9455460000000004E-3</v>
      </c>
      <c r="AA156">
        <v>0.97277749999999996</v>
      </c>
      <c r="AB156">
        <v>38</v>
      </c>
      <c r="AC156">
        <v>19.208599999999901</v>
      </c>
      <c r="AD156">
        <v>-1.0586559480069999</v>
      </c>
      <c r="AE156">
        <v>-4.3654000000000197</v>
      </c>
      <c r="AF156">
        <v>4.6096351617403801</v>
      </c>
      <c r="AG156">
        <v>-1.0586559480069999</v>
      </c>
      <c r="AH156">
        <v>19.093099906162099</v>
      </c>
      <c r="AI156">
        <v>93.085169606757702</v>
      </c>
      <c r="AJ156">
        <v>76.4268551243552</v>
      </c>
      <c r="AK156">
        <v>19.670179276440098</v>
      </c>
      <c r="AL156">
        <v>82.073792390959397</v>
      </c>
      <c r="AM156">
        <v>91.636530864353404</v>
      </c>
      <c r="AN156">
        <v>1.0000000025211899</v>
      </c>
    </row>
    <row r="157" spans="1:40" x14ac:dyDescent="0.3">
      <c r="A157" t="str">
        <f>"20200111150725169"</f>
        <v>20200111150725169</v>
      </c>
      <c r="B157" t="str">
        <f>"1578726445161366"</f>
        <v>1578726445161366</v>
      </c>
      <c r="C157" t="s">
        <v>40</v>
      </c>
      <c r="D157">
        <v>4.8003749999999998</v>
      </c>
      <c r="E157">
        <v>0.60049640000000004</v>
      </c>
      <c r="F157" t="s">
        <v>43</v>
      </c>
      <c r="G157">
        <v>-390.32580000000002</v>
      </c>
      <c r="H157" s="1">
        <v>-5.1949279999999999E-6</v>
      </c>
      <c r="I157">
        <v>363.62670000000003</v>
      </c>
      <c r="J157">
        <v>-409.75959999999998</v>
      </c>
      <c r="K157">
        <v>1.0585830000000001</v>
      </c>
      <c r="L157">
        <v>368.02339999999998</v>
      </c>
      <c r="M157">
        <v>0.99988770000000005</v>
      </c>
      <c r="N157">
        <v>0</v>
      </c>
      <c r="O157">
        <v>1.245505E-2</v>
      </c>
      <c r="P157">
        <v>0.99073169999999999</v>
      </c>
      <c r="Q157">
        <v>0.12996199999999999</v>
      </c>
      <c r="R157">
        <v>3.9505249999999999E-2</v>
      </c>
      <c r="S157">
        <v>3.0787049999999998</v>
      </c>
      <c r="T157">
        <v>-0.1648367</v>
      </c>
      <c r="U157">
        <v>-0.68399049999999995</v>
      </c>
      <c r="V157">
        <v>-2.6854659999999999E-2</v>
      </c>
      <c r="W157">
        <v>0.1382881</v>
      </c>
      <c r="X157">
        <v>0.99002789999999996</v>
      </c>
      <c r="Y157">
        <v>0.22869310000000001</v>
      </c>
      <c r="Z157">
        <v>-6.7029119999999897E-3</v>
      </c>
      <c r="AA157">
        <v>0.97347550000000005</v>
      </c>
      <c r="AB157">
        <v>38</v>
      </c>
      <c r="AC157">
        <v>19.433799999999898</v>
      </c>
      <c r="AD157">
        <v>-1.058588194928</v>
      </c>
      <c r="AE157">
        <v>-4.3966999999999503</v>
      </c>
      <c r="AF157">
        <v>4.6253604403492696</v>
      </c>
      <c r="AG157">
        <v>-1.058588194928</v>
      </c>
      <c r="AH157">
        <v>19.322987085980699</v>
      </c>
      <c r="AI157">
        <v>93.049763732970604</v>
      </c>
      <c r="AJ157">
        <v>76.538354287230007</v>
      </c>
      <c r="AK157">
        <v>19.897044958851701</v>
      </c>
      <c r="AL157">
        <v>82.051201992909</v>
      </c>
      <c r="AM157">
        <v>91.553775884907196</v>
      </c>
      <c r="AN157">
        <v>1.00000000707186</v>
      </c>
    </row>
    <row r="158" spans="1:40" x14ac:dyDescent="0.3">
      <c r="A158" t="str">
        <f>"20200111150725190"</f>
        <v>20200111150725190</v>
      </c>
      <c r="B158" t="str">
        <f>"1578726445180893"</f>
        <v>1578726445180893</v>
      </c>
      <c r="C158" t="s">
        <v>40</v>
      </c>
      <c r="D158">
        <v>4.8176300000000003</v>
      </c>
      <c r="E158">
        <v>0.58034509999999995</v>
      </c>
      <c r="F158" t="s">
        <v>43</v>
      </c>
      <c r="G158">
        <v>-389.44009999999997</v>
      </c>
      <c r="H158" s="1">
        <v>-1.80472E-6</v>
      </c>
      <c r="I158">
        <v>363.49720000000002</v>
      </c>
      <c r="J158">
        <v>-409.38299999999998</v>
      </c>
      <c r="K158">
        <v>1.0585209999999901</v>
      </c>
      <c r="L158">
        <v>368.02719999999999</v>
      </c>
      <c r="M158">
        <v>0.99990100000000004</v>
      </c>
      <c r="N158">
        <v>0</v>
      </c>
      <c r="O158">
        <v>1.1331900000000001E-2</v>
      </c>
      <c r="P158">
        <v>0.99074870000000004</v>
      </c>
      <c r="Q158">
        <v>0.13048679999999999</v>
      </c>
      <c r="R158">
        <v>3.7287819999999999E-2</v>
      </c>
      <c r="S158">
        <v>3.076416</v>
      </c>
      <c r="T158">
        <v>-0.1602712</v>
      </c>
      <c r="U158">
        <v>-0.6852722</v>
      </c>
      <c r="V158">
        <v>-2.5728190000000001E-2</v>
      </c>
      <c r="W158">
        <v>0.13882749999999999</v>
      </c>
      <c r="X158">
        <v>0.98998229999999998</v>
      </c>
      <c r="Y158">
        <v>0.2281591</v>
      </c>
      <c r="Z158">
        <v>-6.4504080000000004E-3</v>
      </c>
      <c r="AA158">
        <v>0.97360250000000004</v>
      </c>
      <c r="AB158">
        <v>38</v>
      </c>
      <c r="AC158">
        <v>19.942900000000002</v>
      </c>
      <c r="AD158">
        <v>-1.0585228047199999</v>
      </c>
      <c r="AE158">
        <v>-4.5299999999999701</v>
      </c>
      <c r="AF158">
        <v>4.7430013693454702</v>
      </c>
      <c r="AG158">
        <v>-1.0585228047199999</v>
      </c>
      <c r="AH158">
        <v>19.8371401811734</v>
      </c>
      <c r="AI158">
        <v>92.970861846709894</v>
      </c>
      <c r="AJ158">
        <v>76.553195202062696</v>
      </c>
      <c r="AK158">
        <v>20.4237279428915</v>
      </c>
      <c r="AL158">
        <v>82.019995461717102</v>
      </c>
      <c r="AM158">
        <v>91.488698294078802</v>
      </c>
      <c r="AN158">
        <v>0.99999998441510696</v>
      </c>
    </row>
    <row r="159" spans="1:40" x14ac:dyDescent="0.3">
      <c r="A159" t="str">
        <f>"20200111150725213"</f>
        <v>20200111150725213</v>
      </c>
      <c r="B159" t="str">
        <f>"1578726445201389"</f>
        <v>1578726445201389</v>
      </c>
      <c r="C159" t="s">
        <v>40</v>
      </c>
      <c r="D159">
        <v>4.7920819999999997</v>
      </c>
      <c r="E159">
        <v>0.59711150000000002</v>
      </c>
      <c r="F159" t="s">
        <v>46</v>
      </c>
      <c r="G159">
        <v>-282.32900000000001</v>
      </c>
      <c r="H159">
        <v>4.0559880000000001</v>
      </c>
      <c r="I159">
        <v>345.85180000000003</v>
      </c>
      <c r="J159">
        <v>-409.01119999999997</v>
      </c>
      <c r="K159">
        <v>1.0584720000000001</v>
      </c>
      <c r="L159">
        <v>368.03050000000002</v>
      </c>
      <c r="M159">
        <v>0.99991300000000005</v>
      </c>
      <c r="N159">
        <v>0</v>
      </c>
      <c r="O159">
        <v>1.0195839999999999E-2</v>
      </c>
      <c r="P159">
        <v>0.99076039999999999</v>
      </c>
      <c r="Q159">
        <v>0.13093689999999999</v>
      </c>
      <c r="R159">
        <v>3.5344800000000003E-2</v>
      </c>
      <c r="S159">
        <v>3.0385439999999999</v>
      </c>
      <c r="T159">
        <v>7.1685670000000007E-2</v>
      </c>
      <c r="U159">
        <v>-0.53033450000000004</v>
      </c>
      <c r="V159">
        <v>-2.4893829999999999E-2</v>
      </c>
      <c r="W159">
        <v>0.13929159999999999</v>
      </c>
      <c r="X159">
        <v>0.9899384</v>
      </c>
      <c r="Y159">
        <v>0.1819201</v>
      </c>
      <c r="Z159">
        <v>2.3683139999999998E-3</v>
      </c>
      <c r="AA159">
        <v>0.98331049999999998</v>
      </c>
      <c r="AB159">
        <v>38</v>
      </c>
      <c r="AC159">
        <v>126.682199999999</v>
      </c>
      <c r="AD159">
        <v>2.9975160000000001</v>
      </c>
      <c r="AE159">
        <v>-22.1786999999999</v>
      </c>
      <c r="AF159">
        <v>23.456481606226198</v>
      </c>
      <c r="AG159">
        <v>2.9975160000000001</v>
      </c>
      <c r="AH159">
        <v>126.38082302732001</v>
      </c>
      <c r="AI159">
        <v>88.664112351143302</v>
      </c>
      <c r="AJ159">
        <v>79.485457566584799</v>
      </c>
      <c r="AK159">
        <v>128.57411893758501</v>
      </c>
      <c r="AL159">
        <v>81.993143273486993</v>
      </c>
      <c r="AM159">
        <v>91.440504641135803</v>
      </c>
      <c r="AN159">
        <v>0.99999994419859195</v>
      </c>
    </row>
    <row r="160" spans="1:40" x14ac:dyDescent="0.3">
      <c r="A160" t="str">
        <f>"20200111150725227"</f>
        <v>20200111150725227</v>
      </c>
      <c r="B160" t="str">
        <f>"1578726445220907"</f>
        <v>1578726445220907</v>
      </c>
      <c r="C160" t="s">
        <v>40</v>
      </c>
      <c r="D160">
        <v>4.8235219999999996</v>
      </c>
      <c r="E160">
        <v>0.59344980000000003</v>
      </c>
      <c r="F160" t="s">
        <v>43</v>
      </c>
      <c r="G160">
        <v>-385.08909999999997</v>
      </c>
      <c r="H160" s="1">
        <v>-3.4709999999999999E-6</v>
      </c>
      <c r="I160">
        <v>362.7996</v>
      </c>
      <c r="J160">
        <v>-408.7799</v>
      </c>
      <c r="K160">
        <v>1.0584519999999999</v>
      </c>
      <c r="L160">
        <v>368.03230000000002</v>
      </c>
      <c r="M160">
        <v>0.99992000000000003</v>
      </c>
      <c r="N160">
        <v>0</v>
      </c>
      <c r="O160">
        <v>9.4813450000000004E-3</v>
      </c>
      <c r="P160">
        <v>0.99081750000000002</v>
      </c>
      <c r="Q160">
        <v>0.13072810000000001</v>
      </c>
      <c r="R160">
        <v>3.4509289999999998E-2</v>
      </c>
      <c r="S160">
        <v>3.0698850000000002</v>
      </c>
      <c r="T160">
        <v>-0.13583239999999999</v>
      </c>
      <c r="U160">
        <v>-0.67126459999999999</v>
      </c>
      <c r="V160">
        <v>-2.475716E-2</v>
      </c>
      <c r="W160">
        <v>0.1390924</v>
      </c>
      <c r="X160">
        <v>0.98996989999999996</v>
      </c>
      <c r="Y160">
        <v>0.2226504</v>
      </c>
      <c r="Z160">
        <v>-5.2805090000000001E-3</v>
      </c>
      <c r="AA160">
        <v>0.97488399999999997</v>
      </c>
      <c r="AB160">
        <v>38</v>
      </c>
      <c r="AC160">
        <v>23.690799999999999</v>
      </c>
      <c r="AD160">
        <v>-1.058455471</v>
      </c>
      <c r="AE160">
        <v>-5.2327000000000199</v>
      </c>
      <c r="AF160">
        <v>5.4467267424379404</v>
      </c>
      <c r="AG160">
        <v>-1.058455471</v>
      </c>
      <c r="AH160">
        <v>23.5952123618227</v>
      </c>
      <c r="AI160">
        <v>92.502773636279102</v>
      </c>
      <c r="AJ160">
        <v>77.001515245486004</v>
      </c>
      <c r="AK160">
        <v>24.238836741691799</v>
      </c>
      <c r="AL160">
        <v>82.004669301482494</v>
      </c>
      <c r="AM160">
        <v>91.432553844136294</v>
      </c>
      <c r="AN160">
        <v>1.00000000780751</v>
      </c>
    </row>
    <row r="161" spans="1:40" x14ac:dyDescent="0.3">
      <c r="A161" t="str">
        <f>"20200111150725247"</f>
        <v>20200111150725247</v>
      </c>
      <c r="B161" t="str">
        <f>"1578726445241403"</f>
        <v>1578726445241403</v>
      </c>
      <c r="C161" t="s">
        <v>40</v>
      </c>
      <c r="D161">
        <v>4.7955670000000001</v>
      </c>
      <c r="E161">
        <v>0.59251430000000005</v>
      </c>
      <c r="F161" t="s">
        <v>43</v>
      </c>
      <c r="G161">
        <v>-385.3827</v>
      </c>
      <c r="H161" s="1">
        <v>-3.2867919999999998E-6</v>
      </c>
      <c r="I161">
        <v>363.1164</v>
      </c>
      <c r="J161">
        <v>-408.4366</v>
      </c>
      <c r="K161">
        <v>1.0584180000000001</v>
      </c>
      <c r="L161">
        <v>368.03469999999999</v>
      </c>
      <c r="M161">
        <v>0.99992939999999997</v>
      </c>
      <c r="N161">
        <v>0</v>
      </c>
      <c r="O161">
        <v>8.4158440000000004E-3</v>
      </c>
      <c r="P161">
        <v>0.99087400000000003</v>
      </c>
      <c r="Q161">
        <v>0.13049160000000001</v>
      </c>
      <c r="R161">
        <v>3.377252E-2</v>
      </c>
      <c r="S161">
        <v>3.0686040000000001</v>
      </c>
      <c r="T161">
        <v>-0.13881869999999999</v>
      </c>
      <c r="U161">
        <v>-0.64471440000000002</v>
      </c>
      <c r="V161">
        <v>-2.5065250000000001E-2</v>
      </c>
      <c r="W161">
        <v>0.13887089999999999</v>
      </c>
      <c r="X161">
        <v>0.98999320000000002</v>
      </c>
      <c r="Y161">
        <v>0.2136227</v>
      </c>
      <c r="Z161">
        <v>-5.1539460000000004E-3</v>
      </c>
      <c r="AA161">
        <v>0.97690270000000001</v>
      </c>
      <c r="AB161">
        <v>38</v>
      </c>
      <c r="AC161">
        <v>23.053899999999999</v>
      </c>
      <c r="AD161">
        <v>-1.058421286792</v>
      </c>
      <c r="AE161">
        <v>-4.9182999999999799</v>
      </c>
      <c r="AF161">
        <v>5.1018651125448198</v>
      </c>
      <c r="AG161">
        <v>-1.058421286792</v>
      </c>
      <c r="AH161">
        <v>22.965391320381599</v>
      </c>
      <c r="AI161">
        <v>92.576047395921094</v>
      </c>
      <c r="AJ161">
        <v>77.474889738290102</v>
      </c>
      <c r="AK161">
        <v>23.5490654112896</v>
      </c>
      <c r="AL161">
        <v>82.017484345215607</v>
      </c>
      <c r="AM161">
        <v>91.450339544122897</v>
      </c>
      <c r="AN161">
        <v>0.99999996483530496</v>
      </c>
    </row>
    <row r="162" spans="1:40" x14ac:dyDescent="0.3">
      <c r="A162" t="str">
        <f>"20200111150725259"</f>
        <v>20200111150725259</v>
      </c>
      <c r="B162" t="str">
        <f>"1578726445251163"</f>
        <v>1578726445251163</v>
      </c>
      <c r="C162" t="s">
        <v>40</v>
      </c>
      <c r="D162">
        <v>4.7729379999999999</v>
      </c>
      <c r="E162">
        <v>0.59155199999999997</v>
      </c>
      <c r="F162" t="s">
        <v>43</v>
      </c>
      <c r="G162">
        <v>-386.70830000000001</v>
      </c>
      <c r="H162" s="1">
        <v>-2.7320569999999999E-6</v>
      </c>
      <c r="I162">
        <v>363.50580000000002</v>
      </c>
      <c r="J162">
        <v>-408.20870000000002</v>
      </c>
      <c r="K162">
        <v>1.058403</v>
      </c>
      <c r="L162">
        <v>368.03609999999998</v>
      </c>
      <c r="M162">
        <v>0.99993509999999997</v>
      </c>
      <c r="N162">
        <v>0</v>
      </c>
      <c r="O162">
        <v>7.7066790000000001E-3</v>
      </c>
      <c r="P162">
        <v>0.99089439999999995</v>
      </c>
      <c r="Q162">
        <v>0.13045409999999999</v>
      </c>
      <c r="R162">
        <v>3.3319120000000001E-2</v>
      </c>
      <c r="S162">
        <v>3.069061</v>
      </c>
      <c r="T162">
        <v>-0.14949860000000001</v>
      </c>
      <c r="U162">
        <v>-0.639679</v>
      </c>
      <c r="V162">
        <v>-2.530847E-2</v>
      </c>
      <c r="W162">
        <v>0.13884250000000001</v>
      </c>
      <c r="X162">
        <v>0.98999099999999995</v>
      </c>
      <c r="Y162">
        <v>0.21133299999999999</v>
      </c>
      <c r="Z162">
        <v>-5.4608159999999899E-3</v>
      </c>
      <c r="AA162">
        <v>0.97739889999999996</v>
      </c>
      <c r="AB162">
        <v>38</v>
      </c>
      <c r="AC162">
        <v>21.500399999999999</v>
      </c>
      <c r="AD162">
        <v>-1.0584057320569999</v>
      </c>
      <c r="AE162">
        <v>-4.5302999999999498</v>
      </c>
      <c r="AF162">
        <v>4.6849973389701001</v>
      </c>
      <c r="AG162">
        <v>-1.0584057320569999</v>
      </c>
      <c r="AH162">
        <v>21.4151569343333</v>
      </c>
      <c r="AI162">
        <v>92.764169843976703</v>
      </c>
      <c r="AJ162">
        <v>77.659810315174198</v>
      </c>
      <c r="AK162">
        <v>21.947172238854201</v>
      </c>
      <c r="AL162">
        <v>82.019127498770004</v>
      </c>
      <c r="AM162">
        <v>91.464410030240998</v>
      </c>
      <c r="AN162">
        <v>0.99999996927049495</v>
      </c>
    </row>
    <row r="163" spans="1:40" x14ac:dyDescent="0.3">
      <c r="A163" t="str">
        <f>"20200111150725273"</f>
        <v>20200111150725273</v>
      </c>
      <c r="B163" t="str">
        <f>"1578726445271659"</f>
        <v>1578726445271659</v>
      </c>
      <c r="C163" t="s">
        <v>40</v>
      </c>
      <c r="D163">
        <v>4.7518459999999996</v>
      </c>
      <c r="E163">
        <v>0.58919630000000001</v>
      </c>
      <c r="F163" t="s">
        <v>43</v>
      </c>
      <c r="G163">
        <v>-386.1567</v>
      </c>
      <c r="H163" s="1">
        <v>-2.9258340000000001E-6</v>
      </c>
      <c r="I163">
        <v>363.48309999999998</v>
      </c>
      <c r="J163">
        <v>-407.97109999999998</v>
      </c>
      <c r="K163">
        <v>1.0583849999999999</v>
      </c>
      <c r="L163">
        <v>368.03730000000002</v>
      </c>
      <c r="M163">
        <v>0.99994050000000001</v>
      </c>
      <c r="N163">
        <v>0</v>
      </c>
      <c r="O163">
        <v>6.9678500000000003E-3</v>
      </c>
      <c r="P163">
        <v>0.99087460000000005</v>
      </c>
      <c r="Q163">
        <v>0.13066559999999999</v>
      </c>
      <c r="R163">
        <v>3.3073390000000001E-2</v>
      </c>
      <c r="S163">
        <v>3.0682680000000002</v>
      </c>
      <c r="T163">
        <v>-0.14726400000000001</v>
      </c>
      <c r="U163">
        <v>-0.63348389999999999</v>
      </c>
      <c r="V163">
        <v>-2.578869E-2</v>
      </c>
      <c r="W163">
        <v>0.13906450000000001</v>
      </c>
      <c r="X163">
        <v>0.98994749999999998</v>
      </c>
      <c r="Y163">
        <v>0.2087794</v>
      </c>
      <c r="Z163">
        <v>-5.2860420000000003E-3</v>
      </c>
      <c r="AA163">
        <v>0.9779485</v>
      </c>
      <c r="AB163">
        <v>38</v>
      </c>
      <c r="AC163">
        <v>21.8143999999999</v>
      </c>
      <c r="AD163">
        <v>-1.0583879258339901</v>
      </c>
      <c r="AE163">
        <v>-4.55420000000003</v>
      </c>
      <c r="AF163">
        <v>4.6955027570711101</v>
      </c>
      <c r="AG163">
        <v>-1.0583879258339901</v>
      </c>
      <c r="AH163">
        <v>21.7331135924106</v>
      </c>
      <c r="AI163">
        <v>92.725280048795995</v>
      </c>
      <c r="AJ163">
        <v>77.808469632564794</v>
      </c>
      <c r="AK163">
        <v>22.2597429806329</v>
      </c>
      <c r="AL163">
        <v>82.006283657926204</v>
      </c>
      <c r="AM163">
        <v>91.492249828622903</v>
      </c>
      <c r="AN163">
        <v>1.0000000222242</v>
      </c>
    </row>
    <row r="164" spans="1:40" x14ac:dyDescent="0.3">
      <c r="A164" t="str">
        <f>"20200111150725292"</f>
        <v>20200111150725292</v>
      </c>
      <c r="B164" t="str">
        <f>"1578726445281420"</f>
        <v>1578726445281420</v>
      </c>
      <c r="C164" t="s">
        <v>40</v>
      </c>
      <c r="D164">
        <v>4.8567369999999999</v>
      </c>
      <c r="E164">
        <v>0.58928319999999901</v>
      </c>
      <c r="F164" t="s">
        <v>43</v>
      </c>
      <c r="G164">
        <v>-384.78309999999999</v>
      </c>
      <c r="H164" s="1">
        <v>-3.4198740000000002E-6</v>
      </c>
      <c r="I164">
        <v>363.38310000000001</v>
      </c>
      <c r="J164">
        <v>-407.66539999999998</v>
      </c>
      <c r="K164">
        <v>1.0583629999999999</v>
      </c>
      <c r="L164">
        <v>368.03870000000001</v>
      </c>
      <c r="M164">
        <v>0.99994649999999996</v>
      </c>
      <c r="N164">
        <v>0</v>
      </c>
      <c r="O164">
        <v>6.0181519999999997E-3</v>
      </c>
      <c r="P164">
        <v>0.99086620000000003</v>
      </c>
      <c r="Q164">
        <v>0.13080820000000001</v>
      </c>
      <c r="R164">
        <v>3.2760909999999997E-2</v>
      </c>
      <c r="S164">
        <v>3.066589</v>
      </c>
      <c r="T164">
        <v>-0.13997079999999901</v>
      </c>
      <c r="U164">
        <v>-0.61550899999999997</v>
      </c>
      <c r="V164">
        <v>-2.6410260000000001E-2</v>
      </c>
      <c r="W164">
        <v>0.13921939999999999</v>
      </c>
      <c r="X164">
        <v>0.98990929999999999</v>
      </c>
      <c r="Y164">
        <v>0.20247809999999999</v>
      </c>
      <c r="Z164">
        <v>-4.8448900000000001E-3</v>
      </c>
      <c r="AA164">
        <v>0.9792748</v>
      </c>
      <c r="AB164">
        <v>38</v>
      </c>
      <c r="AC164">
        <v>22.882299999999901</v>
      </c>
      <c r="AD164">
        <v>-1.0583664198739999</v>
      </c>
      <c r="AE164">
        <v>-4.65559999999999</v>
      </c>
      <c r="AF164">
        <v>4.7834033254447403</v>
      </c>
      <c r="AG164">
        <v>-1.0583664198739999</v>
      </c>
      <c r="AH164">
        <v>22.807014768688699</v>
      </c>
      <c r="AI164">
        <v>92.600423510903596</v>
      </c>
      <c r="AJ164">
        <v>78.154826095369003</v>
      </c>
      <c r="AK164">
        <v>23.327258936955701</v>
      </c>
      <c r="AL164">
        <v>81.9973210422541</v>
      </c>
      <c r="AM164">
        <v>91.528258759531695</v>
      </c>
      <c r="AN164">
        <v>0.99999998269805801</v>
      </c>
    </row>
    <row r="165" spans="1:40" x14ac:dyDescent="0.3">
      <c r="A165" t="str">
        <f>"20200111150725313"</f>
        <v>20200111150725313</v>
      </c>
      <c r="B165" t="str">
        <f>"1578726445311676"</f>
        <v>1578726445311676</v>
      </c>
      <c r="C165" t="s">
        <v>40</v>
      </c>
      <c r="D165">
        <v>4.8579800000000004</v>
      </c>
      <c r="E165">
        <v>0.58837349999999999</v>
      </c>
      <c r="F165" t="s">
        <v>43</v>
      </c>
      <c r="G165">
        <v>-385.20850000000002</v>
      </c>
      <c r="H165" s="1">
        <v>-3.238824E-6</v>
      </c>
      <c r="I165">
        <v>363.51949999999999</v>
      </c>
      <c r="J165">
        <v>-407.29689999999999</v>
      </c>
      <c r="K165">
        <v>1.058343</v>
      </c>
      <c r="L165">
        <v>368.04</v>
      </c>
      <c r="M165">
        <v>0.99995259999999997</v>
      </c>
      <c r="N165">
        <v>0</v>
      </c>
      <c r="O165">
        <v>4.874537E-3</v>
      </c>
      <c r="P165">
        <v>0.99088480000000001</v>
      </c>
      <c r="Q165">
        <v>0.13092280000000001</v>
      </c>
      <c r="R165">
        <v>3.173376E-2</v>
      </c>
      <c r="S165">
        <v>3.0671689999999998</v>
      </c>
      <c r="T165">
        <v>-0.1445515</v>
      </c>
      <c r="U165">
        <v>-0.61721800000000004</v>
      </c>
      <c r="V165">
        <v>-2.6509370000000001E-2</v>
      </c>
      <c r="W165">
        <v>0.13934779999999999</v>
      </c>
      <c r="X165">
        <v>0.98988860000000001</v>
      </c>
      <c r="Y165">
        <v>0.20183499999999999</v>
      </c>
      <c r="Z165">
        <v>-4.9337319999999997E-3</v>
      </c>
      <c r="AA165">
        <v>0.97940709999999997</v>
      </c>
      <c r="AB165">
        <v>38</v>
      </c>
      <c r="AC165">
        <v>22.088399999999901</v>
      </c>
      <c r="AD165">
        <v>-1.0583462388239999</v>
      </c>
      <c r="AE165">
        <v>-4.5205000000000197</v>
      </c>
      <c r="AF165">
        <v>4.6179453178551997</v>
      </c>
      <c r="AG165">
        <v>-1.0583462388239999</v>
      </c>
      <c r="AH165">
        <v>22.017586265191198</v>
      </c>
      <c r="AI165">
        <v>92.693471303413105</v>
      </c>
      <c r="AJ165">
        <v>78.154547214278296</v>
      </c>
      <c r="AK165">
        <v>22.521536818455999</v>
      </c>
      <c r="AL165">
        <v>81.989891973484504</v>
      </c>
      <c r="AM165">
        <v>91.534023196273594</v>
      </c>
      <c r="AN165">
        <v>0.99999999823629804</v>
      </c>
    </row>
    <row r="166" spans="1:40" x14ac:dyDescent="0.3">
      <c r="A166" t="str">
        <f>"20200111150725327"</f>
        <v>20200111150725327</v>
      </c>
      <c r="B166" t="str">
        <f>"1578726445321434"</f>
        <v>1578726445321434</v>
      </c>
      <c r="C166" t="s">
        <v>40</v>
      </c>
      <c r="D166">
        <v>4.886609</v>
      </c>
      <c r="E166">
        <v>0.58837349999999999</v>
      </c>
      <c r="F166" t="s">
        <v>43</v>
      </c>
      <c r="G166">
        <v>-386.31369999999998</v>
      </c>
      <c r="H166" s="1">
        <v>-2.7760460000000002E-6</v>
      </c>
      <c r="I166">
        <v>363.84530000000001</v>
      </c>
      <c r="J166">
        <v>-407.07440000000003</v>
      </c>
      <c r="K166">
        <v>1.0583260000000001</v>
      </c>
      <c r="L166">
        <v>368.04059999999998</v>
      </c>
      <c r="M166">
        <v>0.9999557</v>
      </c>
      <c r="N166">
        <v>0</v>
      </c>
      <c r="O166">
        <v>4.1850860000000002E-3</v>
      </c>
      <c r="P166">
        <v>0.99089579999999999</v>
      </c>
      <c r="Q166">
        <v>0.1310354</v>
      </c>
      <c r="R166">
        <v>3.090857E-2</v>
      </c>
      <c r="S166">
        <v>3.0677189999999999</v>
      </c>
      <c r="T166">
        <v>-0.1547279</v>
      </c>
      <c r="U166">
        <v>-0.61325069999999904</v>
      </c>
      <c r="V166">
        <v>-2.6363540000000001E-2</v>
      </c>
      <c r="W166">
        <v>0.13946819999999999</v>
      </c>
      <c r="X166">
        <v>0.98987559999999997</v>
      </c>
      <c r="Y166">
        <v>0.1998789</v>
      </c>
      <c r="Z166">
        <v>-5.1971539999999998E-3</v>
      </c>
      <c r="AA166">
        <v>0.97980679999999998</v>
      </c>
      <c r="AB166">
        <v>38</v>
      </c>
      <c r="AC166">
        <v>20.7607</v>
      </c>
      <c r="AD166">
        <v>-1.0583287760460001</v>
      </c>
      <c r="AE166">
        <v>-4.1952999999999703</v>
      </c>
      <c r="AF166">
        <v>4.2714868277205396</v>
      </c>
      <c r="AG166">
        <v>-1.0583287760460001</v>
      </c>
      <c r="AH166">
        <v>20.691298870502099</v>
      </c>
      <c r="AI166">
        <v>92.867676999835794</v>
      </c>
      <c r="AJ166">
        <v>78.335783962903704</v>
      </c>
      <c r="AK166">
        <v>21.154089639264502</v>
      </c>
      <c r="AL166">
        <v>81.982926027010393</v>
      </c>
      <c r="AM166">
        <v>91.525608446562103</v>
      </c>
      <c r="AN166">
        <v>1.00000005926396</v>
      </c>
    </row>
    <row r="167" spans="1:40" x14ac:dyDescent="0.3">
      <c r="A167" t="str">
        <f>"20200111150725347"</f>
        <v>20200111150725347</v>
      </c>
      <c r="B167" t="str">
        <f>"1578726445340956"</f>
        <v>1578726445340956</v>
      </c>
      <c r="C167" t="s">
        <v>40</v>
      </c>
      <c r="D167">
        <v>4.0432560000000004</v>
      </c>
      <c r="E167">
        <v>0.55643019999999999</v>
      </c>
      <c r="F167" t="s">
        <v>43</v>
      </c>
      <c r="G167">
        <v>-386.07940000000002</v>
      </c>
      <c r="H167" s="1">
        <v>-2.8604749999999999E-6</v>
      </c>
      <c r="I167">
        <v>363.82749999999999</v>
      </c>
      <c r="J167">
        <v>-406.71550000000002</v>
      </c>
      <c r="K167">
        <v>1.0583129999999901</v>
      </c>
      <c r="L167">
        <v>368.04109999999997</v>
      </c>
      <c r="M167">
        <v>0.99995959999999995</v>
      </c>
      <c r="N167">
        <v>0</v>
      </c>
      <c r="O167">
        <v>3.073671E-3</v>
      </c>
      <c r="P167">
        <v>0.99095849999999996</v>
      </c>
      <c r="Q167">
        <v>0.13093260000000001</v>
      </c>
      <c r="R167">
        <v>2.9291939999999999E-2</v>
      </c>
      <c r="S167">
        <v>3.0672000000000001</v>
      </c>
      <c r="T167">
        <v>-0.15461279999999999</v>
      </c>
      <c r="U167">
        <v>-0.61547850000000004</v>
      </c>
      <c r="V167">
        <v>-2.5842770000000001E-2</v>
      </c>
      <c r="W167">
        <v>0.1393761</v>
      </c>
      <c r="X167">
        <v>0.98990230000000001</v>
      </c>
      <c r="Y167">
        <v>0.1995082</v>
      </c>
      <c r="Z167">
        <v>-5.1290900000000002E-3</v>
      </c>
      <c r="AA167">
        <v>0.9798827</v>
      </c>
      <c r="AB167">
        <v>38</v>
      </c>
      <c r="AC167">
        <v>20.636099999999999</v>
      </c>
      <c r="AD167">
        <v>-1.05831586047499</v>
      </c>
      <c r="AE167">
        <v>-4.21359999999998</v>
      </c>
      <c r="AF167">
        <v>4.2662393128523002</v>
      </c>
      <c r="AG167">
        <v>-1.05831586047499</v>
      </c>
      <c r="AH167">
        <v>20.571111799213099</v>
      </c>
      <c r="AI167">
        <v>92.883824780846894</v>
      </c>
      <c r="AJ167">
        <v>78.283531051021896</v>
      </c>
      <c r="AK167">
        <v>21.035481239819202</v>
      </c>
      <c r="AL167">
        <v>81.988254979865303</v>
      </c>
      <c r="AM167">
        <v>91.495445971309906</v>
      </c>
      <c r="AN167">
        <v>1.0000000547788801</v>
      </c>
    </row>
    <row r="168" spans="1:40" x14ac:dyDescent="0.3">
      <c r="A168" t="str">
        <f>"20200111150725370"</f>
        <v>20200111150725370</v>
      </c>
      <c r="B168" t="str">
        <f>"1578726445361453"</f>
        <v>1578726445361453</v>
      </c>
      <c r="C168" t="s">
        <v>40</v>
      </c>
      <c r="D168">
        <v>4.1716249999999997</v>
      </c>
      <c r="E168">
        <v>0.55650319999999998</v>
      </c>
      <c r="F168" t="s">
        <v>43</v>
      </c>
      <c r="G168">
        <v>-382.32819999999998</v>
      </c>
      <c r="H168" s="1">
        <v>-4.0700619999999996E-6</v>
      </c>
      <c r="I168">
        <v>365.12560000000002</v>
      </c>
      <c r="J168">
        <v>-406.32690000000002</v>
      </c>
      <c r="K168">
        <v>1.058303</v>
      </c>
      <c r="L168">
        <v>368.04129999999998</v>
      </c>
      <c r="M168">
        <v>0.99996240000000003</v>
      </c>
      <c r="N168">
        <v>0</v>
      </c>
      <c r="O168">
        <v>1.8710179999999999E-3</v>
      </c>
      <c r="P168">
        <v>0.99096249999999997</v>
      </c>
      <c r="Q168">
        <v>0.13129250000000001</v>
      </c>
      <c r="R168">
        <v>2.749327E-2</v>
      </c>
      <c r="S168">
        <v>3.055634</v>
      </c>
      <c r="T168">
        <v>-0.13260229999999901</v>
      </c>
      <c r="U168">
        <v>-0.36529539999999999</v>
      </c>
      <c r="V168">
        <v>-2.523017E-2</v>
      </c>
      <c r="W168">
        <v>0.1397477</v>
      </c>
      <c r="X168">
        <v>0.98986569999999996</v>
      </c>
      <c r="Y168">
        <v>0.1204471</v>
      </c>
      <c r="Z168">
        <v>-2.6838529999999999E-3</v>
      </c>
      <c r="AA168">
        <v>0.99271609999999999</v>
      </c>
      <c r="AB168">
        <v>38</v>
      </c>
      <c r="AC168">
        <v>23.998699999999999</v>
      </c>
      <c r="AD168">
        <v>-1.0583070700620001</v>
      </c>
      <c r="AE168">
        <v>-2.91569999999995</v>
      </c>
      <c r="AF168">
        <v>2.9549356914332598</v>
      </c>
      <c r="AG168">
        <v>-1.0583070700620001</v>
      </c>
      <c r="AH168">
        <v>23.947310042510601</v>
      </c>
      <c r="AI168">
        <v>92.511412160332597</v>
      </c>
      <c r="AJ168">
        <v>82.965646895248497</v>
      </c>
      <c r="AK168">
        <v>24.152128623936601</v>
      </c>
      <c r="AL168">
        <v>81.9667533425919</v>
      </c>
      <c r="AM168">
        <v>91.460066080178805</v>
      </c>
      <c r="AN168">
        <v>1.000000042585</v>
      </c>
    </row>
    <row r="169" spans="1:40" x14ac:dyDescent="0.3">
      <c r="A169" t="str">
        <f>"20200111150725382"</f>
        <v>20200111150725382</v>
      </c>
      <c r="B169" t="str">
        <f>"1578726445380971"</f>
        <v>1578726445380971</v>
      </c>
      <c r="C169" t="s">
        <v>40</v>
      </c>
      <c r="D169">
        <v>4.9987300000000001</v>
      </c>
      <c r="E169">
        <v>0.55043609999999998</v>
      </c>
      <c r="F169" t="s">
        <v>43</v>
      </c>
      <c r="G169">
        <v>-381.55700000000002</v>
      </c>
      <c r="H169" s="1">
        <v>-4.4172690000000002E-6</v>
      </c>
      <c r="I169">
        <v>365.03320000000002</v>
      </c>
      <c r="J169">
        <v>-406.1035</v>
      </c>
      <c r="K169">
        <v>1.058297</v>
      </c>
      <c r="L169">
        <v>368.0412</v>
      </c>
      <c r="M169">
        <v>0.99996350000000001</v>
      </c>
      <c r="N169">
        <v>0</v>
      </c>
      <c r="O169">
        <v>1.1797159999999999E-3</v>
      </c>
      <c r="P169">
        <v>0.9909578</v>
      </c>
      <c r="Q169">
        <v>0.13149849999999999</v>
      </c>
      <c r="R169">
        <v>2.6657739999999999E-2</v>
      </c>
      <c r="S169">
        <v>3.0549930000000001</v>
      </c>
      <c r="T169">
        <v>-0.13052639999999999</v>
      </c>
      <c r="U169">
        <v>-0.3710022</v>
      </c>
      <c r="V169">
        <v>-2.507647E-2</v>
      </c>
      <c r="W169">
        <v>0.13996020000000001</v>
      </c>
      <c r="X169">
        <v>0.98983960000000004</v>
      </c>
      <c r="Y169">
        <v>0.12161619999999999</v>
      </c>
      <c r="Z169">
        <v>-2.6375859999999999E-3</v>
      </c>
      <c r="AA169">
        <v>0.9925737</v>
      </c>
      <c r="AB169">
        <v>38</v>
      </c>
      <c r="AC169">
        <v>24.546500000000002</v>
      </c>
      <c r="AD169">
        <v>-1.058301417269</v>
      </c>
      <c r="AE169">
        <v>-3.00799999999998</v>
      </c>
      <c r="AF169">
        <v>3.0314053416559301</v>
      </c>
      <c r="AG169">
        <v>-1.058301417269</v>
      </c>
      <c r="AH169">
        <v>24.498070177269401</v>
      </c>
      <c r="AI169">
        <v>92.454904271620407</v>
      </c>
      <c r="AJ169">
        <v>82.946044098104394</v>
      </c>
      <c r="AK169">
        <v>24.707587147385102</v>
      </c>
      <c r="AL169">
        <v>81.954457288387403</v>
      </c>
      <c r="AM169">
        <v>91.451213547837398</v>
      </c>
      <c r="AN169">
        <v>1.0000000603299199</v>
      </c>
    </row>
    <row r="170" spans="1:40" x14ac:dyDescent="0.3">
      <c r="A170" t="str">
        <f>"20200111150725403"</f>
        <v>20200111150725403</v>
      </c>
      <c r="B170" t="str">
        <f>"1578726445401467"</f>
        <v>1578726445401467</v>
      </c>
      <c r="C170" t="s">
        <v>40</v>
      </c>
      <c r="D170">
        <v>5.0158509999999996</v>
      </c>
      <c r="E170">
        <v>0.54974029999999996</v>
      </c>
      <c r="F170" t="s">
        <v>47</v>
      </c>
      <c r="G170">
        <v>-168.8065</v>
      </c>
      <c r="H170">
        <v>5.5664220000000002</v>
      </c>
      <c r="I170">
        <v>342.64389999999997</v>
      </c>
      <c r="J170">
        <v>-405.76400000000001</v>
      </c>
      <c r="K170">
        <v>1.0582879999999999</v>
      </c>
      <c r="L170">
        <v>368.04070000000002</v>
      </c>
      <c r="M170">
        <v>0.99996410000000002</v>
      </c>
      <c r="N170">
        <v>0</v>
      </c>
      <c r="O170">
        <v>1.2931290000000001E-4</v>
      </c>
      <c r="P170">
        <v>0.99092119999999995</v>
      </c>
      <c r="Q170">
        <v>0.1320527</v>
      </c>
      <c r="R170">
        <v>2.5246660000000001E-2</v>
      </c>
      <c r="S170">
        <v>3.0284420000000001</v>
      </c>
      <c r="T170">
        <v>5.7533859999999999E-2</v>
      </c>
      <c r="U170">
        <v>-0.3241272</v>
      </c>
      <c r="V170">
        <v>-2.4701609999999999E-2</v>
      </c>
      <c r="W170">
        <v>0.14052390000000001</v>
      </c>
      <c r="X170">
        <v>0.98976909999999896</v>
      </c>
      <c r="Y170">
        <v>0.1065295</v>
      </c>
      <c r="Z170">
        <v>1.011393E-3</v>
      </c>
      <c r="AA170">
        <v>0.994309</v>
      </c>
      <c r="AB170">
        <v>38</v>
      </c>
      <c r="AC170">
        <v>236.95750000000001</v>
      </c>
      <c r="AD170">
        <v>4.5081340000000001</v>
      </c>
      <c r="AE170">
        <v>-25.396799999999999</v>
      </c>
      <c r="AF170">
        <v>25.4183467764345</v>
      </c>
      <c r="AG170">
        <v>4.5081340000000001</v>
      </c>
      <c r="AH170">
        <v>236.86945173771099</v>
      </c>
      <c r="AI170">
        <v>88.915892554973993</v>
      </c>
      <c r="AJ170">
        <v>83.875055991352895</v>
      </c>
      <c r="AK170">
        <v>238.272014285213</v>
      </c>
      <c r="AL170">
        <v>81.921836822790993</v>
      </c>
      <c r="AM170">
        <v>91.429630679499397</v>
      </c>
      <c r="AN170">
        <v>1.0000000036612999</v>
      </c>
    </row>
    <row r="171" spans="1:40" x14ac:dyDescent="0.3">
      <c r="A171" t="str">
        <f>"20200111150725425"</f>
        <v>20200111150725425</v>
      </c>
      <c r="B171" t="str">
        <f>"1578726445420987"</f>
        <v>1578726445420987</v>
      </c>
      <c r="C171" t="s">
        <v>40</v>
      </c>
      <c r="D171">
        <v>4.9862789999999997</v>
      </c>
      <c r="E171">
        <v>0.55010400000000004</v>
      </c>
      <c r="F171" t="s">
        <v>47</v>
      </c>
      <c r="G171">
        <v>-167.697</v>
      </c>
      <c r="H171">
        <v>6.7658449999999997</v>
      </c>
      <c r="I171">
        <v>342.64389999999997</v>
      </c>
      <c r="J171">
        <v>-405.36720000000003</v>
      </c>
      <c r="K171">
        <v>1.0582780000000001</v>
      </c>
      <c r="L171">
        <v>368.03980000000001</v>
      </c>
      <c r="M171">
        <v>0.99996339999999995</v>
      </c>
      <c r="N171">
        <v>0</v>
      </c>
      <c r="O171">
        <v>-1.0993719999999999E-3</v>
      </c>
      <c r="P171">
        <v>0.99093580000000003</v>
      </c>
      <c r="Q171">
        <v>0.1322284</v>
      </c>
      <c r="R171">
        <v>2.3703640000000002E-2</v>
      </c>
      <c r="S171">
        <v>3.0260310000000001</v>
      </c>
      <c r="T171">
        <v>7.2547909999999993E-2</v>
      </c>
      <c r="U171">
        <v>-0.32281490000000002</v>
      </c>
      <c r="V171">
        <v>-2.437247E-2</v>
      </c>
      <c r="W171">
        <v>0.1407109</v>
      </c>
      <c r="X171">
        <v>0.98975069999999998</v>
      </c>
      <c r="Y171">
        <v>0.1049546</v>
      </c>
      <c r="Z171">
        <v>1.2281060000000001E-3</v>
      </c>
      <c r="AA171">
        <v>0.99447629999999998</v>
      </c>
      <c r="AB171">
        <v>38</v>
      </c>
      <c r="AC171">
        <v>237.67019999999999</v>
      </c>
      <c r="AD171">
        <v>5.7075669999999903</v>
      </c>
      <c r="AE171">
        <v>-25.395900000000001</v>
      </c>
      <c r="AF171">
        <v>25.120263879579301</v>
      </c>
      <c r="AG171">
        <v>5.7075669999999903</v>
      </c>
      <c r="AH171">
        <v>237.56252037601899</v>
      </c>
      <c r="AI171">
        <v>88.631330489355506</v>
      </c>
      <c r="AJ171">
        <v>83.963877638833495</v>
      </c>
      <c r="AK171">
        <v>238.955131909415</v>
      </c>
      <c r="AL171">
        <v>81.911015049514901</v>
      </c>
      <c r="AM171">
        <v>91.410615330288607</v>
      </c>
      <c r="AN171">
        <v>1.0000000114116001</v>
      </c>
    </row>
    <row r="172" spans="1:40" x14ac:dyDescent="0.3">
      <c r="A172" t="str">
        <f>"20200111150725452"</f>
        <v>20200111150725452</v>
      </c>
      <c r="B172" t="str">
        <f>"1578726445441483"</f>
        <v>1578726445441483</v>
      </c>
      <c r="C172" t="s">
        <v>40</v>
      </c>
      <c r="D172">
        <v>4.9618779999999996</v>
      </c>
      <c r="E172">
        <v>0.5499366</v>
      </c>
      <c r="F172" t="s">
        <v>47</v>
      </c>
      <c r="G172">
        <v>-168.98410000000001</v>
      </c>
      <c r="H172">
        <v>6.4624860000000002</v>
      </c>
      <c r="I172">
        <v>342.25060000000002</v>
      </c>
      <c r="J172">
        <v>-404.92189999999999</v>
      </c>
      <c r="K172">
        <v>1.058265</v>
      </c>
      <c r="L172">
        <v>368.03809999999999</v>
      </c>
      <c r="M172">
        <v>0.99996079999999998</v>
      </c>
      <c r="N172">
        <v>0</v>
      </c>
      <c r="O172">
        <v>-2.4776070000000002E-3</v>
      </c>
      <c r="P172">
        <v>0.99098969999999997</v>
      </c>
      <c r="Q172">
        <v>0.13205259999999999</v>
      </c>
      <c r="R172">
        <v>2.2399829999999999E-2</v>
      </c>
      <c r="S172">
        <v>3.026062</v>
      </c>
      <c r="T172">
        <v>6.9182160000000006E-2</v>
      </c>
      <c r="U172">
        <v>-0.33013920000000002</v>
      </c>
      <c r="V172">
        <v>-2.4432499999999999E-2</v>
      </c>
      <c r="W172">
        <v>0.14055039999999999</v>
      </c>
      <c r="X172">
        <v>0.98977199999999999</v>
      </c>
      <c r="Y172">
        <v>0.105965</v>
      </c>
      <c r="Z172">
        <v>1.151083E-3</v>
      </c>
      <c r="AA172">
        <v>0.99436919999999995</v>
      </c>
      <c r="AB172">
        <v>39</v>
      </c>
      <c r="AC172">
        <v>235.93780000000001</v>
      </c>
      <c r="AD172">
        <v>5.4042209999999997</v>
      </c>
      <c r="AE172">
        <v>-25.787499999999898</v>
      </c>
      <c r="AF172">
        <v>25.1897787302868</v>
      </c>
      <c r="AG172">
        <v>5.4042209999999997</v>
      </c>
      <c r="AH172">
        <v>235.87867614020399</v>
      </c>
      <c r="AI172">
        <v>88.694942872447299</v>
      </c>
      <c r="AJ172">
        <v>83.904414127751906</v>
      </c>
      <c r="AK172">
        <v>237.28143714743601</v>
      </c>
      <c r="AL172">
        <v>81.920303129100603</v>
      </c>
      <c r="AM172">
        <v>91.414057882978</v>
      </c>
      <c r="AN172">
        <v>0.99999998699020398</v>
      </c>
    </row>
    <row r="173" spans="1:40" x14ac:dyDescent="0.3">
      <c r="A173" t="str">
        <f>"20200111150725471"</f>
        <v>20200111150725471</v>
      </c>
      <c r="B173" t="str">
        <f>"1578726445461002"</f>
        <v>1578726445461002</v>
      </c>
      <c r="C173" t="s">
        <v>40</v>
      </c>
      <c r="D173">
        <v>4.9423719999999998</v>
      </c>
      <c r="E173">
        <v>0.54955949999999998</v>
      </c>
      <c r="F173" t="s">
        <v>47</v>
      </c>
      <c r="G173">
        <v>-168.98400000000001</v>
      </c>
      <c r="H173">
        <v>6.0127069999999998</v>
      </c>
      <c r="I173">
        <v>342.11660000000001</v>
      </c>
      <c r="J173">
        <v>-404.57600000000002</v>
      </c>
      <c r="K173">
        <v>1.058252</v>
      </c>
      <c r="L173">
        <v>368.03629999999998</v>
      </c>
      <c r="M173">
        <v>0.9999574</v>
      </c>
      <c r="N173">
        <v>0</v>
      </c>
      <c r="O173">
        <v>-3.5477540000000002E-3</v>
      </c>
      <c r="P173">
        <v>0.99103189999999997</v>
      </c>
      <c r="Q173">
        <v>0.13189579999999901</v>
      </c>
      <c r="R173">
        <v>2.1430419999999999E-2</v>
      </c>
      <c r="S173">
        <v>3.0263369999999998</v>
      </c>
      <c r="T173">
        <v>6.3549880000000003E-2</v>
      </c>
      <c r="U173">
        <v>-0.33248899999999998</v>
      </c>
      <c r="V173">
        <v>-2.4522209999999999E-2</v>
      </c>
      <c r="W173">
        <v>0.14040449999999999</v>
      </c>
      <c r="X173">
        <v>0.98979050000000002</v>
      </c>
      <c r="Y173">
        <v>0.1056585</v>
      </c>
      <c r="Z173">
        <v>1.031644E-3</v>
      </c>
      <c r="AA173">
        <v>0.99440189999999995</v>
      </c>
      <c r="AB173">
        <v>39</v>
      </c>
      <c r="AC173">
        <v>235.59200000000001</v>
      </c>
      <c r="AD173">
        <v>4.9544549999999896</v>
      </c>
      <c r="AE173">
        <v>-25.919699999999899</v>
      </c>
      <c r="AF173">
        <v>25.072728186454999</v>
      </c>
      <c r="AG173">
        <v>4.9544549999999896</v>
      </c>
      <c r="AH173">
        <v>235.579537574688</v>
      </c>
      <c r="AI173">
        <v>88.801958724944797</v>
      </c>
      <c r="AJ173">
        <v>83.924880114745704</v>
      </c>
      <c r="AK173">
        <v>236.961825716639</v>
      </c>
      <c r="AL173">
        <v>81.928746397679404</v>
      </c>
      <c r="AM173">
        <v>91.419221312413697</v>
      </c>
      <c r="AN173">
        <v>0.999999998146892</v>
      </c>
    </row>
    <row r="174" spans="1:40" x14ac:dyDescent="0.3">
      <c r="A174" t="str">
        <f>"20200111150726320"</f>
        <v>20200111150726320</v>
      </c>
      <c r="B174" t="str">
        <f>"1578726446310913"</f>
        <v>1578726446310913</v>
      </c>
      <c r="C174" t="s">
        <v>40</v>
      </c>
      <c r="D174">
        <v>5.111523</v>
      </c>
      <c r="E174">
        <v>0.5416126</v>
      </c>
      <c r="F174" t="s">
        <v>47</v>
      </c>
      <c r="G174">
        <v>-168.98400000000001</v>
      </c>
      <c r="H174">
        <v>6.0029199999999996</v>
      </c>
      <c r="I174">
        <v>342.15140000000002</v>
      </c>
      <c r="J174">
        <v>-389.98419999999999</v>
      </c>
      <c r="K174">
        <v>1.107593</v>
      </c>
      <c r="L174">
        <v>367.77260000000001</v>
      </c>
      <c r="M174">
        <v>0.9996408</v>
      </c>
      <c r="N174">
        <v>0</v>
      </c>
      <c r="O174">
        <v>-2.4746219999999999E-2</v>
      </c>
      <c r="P174">
        <v>0.99188319999999996</v>
      </c>
      <c r="Q174">
        <v>0.1269912</v>
      </c>
      <c r="R174">
        <v>6.409494E-3</v>
      </c>
      <c r="S174">
        <v>3.0258790000000002</v>
      </c>
      <c r="T174">
        <v>6.3508029999999993E-2</v>
      </c>
      <c r="U174">
        <v>-0.33245849999999999</v>
      </c>
      <c r="V174">
        <v>-3.083967E-2</v>
      </c>
      <c r="W174">
        <v>0.137217899999999</v>
      </c>
      <c r="X174">
        <v>0.99006070000000002</v>
      </c>
      <c r="Y174">
        <v>8.4568539999999998E-2</v>
      </c>
      <c r="Z174">
        <v>3.6713700000000002E-4</v>
      </c>
      <c r="AA174">
        <v>0.99641760000000001</v>
      </c>
      <c r="AB174">
        <v>38</v>
      </c>
      <c r="AC174">
        <v>221.00020000000001</v>
      </c>
      <c r="AD174">
        <v>4.895327</v>
      </c>
      <c r="AE174">
        <v>-25.621199999999899</v>
      </c>
      <c r="AF174">
        <v>20.134395845965201</v>
      </c>
      <c r="AG174">
        <v>4.895327</v>
      </c>
      <c r="AH174">
        <v>221.45935682400599</v>
      </c>
      <c r="AI174">
        <v>88.738890989119596</v>
      </c>
      <c r="AJ174">
        <v>84.805127935707702</v>
      </c>
      <c r="AK174">
        <v>222.426628008926</v>
      </c>
      <c r="AL174">
        <v>82.113110184194696</v>
      </c>
      <c r="AM174">
        <v>91.784144929022204</v>
      </c>
      <c r="AN174">
        <v>1.0000000135053</v>
      </c>
    </row>
    <row r="175" spans="1:40" x14ac:dyDescent="0.3">
      <c r="A175" t="str">
        <f>"20200111150726435"</f>
        <v>20200111150726435</v>
      </c>
      <c r="B175" t="str">
        <f>"1578726446430962"</f>
        <v>1578726446430962</v>
      </c>
      <c r="C175" t="s">
        <v>40</v>
      </c>
      <c r="D175">
        <v>5.4492699999999896</v>
      </c>
      <c r="E175">
        <v>0.55321869999999995</v>
      </c>
      <c r="F175" t="s">
        <v>43</v>
      </c>
      <c r="G175">
        <v>-354.95679999999999</v>
      </c>
      <c r="H175" s="1">
        <v>-3.436291E-6</v>
      </c>
      <c r="I175">
        <v>363.09930000000003</v>
      </c>
      <c r="J175">
        <v>-387.99209999999999</v>
      </c>
      <c r="K175">
        <v>1.1085750000000001</v>
      </c>
      <c r="L175">
        <v>367.72050000000002</v>
      </c>
      <c r="M175">
        <v>0.99960349999999998</v>
      </c>
      <c r="N175">
        <v>0</v>
      </c>
      <c r="O175">
        <v>-2.648986E-2</v>
      </c>
      <c r="P175">
        <v>0.99176249999999999</v>
      </c>
      <c r="Q175">
        <v>0.12781969999999901</v>
      </c>
      <c r="R175">
        <v>8.3405509999999999E-3</v>
      </c>
      <c r="S175">
        <v>3.0414430000000001</v>
      </c>
      <c r="T175">
        <v>-0.1012937</v>
      </c>
      <c r="U175">
        <v>-0.42288209999999998</v>
      </c>
      <c r="V175">
        <v>-3.449021E-2</v>
      </c>
      <c r="W175">
        <v>0.13731189999999999</v>
      </c>
      <c r="X175">
        <v>0.98992720000000001</v>
      </c>
      <c r="Y175">
        <v>0.11138199999999999</v>
      </c>
      <c r="Z175">
        <v>-9.6804859999999999E-4</v>
      </c>
      <c r="AA175">
        <v>0.99377720000000003</v>
      </c>
      <c r="AB175">
        <v>39</v>
      </c>
      <c r="AC175">
        <v>33.035299999999999</v>
      </c>
      <c r="AD175">
        <v>-1.1085784362910001</v>
      </c>
      <c r="AE175">
        <v>-4.6211999999999804</v>
      </c>
      <c r="AF175">
        <v>3.74030672697404</v>
      </c>
      <c r="AG175">
        <v>-1.1085784362910001</v>
      </c>
      <c r="AH175">
        <v>33.109557757398598</v>
      </c>
      <c r="AI175">
        <v>91.905556730193297</v>
      </c>
      <c r="AJ175">
        <v>83.554758921261495</v>
      </c>
      <c r="AK175">
        <v>33.338591083784102</v>
      </c>
      <c r="AL175">
        <v>82.107672781808205</v>
      </c>
      <c r="AM175">
        <v>91.995444141497401</v>
      </c>
      <c r="AN175">
        <v>0.99999999688364705</v>
      </c>
    </row>
    <row r="176" spans="1:40" x14ac:dyDescent="0.3">
      <c r="A176" t="str">
        <f>"20200111150726453"</f>
        <v>20200111150726453</v>
      </c>
      <c r="B176" t="str">
        <f>"1578726446451457"</f>
        <v>1578726446451457</v>
      </c>
      <c r="C176" t="s">
        <v>40</v>
      </c>
      <c r="D176">
        <v>5.9108640000000001</v>
      </c>
      <c r="E176">
        <v>0.54868490000000003</v>
      </c>
      <c r="F176" t="s">
        <v>43</v>
      </c>
      <c r="G176">
        <v>-344.51310000000001</v>
      </c>
      <c r="H176" s="1">
        <v>-4.141128E-6</v>
      </c>
      <c r="I176">
        <v>361.91230000000002</v>
      </c>
      <c r="J176">
        <v>-387.68529999999998</v>
      </c>
      <c r="K176">
        <v>1.108643</v>
      </c>
      <c r="L176">
        <v>367.71210000000002</v>
      </c>
      <c r="M176">
        <v>0.99959790000000004</v>
      </c>
      <c r="N176">
        <v>0</v>
      </c>
      <c r="O176">
        <v>-2.6760740000000002E-2</v>
      </c>
      <c r="P176">
        <v>0.9917205</v>
      </c>
      <c r="Q176">
        <v>0.12814880000000001</v>
      </c>
      <c r="R176">
        <v>8.2860239999999995E-3</v>
      </c>
      <c r="S176">
        <v>3.0383610000000001</v>
      </c>
      <c r="T176">
        <v>-7.7468750000000003E-2</v>
      </c>
      <c r="U176">
        <v>-0.40588380000000002</v>
      </c>
      <c r="V176">
        <v>-3.4702730000000001E-2</v>
      </c>
      <c r="W176">
        <v>0.13748199999999999</v>
      </c>
      <c r="X176">
        <v>0.9898962</v>
      </c>
      <c r="Y176">
        <v>0.1058113</v>
      </c>
      <c r="Z176">
        <v>-6.6389270000000004E-4</v>
      </c>
      <c r="AA176">
        <v>0.99438599999999999</v>
      </c>
      <c r="AB176">
        <v>39</v>
      </c>
      <c r="AC176">
        <v>43.172199999999897</v>
      </c>
      <c r="AD176">
        <v>-1.1086471411279999</v>
      </c>
      <c r="AE176">
        <v>-5.7998000000000003</v>
      </c>
      <c r="AF176">
        <v>4.6393467628489899</v>
      </c>
      <c r="AG176">
        <v>-1.1086471411279999</v>
      </c>
      <c r="AH176">
        <v>43.283913685422299</v>
      </c>
      <c r="AI176">
        <v>91.458865066544107</v>
      </c>
      <c r="AJ176">
        <v>83.882160967108007</v>
      </c>
      <c r="AK176">
        <v>43.545950681970098</v>
      </c>
      <c r="AL176">
        <v>82.097833743619802</v>
      </c>
      <c r="AM176">
        <v>92.007792358048505</v>
      </c>
      <c r="AN176">
        <v>1.00000003328394</v>
      </c>
    </row>
    <row r="177" spans="1:40" x14ac:dyDescent="0.3">
      <c r="A177" t="str">
        <f>"20200111150726468"</f>
        <v>20200111150726468</v>
      </c>
      <c r="B177" t="str">
        <f>"1578726446461217"</f>
        <v>1578726446461217</v>
      </c>
      <c r="C177" t="s">
        <v>40</v>
      </c>
      <c r="D177">
        <v>4.6416510000000004</v>
      </c>
      <c r="E177">
        <v>0.54787540000000001</v>
      </c>
      <c r="F177" t="s">
        <v>43</v>
      </c>
      <c r="G177">
        <v>-341.31560000000002</v>
      </c>
      <c r="H177" s="1">
        <v>-5.4256629999999899E-6</v>
      </c>
      <c r="I177">
        <v>362.06209999999999</v>
      </c>
      <c r="J177">
        <v>-387.43009999999998</v>
      </c>
      <c r="K177">
        <v>1.108692</v>
      </c>
      <c r="L177">
        <v>367.70510000000002</v>
      </c>
      <c r="M177">
        <v>0.99959310000000001</v>
      </c>
      <c r="N177">
        <v>0</v>
      </c>
      <c r="O177">
        <v>-2.6985990000000001E-2</v>
      </c>
      <c r="P177">
        <v>0.9917203</v>
      </c>
      <c r="Q177">
        <v>0.12815090000000001</v>
      </c>
      <c r="R177">
        <v>8.2708050000000009E-3</v>
      </c>
      <c r="S177">
        <v>3.0375369999999999</v>
      </c>
      <c r="T177">
        <v>-7.2624090000000002E-2</v>
      </c>
      <c r="U177">
        <v>-0.37011719999999998</v>
      </c>
      <c r="V177">
        <v>-3.4910570000000002E-2</v>
      </c>
      <c r="W177">
        <v>0.1373549</v>
      </c>
      <c r="X177">
        <v>0.98990650000000002</v>
      </c>
      <c r="Y177">
        <v>9.4101290000000004E-2</v>
      </c>
      <c r="Z177">
        <v>-4.781823E-4</v>
      </c>
      <c r="AA177">
        <v>0.99556250000000002</v>
      </c>
      <c r="AB177">
        <v>39</v>
      </c>
      <c r="AC177">
        <v>46.1144999999999</v>
      </c>
      <c r="AD177">
        <v>-1.108697425663</v>
      </c>
      <c r="AE177">
        <v>-5.6430000000000202</v>
      </c>
      <c r="AF177">
        <v>4.3939437750955799</v>
      </c>
      <c r="AG177">
        <v>-1.108697425663</v>
      </c>
      <c r="AH177">
        <v>46.2236681356082</v>
      </c>
      <c r="AI177">
        <v>91.367840313365207</v>
      </c>
      <c r="AJ177">
        <v>84.569876484641696</v>
      </c>
      <c r="AK177">
        <v>46.445273686255902</v>
      </c>
      <c r="AL177">
        <v>82.105185501616006</v>
      </c>
      <c r="AM177">
        <v>92.019786406881394</v>
      </c>
      <c r="AN177">
        <v>0.99999999759699199</v>
      </c>
    </row>
    <row r="178" spans="1:40" x14ac:dyDescent="0.3">
      <c r="A178" t="str">
        <f>"20200111150726546"</f>
        <v>20200111150726546</v>
      </c>
      <c r="B178" t="str">
        <f>"1578726446541249"</f>
        <v>1578726446541249</v>
      </c>
      <c r="C178" t="s">
        <v>40</v>
      </c>
      <c r="D178">
        <v>5.4299369999999998</v>
      </c>
      <c r="E178">
        <v>0.54566999999999999</v>
      </c>
      <c r="F178" t="s">
        <v>43</v>
      </c>
      <c r="G178">
        <v>-347.37909999999999</v>
      </c>
      <c r="H178" s="1">
        <v>-2.7755060000000001E-6</v>
      </c>
      <c r="I178">
        <v>362.90839999999997</v>
      </c>
      <c r="J178">
        <v>-386.07549999999998</v>
      </c>
      <c r="K178">
        <v>1.108876</v>
      </c>
      <c r="L178">
        <v>367.6671</v>
      </c>
      <c r="M178">
        <v>0.99956520000000004</v>
      </c>
      <c r="N178">
        <v>0</v>
      </c>
      <c r="O178">
        <v>-2.8177500000000001E-2</v>
      </c>
      <c r="P178">
        <v>0.99150780000000005</v>
      </c>
      <c r="Q178">
        <v>0.12986099999999901</v>
      </c>
      <c r="R178">
        <v>6.980483E-3</v>
      </c>
      <c r="S178">
        <v>3.03891</v>
      </c>
      <c r="T178">
        <v>-8.4123370000000003E-2</v>
      </c>
      <c r="U178">
        <v>-0.36395260000000001</v>
      </c>
      <c r="V178">
        <v>-3.479256E-2</v>
      </c>
      <c r="W178">
        <v>0.13851250000000001</v>
      </c>
      <c r="X178">
        <v>0.9897494</v>
      </c>
      <c r="Y178">
        <v>9.0864929999999997E-2</v>
      </c>
      <c r="Z178">
        <v>-4.7623700000000001E-4</v>
      </c>
      <c r="AA178">
        <v>0.9958631</v>
      </c>
      <c r="AB178">
        <v>39</v>
      </c>
      <c r="AC178">
        <v>38.696399999999898</v>
      </c>
      <c r="AD178">
        <v>-1.1088787755059999</v>
      </c>
      <c r="AE178">
        <v>-4.7587000000000304</v>
      </c>
      <c r="AF178">
        <v>3.6634379570834201</v>
      </c>
      <c r="AG178">
        <v>-1.1088787755059999</v>
      </c>
      <c r="AH178">
        <v>38.783754040638399</v>
      </c>
      <c r="AI178">
        <v>91.630462224605907</v>
      </c>
      <c r="AJ178">
        <v>84.603962522000501</v>
      </c>
      <c r="AK178">
        <v>38.972169137589702</v>
      </c>
      <c r="AL178">
        <v>82.038220267883403</v>
      </c>
      <c r="AM178">
        <v>92.013283694123501</v>
      </c>
      <c r="AN178">
        <v>1.00000005484398</v>
      </c>
    </row>
    <row r="179" spans="1:40" x14ac:dyDescent="0.3">
      <c r="A179" t="str">
        <f>"20200111150726565"</f>
        <v>20200111150726565</v>
      </c>
      <c r="B179" t="str">
        <f>"1578726446560769"</f>
        <v>1578726446560769</v>
      </c>
      <c r="C179" t="s">
        <v>40</v>
      </c>
      <c r="D179">
        <v>5.9652649999999996</v>
      </c>
      <c r="E179">
        <v>0.49758950000000002</v>
      </c>
      <c r="F179" t="s">
        <v>43</v>
      </c>
      <c r="G179">
        <v>-331.851</v>
      </c>
      <c r="H179" s="1">
        <v>-4.9380159999999996E-6</v>
      </c>
      <c r="I179">
        <v>361.42770000000002</v>
      </c>
      <c r="J179">
        <v>-385.74430000000001</v>
      </c>
      <c r="K179">
        <v>1.1089020000000001</v>
      </c>
      <c r="L179">
        <v>367.65750000000003</v>
      </c>
      <c r="M179">
        <v>0.99955769999999999</v>
      </c>
      <c r="N179">
        <v>0</v>
      </c>
      <c r="O179">
        <v>-2.8467119999999999E-2</v>
      </c>
      <c r="P179">
        <v>0.99151549999999999</v>
      </c>
      <c r="Q179">
        <v>0.129772</v>
      </c>
      <c r="R179">
        <v>7.5032950000000001E-3</v>
      </c>
      <c r="S179">
        <v>3.0362849999999999</v>
      </c>
      <c r="T179">
        <v>-6.2091349999999997E-2</v>
      </c>
      <c r="U179">
        <v>-0.34936519999999999</v>
      </c>
      <c r="V179">
        <v>-3.5601899999999999E-2</v>
      </c>
      <c r="W179">
        <v>0.1383325</v>
      </c>
      <c r="X179">
        <v>0.98974569999999995</v>
      </c>
      <c r="Y179">
        <v>8.5969420000000005E-2</v>
      </c>
      <c r="Z179">
        <v>-2.9614860000000003E-4</v>
      </c>
      <c r="AA179">
        <v>0.99629769999999895</v>
      </c>
      <c r="AB179">
        <v>39</v>
      </c>
      <c r="AC179">
        <v>53.893300000000004</v>
      </c>
      <c r="AD179">
        <v>-1.1089069380159999</v>
      </c>
      <c r="AE179">
        <v>-6.2298000000000098</v>
      </c>
      <c r="AF179">
        <v>4.6910713577337599</v>
      </c>
      <c r="AG179">
        <v>-1.1089069380159999</v>
      </c>
      <c r="AH179">
        <v>54.026236530263503</v>
      </c>
      <c r="AI179">
        <v>91.1714438744131</v>
      </c>
      <c r="AJ179">
        <v>85.037482276658395</v>
      </c>
      <c r="AK179">
        <v>54.2408523043703</v>
      </c>
      <c r="AL179">
        <v>82.048633022504703</v>
      </c>
      <c r="AM179">
        <v>92.060084237683895</v>
      </c>
      <c r="AN179">
        <v>0.99999996325417395</v>
      </c>
    </row>
    <row r="180" spans="1:40" x14ac:dyDescent="0.3">
      <c r="A180" t="str">
        <f>"20200111150726578"</f>
        <v>20200111150726578</v>
      </c>
      <c r="B180" t="str">
        <f>"1578726446571505"</f>
        <v>1578726446571505</v>
      </c>
      <c r="C180" t="s">
        <v>40</v>
      </c>
      <c r="D180">
        <v>9.0651159999999997</v>
      </c>
      <c r="E180">
        <v>0.49758950000000002</v>
      </c>
      <c r="F180" t="s">
        <v>42</v>
      </c>
      <c r="G180">
        <v>-158.19499999999999</v>
      </c>
      <c r="H180">
        <v>3.2331569999999998</v>
      </c>
      <c r="I180">
        <v>370.4314</v>
      </c>
      <c r="J180">
        <v>-385.49059999999997</v>
      </c>
      <c r="K180">
        <v>1.1089199999999999</v>
      </c>
      <c r="L180">
        <v>367.65010000000001</v>
      </c>
      <c r="M180">
        <v>0.999552</v>
      </c>
      <c r="N180">
        <v>0</v>
      </c>
      <c r="O180">
        <v>-2.8688100000000001E-2</v>
      </c>
      <c r="P180">
        <v>0.99151690000000003</v>
      </c>
      <c r="Q180">
        <v>0.12974810000000001</v>
      </c>
      <c r="R180">
        <v>7.7721869999999998E-3</v>
      </c>
      <c r="S180">
        <v>3.0216980000000002</v>
      </c>
      <c r="T180">
        <v>2.8209809999999998E-2</v>
      </c>
      <c r="U180">
        <v>3.6834720000000001E-2</v>
      </c>
      <c r="V180">
        <v>-3.6089370000000003E-2</v>
      </c>
      <c r="W180">
        <v>0.13824990000000001</v>
      </c>
      <c r="X180">
        <v>0.98973960000000005</v>
      </c>
      <c r="Y180">
        <v>-4.0868139999999997E-2</v>
      </c>
      <c r="Z180">
        <v>-4.5855899999999998E-4</v>
      </c>
      <c r="AA180">
        <v>0.99916450000000001</v>
      </c>
      <c r="AB180">
        <v>39</v>
      </c>
      <c r="AC180">
        <v>227.29560000000001</v>
      </c>
      <c r="AD180">
        <v>2.1242369999999999</v>
      </c>
      <c r="AE180">
        <v>2.7812999999999799</v>
      </c>
      <c r="AF180">
        <v>-9.3002592258810299</v>
      </c>
      <c r="AG180">
        <v>2.1242369999999999</v>
      </c>
      <c r="AH180">
        <v>227.10241523102701</v>
      </c>
      <c r="AI180">
        <v>89.464539619331504</v>
      </c>
      <c r="AJ180">
        <v>92.345056611131994</v>
      </c>
      <c r="AK180">
        <v>227.30269291908201</v>
      </c>
      <c r="AL180">
        <v>82.053411675274603</v>
      </c>
      <c r="AM180">
        <v>92.088279473415895</v>
      </c>
      <c r="AN180">
        <v>0.999999976642583</v>
      </c>
    </row>
    <row r="181" spans="1:40" x14ac:dyDescent="0.3">
      <c r="A181" t="str">
        <f>"20200111150726598"</f>
        <v>20200111150726598</v>
      </c>
      <c r="B181" t="str">
        <f>"1578726446591025"</f>
        <v>1578726446591025</v>
      </c>
      <c r="C181" t="s">
        <v>40</v>
      </c>
      <c r="D181">
        <v>5.0970909999999998</v>
      </c>
      <c r="E181">
        <v>0.50706929999999995</v>
      </c>
      <c r="F181" t="s">
        <v>42</v>
      </c>
      <c r="G181">
        <v>-158.19499999999999</v>
      </c>
      <c r="H181">
        <v>3.2256840000000002</v>
      </c>
      <c r="I181">
        <v>370.47829999999999</v>
      </c>
      <c r="J181">
        <v>-385.14100000000002</v>
      </c>
      <c r="K181">
        <v>1.108946</v>
      </c>
      <c r="L181">
        <v>367.63990000000001</v>
      </c>
      <c r="M181">
        <v>0.99954370000000003</v>
      </c>
      <c r="N181">
        <v>0</v>
      </c>
      <c r="O181">
        <v>-2.8988920000000001E-2</v>
      </c>
      <c r="P181">
        <v>0.99151630000000002</v>
      </c>
      <c r="Q181">
        <v>0.12969510000000001</v>
      </c>
      <c r="R181">
        <v>8.6212440000000001E-3</v>
      </c>
      <c r="S181">
        <v>3.0217290000000001</v>
      </c>
      <c r="T181">
        <v>2.814198E-2</v>
      </c>
      <c r="U181">
        <v>3.7597659999999998E-2</v>
      </c>
      <c r="V181">
        <v>-3.7236320000000003E-2</v>
      </c>
      <c r="W181">
        <v>0.13813230000000001</v>
      </c>
      <c r="X181">
        <v>0.98971350000000002</v>
      </c>
      <c r="Y181">
        <v>-4.1420909999999998E-2</v>
      </c>
      <c r="Z181">
        <v>-4.6282609999999998E-4</v>
      </c>
      <c r="AA181">
        <v>0.99914170000000002</v>
      </c>
      <c r="AB181">
        <v>39</v>
      </c>
      <c r="AC181">
        <v>226.946</v>
      </c>
      <c r="AD181">
        <v>2.1167379999999998</v>
      </c>
      <c r="AE181">
        <v>2.8383999999999698</v>
      </c>
      <c r="AF181">
        <v>-9.4155444656358807</v>
      </c>
      <c r="AG181">
        <v>2.1167379999999998</v>
      </c>
      <c r="AH181">
        <v>226.748607410246</v>
      </c>
      <c r="AI181">
        <v>89.465609877728696</v>
      </c>
      <c r="AJ181">
        <v>92.377792853125698</v>
      </c>
      <c r="AK181">
        <v>226.95388082125999</v>
      </c>
      <c r="AL181">
        <v>82.060214671196306</v>
      </c>
      <c r="AM181">
        <v>92.154641898967697</v>
      </c>
      <c r="AN181">
        <v>0.99999994395633895</v>
      </c>
    </row>
    <row r="182" spans="1:40" x14ac:dyDescent="0.3">
      <c r="A182" t="str">
        <f>"20200111150726610"</f>
        <v>20200111150726610</v>
      </c>
      <c r="B182" t="str">
        <f>"1578726446600785"</f>
        <v>1578726446600785</v>
      </c>
      <c r="C182" t="s">
        <v>40</v>
      </c>
      <c r="D182">
        <v>5.1031559999999896</v>
      </c>
      <c r="E182">
        <v>0.50844420000000001</v>
      </c>
      <c r="F182" t="s">
        <v>42</v>
      </c>
      <c r="G182">
        <v>-158.19499999999999</v>
      </c>
      <c r="H182">
        <v>5.875718</v>
      </c>
      <c r="I182">
        <v>365.00290000000001</v>
      </c>
      <c r="J182">
        <v>-384.91840000000002</v>
      </c>
      <c r="K182">
        <v>1.108962</v>
      </c>
      <c r="L182">
        <v>367.63330000000002</v>
      </c>
      <c r="M182">
        <v>0.99953879999999995</v>
      </c>
      <c r="N182">
        <v>0</v>
      </c>
      <c r="O182">
        <v>-2.9171720000000002E-2</v>
      </c>
      <c r="P182">
        <v>0.99153809999999998</v>
      </c>
      <c r="Q182">
        <v>0.12951989999999999</v>
      </c>
      <c r="R182">
        <v>8.7764990000000001E-3</v>
      </c>
      <c r="S182">
        <v>3.0177</v>
      </c>
      <c r="T182">
        <v>6.3384889999999999E-2</v>
      </c>
      <c r="U182">
        <v>-3.5064699999999997E-2</v>
      </c>
      <c r="V182">
        <v>-3.7574839999999998E-2</v>
      </c>
      <c r="W182">
        <v>0.13792499999999999</v>
      </c>
      <c r="X182">
        <v>0.98972969999999905</v>
      </c>
      <c r="Y182">
        <v>-1.7546539999999999E-2</v>
      </c>
      <c r="Z182">
        <v>-7.9682660000000003E-4</v>
      </c>
      <c r="AA182">
        <v>0.99984569999999995</v>
      </c>
      <c r="AB182">
        <v>39</v>
      </c>
      <c r="AC182">
        <v>226.7234</v>
      </c>
      <c r="AD182">
        <v>4.766756</v>
      </c>
      <c r="AE182">
        <v>-2.6303999999999998</v>
      </c>
      <c r="AF182">
        <v>-3.9831061214634702</v>
      </c>
      <c r="AG182">
        <v>4.766756</v>
      </c>
      <c r="AH182">
        <v>226.60348664900101</v>
      </c>
      <c r="AI182">
        <v>88.795108725347404</v>
      </c>
      <c r="AJ182">
        <v>91.007008648777301</v>
      </c>
      <c r="AK182">
        <v>226.68861298843899</v>
      </c>
      <c r="AL182">
        <v>82.072207533261405</v>
      </c>
      <c r="AM182">
        <v>92.174175747500797</v>
      </c>
      <c r="AN182">
        <v>1.0000000266440501</v>
      </c>
    </row>
    <row r="183" spans="1:40" x14ac:dyDescent="0.3">
      <c r="A183" t="str">
        <f>"20200111150726624"</f>
        <v>20200111150726624</v>
      </c>
      <c r="B183" t="str">
        <f>"1578726446621280"</f>
        <v>1578726446621280</v>
      </c>
      <c r="C183" t="s">
        <v>40</v>
      </c>
      <c r="D183">
        <v>6.4313330000000004</v>
      </c>
      <c r="E183">
        <v>0.51313560000000003</v>
      </c>
      <c r="F183" t="s">
        <v>42</v>
      </c>
      <c r="G183">
        <v>-158.19499999999999</v>
      </c>
      <c r="H183">
        <v>5.6799929999999996</v>
      </c>
      <c r="I183">
        <v>364.24259999999998</v>
      </c>
      <c r="J183">
        <v>-384.69170000000003</v>
      </c>
      <c r="K183">
        <v>1.1089800000000001</v>
      </c>
      <c r="L183">
        <v>367.62650000000002</v>
      </c>
      <c r="M183">
        <v>0.99953380000000003</v>
      </c>
      <c r="N183">
        <v>0</v>
      </c>
      <c r="O183">
        <v>-2.9351530000000001E-2</v>
      </c>
      <c r="P183">
        <v>0.99153170000000002</v>
      </c>
      <c r="Q183">
        <v>0.1296003</v>
      </c>
      <c r="R183">
        <v>8.2965799999999996E-3</v>
      </c>
      <c r="S183">
        <v>3.0180660000000001</v>
      </c>
      <c r="T183">
        <v>6.0849189999999997E-2</v>
      </c>
      <c r="U183">
        <v>-4.5135500000000002E-2</v>
      </c>
      <c r="V183">
        <v>-3.7274410000000001E-2</v>
      </c>
      <c r="W183">
        <v>0.13797599999999999</v>
      </c>
      <c r="X183">
        <v>0.98973390000000006</v>
      </c>
      <c r="Y183">
        <v>-1.4393410000000001E-2</v>
      </c>
      <c r="Z183">
        <v>-7.3668140000000002E-4</v>
      </c>
      <c r="AA183">
        <v>0.99989609999999995</v>
      </c>
      <c r="AB183">
        <v>39</v>
      </c>
      <c r="AC183">
        <v>226.4967</v>
      </c>
      <c r="AD183">
        <v>4.5710129999999998</v>
      </c>
      <c r="AE183">
        <v>-3.3839000000000401</v>
      </c>
      <c r="AF183">
        <v>-3.26448837057479</v>
      </c>
      <c r="AG183">
        <v>4.5710129999999998</v>
      </c>
      <c r="AH183">
        <v>226.40624151364</v>
      </c>
      <c r="AI183">
        <v>88.843508172393996</v>
      </c>
      <c r="AJ183">
        <v>90.826074600819197</v>
      </c>
      <c r="AK183">
        <v>226.475908741968</v>
      </c>
      <c r="AL183">
        <v>82.069256833093803</v>
      </c>
      <c r="AM183">
        <v>92.156799443637496</v>
      </c>
      <c r="AN183">
        <v>0.99999997551302799</v>
      </c>
    </row>
    <row r="184" spans="1:40" x14ac:dyDescent="0.3">
      <c r="A184" t="str">
        <f>"20200111150726635"</f>
        <v>20200111150726635</v>
      </c>
      <c r="B184" t="str">
        <f>"1578726446631041"</f>
        <v>1578726446631041</v>
      </c>
      <c r="C184" t="s">
        <v>40</v>
      </c>
      <c r="D184">
        <v>5.1411110000000004</v>
      </c>
      <c r="E184">
        <v>0.51439029999999997</v>
      </c>
      <c r="F184" t="s">
        <v>42</v>
      </c>
      <c r="G184">
        <v>-168.84350000000001</v>
      </c>
      <c r="H184">
        <v>11.01524</v>
      </c>
      <c r="I184">
        <v>361.67489999999998</v>
      </c>
      <c r="J184">
        <v>-384.46660000000003</v>
      </c>
      <c r="K184">
        <v>1.108994</v>
      </c>
      <c r="L184">
        <v>367.6198</v>
      </c>
      <c r="M184">
        <v>0.99952890000000005</v>
      </c>
      <c r="N184">
        <v>0</v>
      </c>
      <c r="O184">
        <v>-2.9519759999999999E-2</v>
      </c>
      <c r="P184">
        <v>0.991533</v>
      </c>
      <c r="Q184">
        <v>0.12963339999999901</v>
      </c>
      <c r="R184">
        <v>7.5840409999999997E-3</v>
      </c>
      <c r="S184">
        <v>3.0082399999999998</v>
      </c>
      <c r="T184">
        <v>0.13806299999999999</v>
      </c>
      <c r="U184">
        <v>-8.2946779999999998E-2</v>
      </c>
      <c r="V184">
        <v>-3.6732569999999999E-2</v>
      </c>
      <c r="W184">
        <v>0.13798629999999901</v>
      </c>
      <c r="X184">
        <v>0.98975279999999999</v>
      </c>
      <c r="Y184">
        <v>-1.925822E-3</v>
      </c>
      <c r="Z184">
        <v>-1.3977620000000001E-3</v>
      </c>
      <c r="AA184">
        <v>0.99999709999999997</v>
      </c>
      <c r="AB184">
        <v>40</v>
      </c>
      <c r="AC184">
        <v>215.62309999999999</v>
      </c>
      <c r="AD184">
        <v>9.9062459999999994</v>
      </c>
      <c r="AE184">
        <v>-5.9449000000000103</v>
      </c>
      <c r="AF184">
        <v>-0.42216733687762797</v>
      </c>
      <c r="AG184">
        <v>9.9062459999999994</v>
      </c>
      <c r="AH184">
        <v>215.250636759347</v>
      </c>
      <c r="AI184">
        <v>87.365002977917001</v>
      </c>
      <c r="AJ184">
        <v>90.112373073552703</v>
      </c>
      <c r="AK184">
        <v>215.47888193597399</v>
      </c>
      <c r="AL184">
        <v>82.068661604908201</v>
      </c>
      <c r="AM184">
        <v>92.125435514792002</v>
      </c>
      <c r="AN184">
        <v>1.00000005289716</v>
      </c>
    </row>
    <row r="185" spans="1:40" x14ac:dyDescent="0.3">
      <c r="A185" t="str">
        <f>"20200111150726654"</f>
        <v>20200111150726654</v>
      </c>
      <c r="B185" t="str">
        <f>"1578726446651537"</f>
        <v>1578726446651537</v>
      </c>
      <c r="C185" t="s">
        <v>40</v>
      </c>
      <c r="D185">
        <v>4.683217</v>
      </c>
      <c r="E185">
        <v>0.51328359999999995</v>
      </c>
      <c r="F185" t="s">
        <v>42</v>
      </c>
      <c r="G185">
        <v>-168.84350000000001</v>
      </c>
      <c r="H185">
        <v>12.103289999999999</v>
      </c>
      <c r="I185">
        <v>360.83210000000003</v>
      </c>
      <c r="J185">
        <v>-384.1533</v>
      </c>
      <c r="K185">
        <v>1.1090249999999999</v>
      </c>
      <c r="L185">
        <v>367.61040000000003</v>
      </c>
      <c r="M185">
        <v>0.99952289999999999</v>
      </c>
      <c r="N185">
        <v>0</v>
      </c>
      <c r="O185">
        <v>-2.9732479999999999E-2</v>
      </c>
      <c r="P185">
        <v>0.99159180000000002</v>
      </c>
      <c r="Q185">
        <v>0.12930319999999901</v>
      </c>
      <c r="R185">
        <v>5.1822459999999997E-3</v>
      </c>
      <c r="S185">
        <v>3.006256</v>
      </c>
      <c r="T185">
        <v>0.15328559999999999</v>
      </c>
      <c r="U185">
        <v>-9.4635010000000006E-2</v>
      </c>
      <c r="V185">
        <v>-3.4550959999999999E-2</v>
      </c>
      <c r="W185">
        <v>0.13763210000000001</v>
      </c>
      <c r="X185">
        <v>0.9898806</v>
      </c>
      <c r="Y185">
        <v>1.76734299999999E-3</v>
      </c>
      <c r="Z185">
        <v>-1.4693589999999999E-3</v>
      </c>
      <c r="AA185">
        <v>0.99999740000000004</v>
      </c>
      <c r="AB185">
        <v>40</v>
      </c>
      <c r="AC185">
        <v>215.3098</v>
      </c>
      <c r="AD185">
        <v>10.994265</v>
      </c>
      <c r="AE185">
        <v>-6.7782999999999998</v>
      </c>
      <c r="AF185">
        <v>0.37241474410727998</v>
      </c>
      <c r="AG185">
        <v>10.994265</v>
      </c>
      <c r="AH185">
        <v>214.856487441539</v>
      </c>
      <c r="AI185">
        <v>87.070718639514794</v>
      </c>
      <c r="AJ185">
        <v>89.900688259633796</v>
      </c>
      <c r="AK185">
        <v>215.13791565260701</v>
      </c>
      <c r="AL185">
        <v>82.089150708769296</v>
      </c>
      <c r="AM185">
        <v>91.999050034121694</v>
      </c>
      <c r="AN185">
        <v>0.99999998302184501</v>
      </c>
    </row>
    <row r="186" spans="1:40" x14ac:dyDescent="0.3">
      <c r="A186" t="str">
        <f>"20200111150726669"</f>
        <v>20200111150726669</v>
      </c>
      <c r="B186" t="str">
        <f>"1578726446661297"</f>
        <v>1578726446661297</v>
      </c>
      <c r="C186" t="s">
        <v>40</v>
      </c>
      <c r="D186">
        <v>8.6030309999999997</v>
      </c>
      <c r="E186">
        <v>0.51328359999999995</v>
      </c>
      <c r="F186" t="s">
        <v>42</v>
      </c>
      <c r="G186">
        <v>-168.84350000000001</v>
      </c>
      <c r="H186">
        <v>9.3056180000000008</v>
      </c>
      <c r="I186">
        <v>360.92399999999998</v>
      </c>
      <c r="J186">
        <v>-383.89269999999999</v>
      </c>
      <c r="K186">
        <v>1.1090599999999999</v>
      </c>
      <c r="L186">
        <v>367.60250000000002</v>
      </c>
      <c r="M186">
        <v>0.99951820000000002</v>
      </c>
      <c r="N186">
        <v>0</v>
      </c>
      <c r="O186">
        <v>-2.988476E-2</v>
      </c>
      <c r="P186">
        <v>0.99161379999999999</v>
      </c>
      <c r="Q186">
        <v>0.12918209999999999</v>
      </c>
      <c r="R186">
        <v>3.7514190000000002E-3</v>
      </c>
      <c r="S186">
        <v>3.0109560000000002</v>
      </c>
      <c r="T186">
        <v>0.1146247</v>
      </c>
      <c r="U186">
        <v>-9.3505859999999996E-2</v>
      </c>
      <c r="V186">
        <v>-3.3279969999999999E-2</v>
      </c>
      <c r="W186">
        <v>0.1374966</v>
      </c>
      <c r="X186">
        <v>0.98994300000000002</v>
      </c>
      <c r="Y186">
        <v>1.1757359999999999E-3</v>
      </c>
      <c r="Z186">
        <v>-1.114419E-3</v>
      </c>
      <c r="AA186">
        <v>0.99999870000000002</v>
      </c>
      <c r="AB186">
        <v>40</v>
      </c>
      <c r="AC186">
        <v>215.04920000000001</v>
      </c>
      <c r="AD186">
        <v>8.1965579999999996</v>
      </c>
      <c r="AE186">
        <v>-6.6784999999999801</v>
      </c>
      <c r="AF186">
        <v>0.24823702704891401</v>
      </c>
      <c r="AG186">
        <v>8.1965579999999996</v>
      </c>
      <c r="AH186">
        <v>214.840927172676</v>
      </c>
      <c r="AI186">
        <v>87.815126684099596</v>
      </c>
      <c r="AJ186">
        <v>89.933797866977699</v>
      </c>
      <c r="AK186">
        <v>214.99737015387899</v>
      </c>
      <c r="AL186">
        <v>82.096988998485799</v>
      </c>
      <c r="AM186">
        <v>91.925448203067205</v>
      </c>
      <c r="AN186">
        <v>1.00000000733188</v>
      </c>
    </row>
    <row r="187" spans="1:40" x14ac:dyDescent="0.3">
      <c r="A187" t="str">
        <f>"20200111150726688"</f>
        <v>20200111150726688</v>
      </c>
      <c r="B187" t="str">
        <f>"1578726446680817"</f>
        <v>1578726446680817</v>
      </c>
      <c r="C187" t="s">
        <v>40</v>
      </c>
      <c r="D187">
        <v>5.1299939999999999</v>
      </c>
      <c r="E187">
        <v>0.51498290000000002</v>
      </c>
      <c r="F187" t="s">
        <v>42</v>
      </c>
      <c r="G187">
        <v>-168.84350000000001</v>
      </c>
      <c r="H187">
        <v>9.2724200000000003</v>
      </c>
      <c r="I187">
        <v>360.59480000000002</v>
      </c>
      <c r="J187">
        <v>-383.57069999999999</v>
      </c>
      <c r="K187">
        <v>1.1091040000000001</v>
      </c>
      <c r="L187">
        <v>367.59269999999998</v>
      </c>
      <c r="M187">
        <v>0.99951389999999996</v>
      </c>
      <c r="N187">
        <v>0</v>
      </c>
      <c r="O187">
        <v>-3.0040509999999999E-2</v>
      </c>
      <c r="P187">
        <v>0.99169160000000001</v>
      </c>
      <c r="Q187">
        <v>0.12863339999999901</v>
      </c>
      <c r="R187">
        <v>1.0872259999999999E-3</v>
      </c>
      <c r="S187">
        <v>3.0108640000000002</v>
      </c>
      <c r="T187">
        <v>0.1142949</v>
      </c>
      <c r="U187">
        <v>-9.8114010000000001E-2</v>
      </c>
      <c r="V187">
        <v>-3.0785170000000001E-2</v>
      </c>
      <c r="W187">
        <v>0.136936</v>
      </c>
      <c r="X187">
        <v>0.99010140000000002</v>
      </c>
      <c r="Y187">
        <v>2.5488239999999999E-3</v>
      </c>
      <c r="Z187">
        <v>-1.091074E-3</v>
      </c>
      <c r="AA187">
        <v>0.9999962</v>
      </c>
      <c r="AB187">
        <v>40</v>
      </c>
      <c r="AC187">
        <v>214.72720000000001</v>
      </c>
      <c r="AD187">
        <v>8.163316</v>
      </c>
      <c r="AE187">
        <v>-6.9978999999999596</v>
      </c>
      <c r="AF187">
        <v>0.54321835243712402</v>
      </c>
      <c r="AG187">
        <v>8.163316</v>
      </c>
      <c r="AH187">
        <v>214.53077766271801</v>
      </c>
      <c r="AI187">
        <v>87.820841790720294</v>
      </c>
      <c r="AJ187">
        <v>89.854920339314006</v>
      </c>
      <c r="AK187">
        <v>214.68672380672501</v>
      </c>
      <c r="AL187">
        <v>82.129415584793506</v>
      </c>
      <c r="AM187">
        <v>91.780920848667805</v>
      </c>
      <c r="AN187">
        <v>0.99999998853494398</v>
      </c>
    </row>
    <row r="188" spans="1:40" x14ac:dyDescent="0.3">
      <c r="A188" t="str">
        <f>"20200111150726702"</f>
        <v>20200111150726702</v>
      </c>
      <c r="B188" t="str">
        <f>"1578726446691553"</f>
        <v>1578726446691553</v>
      </c>
      <c r="C188" t="s">
        <v>40</v>
      </c>
      <c r="D188">
        <v>7.2855419999999897</v>
      </c>
      <c r="E188">
        <v>0.51498290000000002</v>
      </c>
      <c r="F188" t="s">
        <v>42</v>
      </c>
      <c r="G188">
        <v>-168.84350000000001</v>
      </c>
      <c r="H188">
        <v>9.4554179999999999</v>
      </c>
      <c r="I188">
        <v>359.03289999999998</v>
      </c>
      <c r="J188">
        <v>-383.30540000000002</v>
      </c>
      <c r="K188">
        <v>1.1091409999999999</v>
      </c>
      <c r="L188">
        <v>367.5847</v>
      </c>
      <c r="M188">
        <v>0.99951080000000003</v>
      </c>
      <c r="N188">
        <v>0</v>
      </c>
      <c r="O188">
        <v>-3.0142800000000001E-2</v>
      </c>
      <c r="P188">
        <v>0.99172419999999994</v>
      </c>
      <c r="Q188">
        <v>0.12838649999999999</v>
      </c>
      <c r="R188" s="1">
        <v>3.7597730000000003E-5</v>
      </c>
      <c r="S188">
        <v>3.0101010000000001</v>
      </c>
      <c r="T188">
        <v>0.11700199999999999</v>
      </c>
      <c r="U188">
        <v>-0.11999509999999999</v>
      </c>
      <c r="V188">
        <v>-2.984906E-2</v>
      </c>
      <c r="W188">
        <v>0.13668369999999999</v>
      </c>
      <c r="X188">
        <v>0.99016490000000001</v>
      </c>
      <c r="Y188">
        <v>9.7098759999999992E-3</v>
      </c>
      <c r="Z188">
        <v>-9.8190540000000007E-4</v>
      </c>
      <c r="AA188">
        <v>0.99995239999999996</v>
      </c>
      <c r="AB188">
        <v>40</v>
      </c>
      <c r="AC188">
        <v>214.46190000000001</v>
      </c>
      <c r="AD188">
        <v>8.3462770000000006</v>
      </c>
      <c r="AE188">
        <v>-8.5518000000000107</v>
      </c>
      <c r="AF188">
        <v>2.08006140031191</v>
      </c>
      <c r="AG188">
        <v>8.3462770000000006</v>
      </c>
      <c r="AH188">
        <v>214.29817515533099</v>
      </c>
      <c r="AI188">
        <v>87.769731904768904</v>
      </c>
      <c r="AJ188">
        <v>89.4438823535328</v>
      </c>
      <c r="AK188">
        <v>214.47073196614701</v>
      </c>
      <c r="AL188">
        <v>82.1440083344459</v>
      </c>
      <c r="AM188">
        <v>91.726689549207606</v>
      </c>
      <c r="AN188">
        <v>0.99999996471029096</v>
      </c>
    </row>
    <row r="189" spans="1:40" x14ac:dyDescent="0.3">
      <c r="A189" t="str">
        <f>"20200111150726714"</f>
        <v>20200111150726714</v>
      </c>
      <c r="B189" t="str">
        <f>"1578726446711073"</f>
        <v>1578726446711073</v>
      </c>
      <c r="C189" t="s">
        <v>40</v>
      </c>
      <c r="D189">
        <v>4.65543</v>
      </c>
      <c r="E189">
        <v>0.44344090000000003</v>
      </c>
      <c r="F189" t="s">
        <v>42</v>
      </c>
      <c r="G189">
        <v>-168.84350000000001</v>
      </c>
      <c r="H189">
        <v>9.3943930000000009</v>
      </c>
      <c r="I189">
        <v>358.81529999999998</v>
      </c>
      <c r="J189">
        <v>-383.0779</v>
      </c>
      <c r="K189">
        <v>1.1091719999999901</v>
      </c>
      <c r="L189">
        <v>367.57780000000002</v>
      </c>
      <c r="M189">
        <v>0.99950879999999998</v>
      </c>
      <c r="N189">
        <v>0</v>
      </c>
      <c r="O189">
        <v>-3.020952E-2</v>
      </c>
      <c r="P189">
        <v>0.99177689999999996</v>
      </c>
      <c r="Q189">
        <v>0.12797819999999999</v>
      </c>
      <c r="R189">
        <v>-8.436842E-4</v>
      </c>
      <c r="S189">
        <v>3.0099490000000002</v>
      </c>
      <c r="T189">
        <v>0.11628380000000001</v>
      </c>
      <c r="U189">
        <v>-0.1230774</v>
      </c>
      <c r="V189">
        <v>-2.9044739999999999E-2</v>
      </c>
      <c r="W189">
        <v>0.13627510000000001</v>
      </c>
      <c r="X189">
        <v>0.99024520000000005</v>
      </c>
      <c r="Y189">
        <v>1.066661E-2</v>
      </c>
      <c r="Z189">
        <v>-9.6001470000000005E-4</v>
      </c>
      <c r="AA189">
        <v>0.99994269999999996</v>
      </c>
      <c r="AB189">
        <v>40</v>
      </c>
      <c r="AC189">
        <v>214.23439999999999</v>
      </c>
      <c r="AD189">
        <v>8.2852209999999999</v>
      </c>
      <c r="AE189">
        <v>-8.7625000000000401</v>
      </c>
      <c r="AF189">
        <v>2.2829481834188199</v>
      </c>
      <c r="AG189">
        <v>8.2852209999999999</v>
      </c>
      <c r="AH189">
        <v>214.08167787962199</v>
      </c>
      <c r="AI189">
        <v>87.783815688340496</v>
      </c>
      <c r="AJ189">
        <v>89.389026005791195</v>
      </c>
      <c r="AK189">
        <v>214.25410507894901</v>
      </c>
      <c r="AL189">
        <v>82.167641017997497</v>
      </c>
      <c r="AM189">
        <v>91.6800526228579</v>
      </c>
      <c r="AN189">
        <v>1.00000002796235</v>
      </c>
    </row>
    <row r="190" spans="1:40" x14ac:dyDescent="0.3">
      <c r="A190" t="str">
        <f>"20200111150726732"</f>
        <v>20200111150726732</v>
      </c>
      <c r="B190" t="str">
        <f>"1578726446720833"</f>
        <v>1578726446720833</v>
      </c>
      <c r="C190" t="s">
        <v>40</v>
      </c>
      <c r="D190">
        <v>8.5383179999999896</v>
      </c>
      <c r="E190">
        <v>0.44312649999999998</v>
      </c>
      <c r="F190" t="s">
        <v>48</v>
      </c>
      <c r="G190">
        <v>-223.0575</v>
      </c>
      <c r="H190">
        <v>26.935179999999999</v>
      </c>
      <c r="I190">
        <v>391.87</v>
      </c>
      <c r="J190">
        <v>-382.76749999999998</v>
      </c>
      <c r="K190">
        <v>1.1092089999999999</v>
      </c>
      <c r="L190">
        <v>367.5684</v>
      </c>
      <c r="M190">
        <v>0.99950669999999997</v>
      </c>
      <c r="N190">
        <v>0</v>
      </c>
      <c r="O190">
        <v>-3.0276399999999998E-2</v>
      </c>
      <c r="P190">
        <v>0.99182029999999999</v>
      </c>
      <c r="Q190">
        <v>0.1276321</v>
      </c>
      <c r="R190">
        <v>-1.6419729999999999E-3</v>
      </c>
      <c r="S190">
        <v>2.963562</v>
      </c>
      <c r="T190">
        <v>0.47829480000000002</v>
      </c>
      <c r="U190">
        <v>0.44989010000000001</v>
      </c>
      <c r="V190">
        <v>-2.8326E-2</v>
      </c>
      <c r="W190">
        <v>0.1359321</v>
      </c>
      <c r="X190">
        <v>0.99031309999999995</v>
      </c>
      <c r="Y190">
        <v>-0.17732419999999999</v>
      </c>
      <c r="Z190">
        <v>-1.8968079999999998E-2</v>
      </c>
      <c r="AA190">
        <v>0.98396969999999995</v>
      </c>
      <c r="AB190">
        <v>40</v>
      </c>
      <c r="AC190">
        <v>159.70999999999901</v>
      </c>
      <c r="AD190">
        <v>25.825970999999999</v>
      </c>
      <c r="AE190">
        <v>24.301600000000001</v>
      </c>
      <c r="AF190">
        <v>-28.400247935338701</v>
      </c>
      <c r="AG190">
        <v>25.825970999999999</v>
      </c>
      <c r="AH190">
        <v>154.94116816286501</v>
      </c>
      <c r="AI190">
        <v>80.689135520983697</v>
      </c>
      <c r="AJ190">
        <v>100.38684254632101</v>
      </c>
      <c r="AK190">
        <v>159.62556328030499</v>
      </c>
      <c r="AL190">
        <v>82.187477582561499</v>
      </c>
      <c r="AM190">
        <v>91.638388775165893</v>
      </c>
      <c r="AN190">
        <v>0.99999996705900895</v>
      </c>
    </row>
    <row r="191" spans="1:40" x14ac:dyDescent="0.3">
      <c r="A191" t="str">
        <f>"20200111150726747"</f>
        <v>20200111150726747</v>
      </c>
      <c r="B191" t="str">
        <f>"1578726446741329"</f>
        <v>1578726446741329</v>
      </c>
      <c r="C191" t="s">
        <v>40</v>
      </c>
      <c r="D191">
        <v>5.075278</v>
      </c>
      <c r="E191">
        <v>0.43993680000000002</v>
      </c>
      <c r="F191" t="s">
        <v>48</v>
      </c>
      <c r="G191">
        <v>-223.45259999999999</v>
      </c>
      <c r="H191">
        <v>29.892679999999999</v>
      </c>
      <c r="I191">
        <v>391.87</v>
      </c>
      <c r="J191">
        <v>-382.51729999999998</v>
      </c>
      <c r="K191">
        <v>1.10924</v>
      </c>
      <c r="L191">
        <v>367.56079999999997</v>
      </c>
      <c r="M191">
        <v>0.99950559999999999</v>
      </c>
      <c r="N191">
        <v>0</v>
      </c>
      <c r="O191">
        <v>-3.030592E-2</v>
      </c>
      <c r="P191">
        <v>0.99185809999999996</v>
      </c>
      <c r="Q191">
        <v>0.12733749999999999</v>
      </c>
      <c r="R191">
        <v>-1.653992E-3</v>
      </c>
      <c r="S191">
        <v>2.9567570000000001</v>
      </c>
      <c r="T191">
        <v>0.53419779999999994</v>
      </c>
      <c r="U191">
        <v>0.45101930000000001</v>
      </c>
      <c r="V191">
        <v>-2.835358E-2</v>
      </c>
      <c r="W191">
        <v>0.1356416</v>
      </c>
      <c r="X191">
        <v>0.99035220000000002</v>
      </c>
      <c r="Y191">
        <v>-0.17739489999999999</v>
      </c>
      <c r="Z191">
        <v>-2.1210610000000001E-2</v>
      </c>
      <c r="AA191">
        <v>0.98391119999999999</v>
      </c>
      <c r="AB191">
        <v>40</v>
      </c>
      <c r="AC191">
        <v>159.06469999999999</v>
      </c>
      <c r="AD191">
        <v>28.783439999999999</v>
      </c>
      <c r="AE191">
        <v>24.309200000000001</v>
      </c>
      <c r="AF191">
        <v>-28.215973912296</v>
      </c>
      <c r="AG191">
        <v>28.783439999999999</v>
      </c>
      <c r="AH191">
        <v>153.34818994922699</v>
      </c>
      <c r="AI191">
        <v>79.540887597523394</v>
      </c>
      <c r="AJ191">
        <v>100.425774902144</v>
      </c>
      <c r="AK191">
        <v>158.55691395444501</v>
      </c>
      <c r="AL191">
        <v>82.2042780590603</v>
      </c>
      <c r="AM191">
        <v>91.639918431565306</v>
      </c>
      <c r="AN191">
        <v>1.0000000245970999</v>
      </c>
    </row>
    <row r="192" spans="1:40" x14ac:dyDescent="0.3">
      <c r="A192" t="str">
        <f>"20200111150726759"</f>
        <v>20200111150726759</v>
      </c>
      <c r="B192" t="str">
        <f>"1578726446751088"</f>
        <v>1578726446751088</v>
      </c>
      <c r="C192" t="s">
        <v>40</v>
      </c>
      <c r="D192">
        <v>9.4041110000000003</v>
      </c>
      <c r="E192">
        <v>0.44792159999999898</v>
      </c>
      <c r="F192" t="s">
        <v>48</v>
      </c>
      <c r="G192">
        <v>-234.2672</v>
      </c>
      <c r="H192">
        <v>28.813859999999998</v>
      </c>
      <c r="I192">
        <v>391.4744</v>
      </c>
      <c r="J192">
        <v>-382.26560000000001</v>
      </c>
      <c r="K192">
        <v>1.109272</v>
      </c>
      <c r="L192">
        <v>367.55309999999997</v>
      </c>
      <c r="M192">
        <v>0.99950530000000004</v>
      </c>
      <c r="N192">
        <v>0</v>
      </c>
      <c r="O192">
        <v>-3.0314689999999998E-2</v>
      </c>
      <c r="P192">
        <v>0.99190619999999996</v>
      </c>
      <c r="Q192">
        <v>0.1269622</v>
      </c>
      <c r="R192">
        <v>-1.6647260000000001E-3</v>
      </c>
      <c r="S192">
        <v>2.95459</v>
      </c>
      <c r="T192">
        <v>0.55214659999999904</v>
      </c>
      <c r="U192">
        <v>0.47659299999999999</v>
      </c>
      <c r="V192">
        <v>-2.8363530000000001E-2</v>
      </c>
      <c r="W192">
        <v>0.13527169999999999</v>
      </c>
      <c r="X192">
        <v>0.99040249999999996</v>
      </c>
      <c r="Y192">
        <v>-0.18545729999999999</v>
      </c>
      <c r="Z192">
        <v>-2.2656909999999999E-2</v>
      </c>
      <c r="AA192">
        <v>0.98239109999999996</v>
      </c>
      <c r="AB192">
        <v>40</v>
      </c>
      <c r="AC192">
        <v>147.9984</v>
      </c>
      <c r="AD192">
        <v>27.704588000000001</v>
      </c>
      <c r="AE192">
        <v>23.921299999999999</v>
      </c>
      <c r="AF192">
        <v>-27.459257950812301</v>
      </c>
      <c r="AG192">
        <v>27.704588000000001</v>
      </c>
      <c r="AH192">
        <v>142.34414882276599</v>
      </c>
      <c r="AI192">
        <v>79.180793827589795</v>
      </c>
      <c r="AJ192">
        <v>100.918665768252</v>
      </c>
      <c r="AK192">
        <v>147.59204500086301</v>
      </c>
      <c r="AL192">
        <v>82.225668864375706</v>
      </c>
      <c r="AM192">
        <v>91.640410335745301</v>
      </c>
      <c r="AN192">
        <v>1.0000000173306001</v>
      </c>
    </row>
    <row r="193" spans="1:40" x14ac:dyDescent="0.3">
      <c r="A193" t="str">
        <f>"20200111150726776"</f>
        <v>20200111150726776</v>
      </c>
      <c r="B193" t="str">
        <f>"1578726446771585"</f>
        <v>1578726446771585</v>
      </c>
      <c r="C193" t="s">
        <v>40</v>
      </c>
      <c r="D193">
        <v>5.9414530000000001</v>
      </c>
      <c r="E193">
        <v>0.51976670000000003</v>
      </c>
      <c r="F193" t="s">
        <v>48</v>
      </c>
      <c r="G193">
        <v>-208.49930000000001</v>
      </c>
      <c r="H193">
        <v>34.699550000000002</v>
      </c>
      <c r="I193">
        <v>391.87</v>
      </c>
      <c r="J193">
        <v>-381.97809999999998</v>
      </c>
      <c r="K193">
        <v>1.109308</v>
      </c>
      <c r="L193">
        <v>367.54450000000003</v>
      </c>
      <c r="M193">
        <v>0.99950640000000002</v>
      </c>
      <c r="N193">
        <v>0</v>
      </c>
      <c r="O193">
        <v>-3.0280709999999999E-2</v>
      </c>
      <c r="P193">
        <v>0.99197069999999998</v>
      </c>
      <c r="Q193">
        <v>0.12645909999999999</v>
      </c>
      <c r="R193">
        <v>-1.59690299999999E-3</v>
      </c>
      <c r="S193">
        <v>2.9520870000000001</v>
      </c>
      <c r="T193">
        <v>0.57065949999999999</v>
      </c>
      <c r="U193">
        <v>0.4131165</v>
      </c>
      <c r="V193">
        <v>-2.8412690000000001E-2</v>
      </c>
      <c r="W193">
        <v>0.13477600000000001</v>
      </c>
      <c r="X193">
        <v>0.99046860000000003</v>
      </c>
      <c r="Y193">
        <v>-0.16496659999999999</v>
      </c>
      <c r="Z193">
        <v>-2.1498819999999998E-2</v>
      </c>
      <c r="AA193">
        <v>0.98606479999999996</v>
      </c>
      <c r="AB193">
        <v>40</v>
      </c>
      <c r="AC193">
        <v>173.47879999999901</v>
      </c>
      <c r="AD193">
        <v>33.590241999999897</v>
      </c>
      <c r="AE193">
        <v>24.325499999999899</v>
      </c>
      <c r="AF193">
        <v>-28.5189862272561</v>
      </c>
      <c r="AG193">
        <v>33.590241999999897</v>
      </c>
      <c r="AH193">
        <v>166.539209357868</v>
      </c>
      <c r="AI193">
        <v>78.756091485197103</v>
      </c>
      <c r="AJ193">
        <v>99.717353731496701</v>
      </c>
      <c r="AK193">
        <v>172.26997761244601</v>
      </c>
      <c r="AL193">
        <v>82.254332347398005</v>
      </c>
      <c r="AM193">
        <v>91.643142352423098</v>
      </c>
      <c r="AN193">
        <v>0.99999994935749603</v>
      </c>
    </row>
    <row r="194" spans="1:40" x14ac:dyDescent="0.3">
      <c r="A194" t="str">
        <f>"20200111150726789"</f>
        <v>20200111150726789</v>
      </c>
      <c r="B194" t="str">
        <f>"1578726446781345"</f>
        <v>1578726446781345</v>
      </c>
      <c r="C194" t="s">
        <v>40</v>
      </c>
      <c r="D194">
        <v>5.5305549999999997</v>
      </c>
      <c r="E194">
        <v>0.51139089999999998</v>
      </c>
      <c r="F194" t="s">
        <v>42</v>
      </c>
      <c r="G194">
        <v>-158.19499999999999</v>
      </c>
      <c r="H194">
        <v>27.9649</v>
      </c>
      <c r="I194">
        <v>355.33249999999998</v>
      </c>
      <c r="J194">
        <v>-381.75760000000002</v>
      </c>
      <c r="K194">
        <v>1.1093390000000001</v>
      </c>
      <c r="L194">
        <v>367.5378</v>
      </c>
      <c r="M194">
        <v>0.9995077</v>
      </c>
      <c r="N194">
        <v>0</v>
      </c>
      <c r="O194">
        <v>-3.0229280000000001E-2</v>
      </c>
      <c r="P194">
        <v>0.99201329999999999</v>
      </c>
      <c r="Q194">
        <v>0.12612370000000001</v>
      </c>
      <c r="R194">
        <v>-1.4877460000000001E-3</v>
      </c>
      <c r="S194">
        <v>2.9784549999999999</v>
      </c>
      <c r="T194">
        <v>0.35743709999999901</v>
      </c>
      <c r="U194">
        <v>-0.1625366</v>
      </c>
      <c r="V194">
        <v>-2.8481989999999999E-2</v>
      </c>
      <c r="W194">
        <v>0.13444619999999999</v>
      </c>
      <c r="X194">
        <v>0.99051149999999999</v>
      </c>
      <c r="Y194">
        <v>2.4321590000000001E-2</v>
      </c>
      <c r="Z194">
        <v>-2.1579870000000001E-3</v>
      </c>
      <c r="AA194">
        <v>0.99970190000000003</v>
      </c>
      <c r="AB194">
        <v>40</v>
      </c>
      <c r="AC194">
        <v>223.5626</v>
      </c>
      <c r="AD194">
        <v>26.855560999999899</v>
      </c>
      <c r="AE194">
        <v>-12.205299999999999</v>
      </c>
      <c r="AF194">
        <v>5.3641711953022497</v>
      </c>
      <c r="AG194">
        <v>26.855560999999899</v>
      </c>
      <c r="AH194">
        <v>220.654778746566</v>
      </c>
      <c r="AI194">
        <v>83.062775857552595</v>
      </c>
      <c r="AJ194">
        <v>88.607399995226302</v>
      </c>
      <c r="AK194">
        <v>222.34776111517999</v>
      </c>
      <c r="AL194">
        <v>82.273402593319403</v>
      </c>
      <c r="AM194">
        <v>91.647076555090194</v>
      </c>
      <c r="AN194">
        <v>1.00000001804052</v>
      </c>
    </row>
    <row r="195" spans="1:40" x14ac:dyDescent="0.3">
      <c r="A195" t="str">
        <f>"20200111150726801"</f>
        <v>20200111150726801</v>
      </c>
      <c r="B195" t="str">
        <f>"1578726446791105"</f>
        <v>1578726446791105</v>
      </c>
      <c r="C195" t="s">
        <v>40</v>
      </c>
      <c r="D195">
        <v>5.0949730000000004</v>
      </c>
      <c r="E195">
        <v>0.51131090000000001</v>
      </c>
      <c r="F195" t="s">
        <v>42</v>
      </c>
      <c r="G195">
        <v>-158.19499999999999</v>
      </c>
      <c r="H195">
        <v>28.459150000000001</v>
      </c>
      <c r="I195">
        <v>360.36619999999999</v>
      </c>
      <c r="J195">
        <v>-381.52010000000001</v>
      </c>
      <c r="K195">
        <v>1.10937</v>
      </c>
      <c r="L195">
        <v>367.53070000000002</v>
      </c>
      <c r="M195">
        <v>0.99950989999999995</v>
      </c>
      <c r="N195">
        <v>0</v>
      </c>
      <c r="O195">
        <v>-3.0157779999999999E-2</v>
      </c>
      <c r="P195">
        <v>0.99206229999999995</v>
      </c>
      <c r="Q195">
        <v>0.12573799999999999</v>
      </c>
      <c r="R195">
        <v>-1.527771E-3</v>
      </c>
      <c r="S195">
        <v>2.9776919999999998</v>
      </c>
      <c r="T195">
        <v>0.36428070000000001</v>
      </c>
      <c r="U195">
        <v>-9.5520019999999997E-2</v>
      </c>
      <c r="V195">
        <v>-2.8383800000000001E-2</v>
      </c>
      <c r="W195">
        <v>0.134067299999999</v>
      </c>
      <c r="X195">
        <v>0.99056569999999999</v>
      </c>
      <c r="Y195">
        <v>2.11291E-3</v>
      </c>
      <c r="Z195">
        <v>-3.5453009999999998E-3</v>
      </c>
      <c r="AA195">
        <v>0.99999150000000003</v>
      </c>
      <c r="AB195">
        <v>40</v>
      </c>
      <c r="AC195">
        <v>223.32509999999999</v>
      </c>
      <c r="AD195">
        <v>27.349779999999999</v>
      </c>
      <c r="AE195">
        <v>-7.1645000000000296</v>
      </c>
      <c r="AF195">
        <v>0.41972588887457402</v>
      </c>
      <c r="AG195">
        <v>27.349779999999999</v>
      </c>
      <c r="AH195">
        <v>220.14130753320799</v>
      </c>
      <c r="AI195">
        <v>82.918022915917604</v>
      </c>
      <c r="AJ195">
        <v>89.890758835249798</v>
      </c>
      <c r="AK195">
        <v>221.83413154494599</v>
      </c>
      <c r="AL195">
        <v>82.295310501147895</v>
      </c>
      <c r="AM195">
        <v>91.641311704143604</v>
      </c>
      <c r="AN195">
        <v>1.0000000435241001</v>
      </c>
    </row>
    <row r="196" spans="1:40" x14ac:dyDescent="0.3">
      <c r="A196" t="str">
        <f>"20200111150726814"</f>
        <v>20200111150726814</v>
      </c>
      <c r="B196" t="str">
        <f>"1578726446811601"</f>
        <v>1578726446811601</v>
      </c>
      <c r="C196" t="s">
        <v>40</v>
      </c>
      <c r="D196">
        <v>5.1037220000000003</v>
      </c>
      <c r="E196">
        <v>0.50894519999999999</v>
      </c>
      <c r="F196" t="s">
        <v>42</v>
      </c>
      <c r="G196">
        <v>-158.19499999999999</v>
      </c>
      <c r="H196">
        <v>24.54665</v>
      </c>
      <c r="I196">
        <v>360.35719999999998</v>
      </c>
      <c r="J196">
        <v>-381.2919</v>
      </c>
      <c r="K196">
        <v>1.109407</v>
      </c>
      <c r="L196">
        <v>367.52379999999999</v>
      </c>
      <c r="M196">
        <v>0.99951279999999998</v>
      </c>
      <c r="N196">
        <v>0</v>
      </c>
      <c r="O196">
        <v>-3.0058140000000001E-2</v>
      </c>
      <c r="P196">
        <v>0.9920698</v>
      </c>
      <c r="Q196">
        <v>0.12568190000000001</v>
      </c>
      <c r="R196">
        <v>-1.105099E-3</v>
      </c>
      <c r="S196">
        <v>2.9841920000000002</v>
      </c>
      <c r="T196">
        <v>0.31318279999999998</v>
      </c>
      <c r="U196">
        <v>-9.5855709999999997E-2</v>
      </c>
      <c r="V196">
        <v>-2.8719829999999998E-2</v>
      </c>
      <c r="W196">
        <v>0.1340172</v>
      </c>
      <c r="X196">
        <v>0.99056270000000002</v>
      </c>
      <c r="Y196">
        <v>2.1991670000000001E-3</v>
      </c>
      <c r="Z196">
        <v>-3.0294010000000001E-3</v>
      </c>
      <c r="AA196">
        <v>0.99999300000000002</v>
      </c>
      <c r="AB196">
        <v>40</v>
      </c>
      <c r="AC196">
        <v>223.09690000000001</v>
      </c>
      <c r="AD196">
        <v>23.437242999999999</v>
      </c>
      <c r="AE196">
        <v>-7.1666000000000096</v>
      </c>
      <c r="AF196">
        <v>0.45226056946295001</v>
      </c>
      <c r="AG196">
        <v>23.437242999999999</v>
      </c>
      <c r="AH196">
        <v>220.77744102527899</v>
      </c>
      <c r="AI196">
        <v>83.940315061459302</v>
      </c>
      <c r="AJ196">
        <v>89.882630283672398</v>
      </c>
      <c r="AK196">
        <v>222.01843924488401</v>
      </c>
      <c r="AL196">
        <v>82.298206439962101</v>
      </c>
      <c r="AM196">
        <v>91.660737066507707</v>
      </c>
      <c r="AN196">
        <v>0.99999995058117797</v>
      </c>
    </row>
    <row r="197" spans="1:40" x14ac:dyDescent="0.3">
      <c r="A197" t="str">
        <f>"20200111150726832"</f>
        <v>20200111150726832</v>
      </c>
      <c r="B197" t="str">
        <f>"1578726446821363"</f>
        <v>1578726446821363</v>
      </c>
      <c r="C197" t="s">
        <v>40</v>
      </c>
      <c r="D197">
        <v>6.8174089999999996</v>
      </c>
      <c r="E197">
        <v>0.50612559999999995</v>
      </c>
      <c r="F197" t="s">
        <v>42</v>
      </c>
      <c r="G197">
        <v>-158.19499999999999</v>
      </c>
      <c r="H197">
        <v>23.179069999999999</v>
      </c>
      <c r="I197">
        <v>361.85879999999997</v>
      </c>
      <c r="J197">
        <v>-380.97550000000001</v>
      </c>
      <c r="K197">
        <v>1.1094569999999999</v>
      </c>
      <c r="L197">
        <v>367.51440000000002</v>
      </c>
      <c r="M197">
        <v>0.99951789999999996</v>
      </c>
      <c r="N197">
        <v>0</v>
      </c>
      <c r="O197">
        <v>-2.9887190000000001E-2</v>
      </c>
      <c r="P197">
        <v>0.9920795</v>
      </c>
      <c r="Q197">
        <v>0.1256101</v>
      </c>
      <c r="R197">
        <v>-7.1343060000000002E-4</v>
      </c>
      <c r="S197">
        <v>2.9865110000000001</v>
      </c>
      <c r="T197">
        <v>0.29543900000000001</v>
      </c>
      <c r="U197">
        <v>-7.5836180000000003E-2</v>
      </c>
      <c r="V197">
        <v>-2.8959080000000002E-2</v>
      </c>
      <c r="W197">
        <v>0.13395389999999999</v>
      </c>
      <c r="X197">
        <v>0.99056429999999995</v>
      </c>
      <c r="Y197">
        <v>-4.3383459999999999E-3</v>
      </c>
      <c r="Z197">
        <v>-3.1624270000000002E-3</v>
      </c>
      <c r="AA197">
        <v>0.99998560000000003</v>
      </c>
      <c r="AB197">
        <v>40</v>
      </c>
      <c r="AC197">
        <v>222.78049999999999</v>
      </c>
      <c r="AD197">
        <v>22.069613</v>
      </c>
      <c r="AE197">
        <v>-5.6556000000000397</v>
      </c>
      <c r="AF197">
        <v>-0.99568018616494802</v>
      </c>
      <c r="AG197">
        <v>22.069613</v>
      </c>
      <c r="AH197">
        <v>220.68564861421601</v>
      </c>
      <c r="AI197">
        <v>84.289195172630301</v>
      </c>
      <c r="AJ197">
        <v>90.258502923430896</v>
      </c>
      <c r="AK197">
        <v>221.788671264518</v>
      </c>
      <c r="AL197">
        <v>82.3018662893287</v>
      </c>
      <c r="AM197">
        <v>91.674561257366904</v>
      </c>
      <c r="AN197">
        <v>0.99999995403707198</v>
      </c>
    </row>
    <row r="198" spans="1:40" x14ac:dyDescent="0.3">
      <c r="A198" t="str">
        <f>"20200111150726844"</f>
        <v>20200111150726844</v>
      </c>
      <c r="B198" t="str">
        <f>"1578726446840880"</f>
        <v>1578726446840880</v>
      </c>
      <c r="C198" t="s">
        <v>40</v>
      </c>
      <c r="D198">
        <v>5.5277510000000003</v>
      </c>
      <c r="E198">
        <v>0.50590849999999998</v>
      </c>
      <c r="F198" t="s">
        <v>42</v>
      </c>
      <c r="G198">
        <v>-158.19499999999999</v>
      </c>
      <c r="H198">
        <v>23.799440000000001</v>
      </c>
      <c r="I198">
        <v>363.60430000000002</v>
      </c>
      <c r="J198">
        <v>-380.75299999999999</v>
      </c>
      <c r="K198">
        <v>1.1094930000000001</v>
      </c>
      <c r="L198">
        <v>367.50790000000001</v>
      </c>
      <c r="M198">
        <v>0.99952200000000002</v>
      </c>
      <c r="N198">
        <v>0</v>
      </c>
      <c r="O198">
        <v>-2.974512E-2</v>
      </c>
      <c r="P198">
        <v>0.99206819999999896</v>
      </c>
      <c r="Q198">
        <v>0.12570139999999999</v>
      </c>
      <c r="R198">
        <v>-3.4202190000000001E-4</v>
      </c>
      <c r="S198">
        <v>2.9854129999999999</v>
      </c>
      <c r="T198">
        <v>0.30406250000000001</v>
      </c>
      <c r="U198">
        <v>-5.2398680000000003E-2</v>
      </c>
      <c r="V198">
        <v>-2.9201479999999998E-2</v>
      </c>
      <c r="W198">
        <v>0.134050799999999</v>
      </c>
      <c r="X198">
        <v>0.99054410000000004</v>
      </c>
      <c r="Y198">
        <v>-1.1984740000000001E-2</v>
      </c>
      <c r="Z198">
        <v>-3.6297489999999998E-3</v>
      </c>
      <c r="AA198">
        <v>0.99992159999999997</v>
      </c>
      <c r="AB198">
        <v>40</v>
      </c>
      <c r="AC198">
        <v>222.55799999999999</v>
      </c>
      <c r="AD198">
        <v>22.689947</v>
      </c>
      <c r="AE198">
        <v>-3.90359999999998</v>
      </c>
      <c r="AF198">
        <v>-2.6904213414930802</v>
      </c>
      <c r="AG198">
        <v>22.689947</v>
      </c>
      <c r="AH198">
        <v>220.286687609029</v>
      </c>
      <c r="AI198">
        <v>84.119600271813695</v>
      </c>
      <c r="AJ198">
        <v>90.699734177331095</v>
      </c>
      <c r="AK198">
        <v>221.46850069392599</v>
      </c>
      <c r="AL198">
        <v>82.296263990633406</v>
      </c>
      <c r="AM198">
        <v>91.688604391617503</v>
      </c>
      <c r="AN198">
        <v>0.99999997872982005</v>
      </c>
    </row>
    <row r="199" spans="1:40" x14ac:dyDescent="0.3">
      <c r="A199" t="str">
        <f>"20200111150726857"</f>
        <v>20200111150726857</v>
      </c>
      <c r="B199" t="str">
        <f>"1578726446851617"</f>
        <v>1578726446851617</v>
      </c>
      <c r="C199" t="s">
        <v>40</v>
      </c>
      <c r="D199">
        <v>4.7237730000000004</v>
      </c>
      <c r="E199">
        <v>0.50599349999999998</v>
      </c>
      <c r="F199" t="s">
        <v>42</v>
      </c>
      <c r="G199">
        <v>-158.19499999999999</v>
      </c>
      <c r="H199">
        <v>24.287120000000002</v>
      </c>
      <c r="I199">
        <v>363.84410000000003</v>
      </c>
      <c r="J199">
        <v>-380.52980000000002</v>
      </c>
      <c r="K199">
        <v>1.1095330000000001</v>
      </c>
      <c r="L199">
        <v>367.50139999999999</v>
      </c>
      <c r="M199">
        <v>0.99952669999999999</v>
      </c>
      <c r="N199">
        <v>0</v>
      </c>
      <c r="O199">
        <v>-2.958506E-2</v>
      </c>
      <c r="P199">
        <v>0.9920658</v>
      </c>
      <c r="Q199">
        <v>0.12572079999999999</v>
      </c>
      <c r="R199">
        <v>2.8813679999999998E-4</v>
      </c>
      <c r="S199">
        <v>2.9845890000000002</v>
      </c>
      <c r="T199">
        <v>0.31082189999999998</v>
      </c>
      <c r="U199">
        <v>-4.9133299999999998E-2</v>
      </c>
      <c r="V199">
        <v>-2.968409E-2</v>
      </c>
      <c r="W199">
        <v>0.134075799999999</v>
      </c>
      <c r="X199">
        <v>0.99052640000000003</v>
      </c>
      <c r="Y199">
        <v>-1.2899559999999999E-2</v>
      </c>
      <c r="Z199">
        <v>-3.741964E-3</v>
      </c>
      <c r="AA199">
        <v>0.99990979999999996</v>
      </c>
      <c r="AB199">
        <v>40</v>
      </c>
      <c r="AC199">
        <v>222.3348</v>
      </c>
      <c r="AD199">
        <v>23.177586999999999</v>
      </c>
      <c r="AE199">
        <v>-3.6572999999999598</v>
      </c>
      <c r="AF199">
        <v>-2.8909153506699301</v>
      </c>
      <c r="AG199">
        <v>23.177586999999999</v>
      </c>
      <c r="AH199">
        <v>219.95599434574001</v>
      </c>
      <c r="AI199">
        <v>83.985243012557504</v>
      </c>
      <c r="AJ199">
        <v>90.753003856405002</v>
      </c>
      <c r="AK199">
        <v>221.19267026583501</v>
      </c>
      <c r="AL199">
        <v>82.2948187686316</v>
      </c>
      <c r="AM199">
        <v>91.716525885660701</v>
      </c>
      <c r="AN199">
        <v>1.0000000072208599</v>
      </c>
    </row>
    <row r="200" spans="1:40" x14ac:dyDescent="0.3">
      <c r="A200" t="str">
        <f>"20200111150726870"</f>
        <v>20200111150726870</v>
      </c>
      <c r="B200" t="str">
        <f>"1578726446861377"</f>
        <v>1578726446861377</v>
      </c>
      <c r="C200" t="s">
        <v>40</v>
      </c>
      <c r="D200">
        <v>4.7289649999999996</v>
      </c>
      <c r="E200">
        <v>0.50599269999999996</v>
      </c>
      <c r="F200" t="s">
        <v>42</v>
      </c>
      <c r="G200">
        <v>-158.19499999999999</v>
      </c>
      <c r="H200">
        <v>24.212969999999999</v>
      </c>
      <c r="I200">
        <v>363.92320000000001</v>
      </c>
      <c r="J200">
        <v>-380.29039999999998</v>
      </c>
      <c r="K200">
        <v>1.1095660000000001</v>
      </c>
      <c r="L200">
        <v>367.49439999999998</v>
      </c>
      <c r="M200">
        <v>0.99953219999999998</v>
      </c>
      <c r="N200">
        <v>0</v>
      </c>
      <c r="O200">
        <v>-2.9392339999999999E-2</v>
      </c>
      <c r="P200">
        <v>0.99203439999999998</v>
      </c>
      <c r="Q200">
        <v>0.12596160000000001</v>
      </c>
      <c r="R200">
        <v>1.1177730000000001E-3</v>
      </c>
      <c r="S200">
        <v>2.9847109999999999</v>
      </c>
      <c r="T200">
        <v>0.3101506</v>
      </c>
      <c r="U200">
        <v>-4.8034670000000002E-2</v>
      </c>
      <c r="V200">
        <v>-3.0332979999999999E-2</v>
      </c>
      <c r="W200">
        <v>0.13432249999999901</v>
      </c>
      <c r="X200">
        <v>0.9904733</v>
      </c>
      <c r="Y200">
        <v>-1.307649E-2</v>
      </c>
      <c r="Z200">
        <v>-3.7229950000000002E-3</v>
      </c>
      <c r="AA200">
        <v>0.99990760000000001</v>
      </c>
      <c r="AB200">
        <v>40</v>
      </c>
      <c r="AC200">
        <v>222.09540000000001</v>
      </c>
      <c r="AD200">
        <v>23.103404000000001</v>
      </c>
      <c r="AE200">
        <v>-3.57119999999997</v>
      </c>
      <c r="AF200">
        <v>-2.9268165514153499</v>
      </c>
      <c r="AG200">
        <v>23.103404000000001</v>
      </c>
      <c r="AH200">
        <v>219.727322474868</v>
      </c>
      <c r="AI200">
        <v>83.998173368009503</v>
      </c>
      <c r="AJ200">
        <v>90.763147327657705</v>
      </c>
      <c r="AK200">
        <v>220.95798191848101</v>
      </c>
      <c r="AL200">
        <v>82.280554746992905</v>
      </c>
      <c r="AM200">
        <v>91.754119684869195</v>
      </c>
      <c r="AN200">
        <v>0.99999999084740998</v>
      </c>
    </row>
    <row r="201" spans="1:40" x14ac:dyDescent="0.3">
      <c r="A201" t="str">
        <f>"20200111150726888"</f>
        <v>20200111150726888</v>
      </c>
      <c r="B201" t="str">
        <f>"1578726446881872"</f>
        <v>1578726446881872</v>
      </c>
      <c r="C201" t="s">
        <v>40</v>
      </c>
      <c r="D201">
        <v>5.1145060000000004</v>
      </c>
      <c r="E201">
        <v>0.50749869999999997</v>
      </c>
      <c r="F201" t="s">
        <v>42</v>
      </c>
      <c r="G201">
        <v>-158.19499999999999</v>
      </c>
      <c r="H201">
        <v>23.905249999999999</v>
      </c>
      <c r="I201">
        <v>364.12049999999999</v>
      </c>
      <c r="J201">
        <v>-379.95729999999998</v>
      </c>
      <c r="K201">
        <v>1.1096090000000001</v>
      </c>
      <c r="L201">
        <v>367.48480000000001</v>
      </c>
      <c r="M201">
        <v>0.99954069999999995</v>
      </c>
      <c r="N201">
        <v>0</v>
      </c>
      <c r="O201">
        <v>-2.910335E-2</v>
      </c>
      <c r="P201">
        <v>0.99208719999999995</v>
      </c>
      <c r="Q201">
        <v>0.12551409999999999</v>
      </c>
      <c r="R201">
        <v>3.0671660000000001E-3</v>
      </c>
      <c r="S201">
        <v>2.9852289999999999</v>
      </c>
      <c r="T201">
        <v>0.30640260000000002</v>
      </c>
      <c r="U201">
        <v>-4.534912E-2</v>
      </c>
      <c r="V201">
        <v>-3.2011020000000001E-2</v>
      </c>
      <c r="W201">
        <v>0.13388349999999999</v>
      </c>
      <c r="X201">
        <v>0.99047989999999997</v>
      </c>
      <c r="Y201">
        <v>-1.369331E-2</v>
      </c>
      <c r="Z201">
        <v>-3.6796400000000001E-3</v>
      </c>
      <c r="AA201">
        <v>0.99989939999999999</v>
      </c>
      <c r="AB201">
        <v>40</v>
      </c>
      <c r="AC201">
        <v>221.76230000000001</v>
      </c>
      <c r="AD201">
        <v>22.795641</v>
      </c>
      <c r="AE201">
        <v>-3.3643000000000098</v>
      </c>
      <c r="AF201">
        <v>-3.0590654403014299</v>
      </c>
      <c r="AG201">
        <v>22.795641</v>
      </c>
      <c r="AH201">
        <v>219.44802428572299</v>
      </c>
      <c r="AI201">
        <v>84.070118004235397</v>
      </c>
      <c r="AJ201">
        <v>90.798640990468698</v>
      </c>
      <c r="AK201">
        <v>220.65002717624199</v>
      </c>
      <c r="AL201">
        <v>82.305936658295494</v>
      </c>
      <c r="AM201">
        <v>91.851080646560803</v>
      </c>
      <c r="AN201">
        <v>0.99999996463884899</v>
      </c>
    </row>
    <row r="202" spans="1:40" x14ac:dyDescent="0.3">
      <c r="A202" t="str">
        <f>"20200111150726915"</f>
        <v>20200111150726915</v>
      </c>
      <c r="B202" t="str">
        <f>"1578726446911156"</f>
        <v>1578726446911156</v>
      </c>
      <c r="C202" t="s">
        <v>40</v>
      </c>
      <c r="D202">
        <v>5.9779949999999999</v>
      </c>
      <c r="E202">
        <v>0.50468089999999999</v>
      </c>
      <c r="F202" t="s">
        <v>42</v>
      </c>
      <c r="G202">
        <v>-158.19499999999999</v>
      </c>
      <c r="H202">
        <v>22.69764</v>
      </c>
      <c r="I202">
        <v>363.62900000000002</v>
      </c>
      <c r="J202">
        <v>-379.47480000000002</v>
      </c>
      <c r="K202">
        <v>1.1096539999999999</v>
      </c>
      <c r="L202">
        <v>367.47120000000001</v>
      </c>
      <c r="M202">
        <v>0.99955369999999999</v>
      </c>
      <c r="N202">
        <v>0</v>
      </c>
      <c r="O202">
        <v>-2.8645980000000001E-2</v>
      </c>
      <c r="P202">
        <v>0.99211470000000002</v>
      </c>
      <c r="Q202">
        <v>0.12524469999999999</v>
      </c>
      <c r="R202">
        <v>4.7133069999999999E-3</v>
      </c>
      <c r="S202">
        <v>2.9872740000000002</v>
      </c>
      <c r="T202">
        <v>0.29080509999999998</v>
      </c>
      <c r="U202">
        <v>-5.1940920000000002E-2</v>
      </c>
      <c r="V202">
        <v>-3.3221239999999999E-2</v>
      </c>
      <c r="W202">
        <v>0.13362739999999901</v>
      </c>
      <c r="X202">
        <v>0.99047470000000004</v>
      </c>
      <c r="Y202">
        <v>-1.107738E-2</v>
      </c>
      <c r="Z202">
        <v>-3.3193540000000001E-3</v>
      </c>
      <c r="AA202">
        <v>0.99993310000000002</v>
      </c>
      <c r="AB202">
        <v>40</v>
      </c>
      <c r="AC202">
        <v>221.27979999999999</v>
      </c>
      <c r="AD202">
        <v>21.587985999999901</v>
      </c>
      <c r="AE202">
        <v>-3.8421999999999898</v>
      </c>
      <c r="AF202">
        <v>-2.4748331117742599</v>
      </c>
      <c r="AG202">
        <v>21.587985999999901</v>
      </c>
      <c r="AH202">
        <v>219.21323339924999</v>
      </c>
      <c r="AI202">
        <v>84.376037667491204</v>
      </c>
      <c r="AJ202">
        <v>90.646819839658605</v>
      </c>
      <c r="AK202">
        <v>220.28755669765201</v>
      </c>
      <c r="AL202">
        <v>82.320743674717704</v>
      </c>
      <c r="AM202">
        <v>91.921021856792905</v>
      </c>
      <c r="AN202">
        <v>1.0000000320789899</v>
      </c>
    </row>
    <row r="203" spans="1:40" x14ac:dyDescent="0.3">
      <c r="A203" t="str">
        <f>"20200111150726932"</f>
        <v>20200111150726932</v>
      </c>
      <c r="B203" t="str">
        <f>"1578726446920913"</f>
        <v>1578726446920913</v>
      </c>
      <c r="C203" t="s">
        <v>40</v>
      </c>
      <c r="D203">
        <v>4.6643509999999999</v>
      </c>
      <c r="E203">
        <v>0.50475909999999902</v>
      </c>
      <c r="F203" t="s">
        <v>42</v>
      </c>
      <c r="G203">
        <v>-158.19499999999999</v>
      </c>
      <c r="H203">
        <v>22.266500000000001</v>
      </c>
      <c r="I203">
        <v>365.65859999999998</v>
      </c>
      <c r="J203">
        <v>-379.17059999999998</v>
      </c>
      <c r="K203">
        <v>1.1096820000000001</v>
      </c>
      <c r="L203">
        <v>367.46269999999998</v>
      </c>
      <c r="M203">
        <v>0.99956239999999996</v>
      </c>
      <c r="N203">
        <v>0</v>
      </c>
      <c r="O203">
        <v>-2.8339409999999999E-2</v>
      </c>
      <c r="P203">
        <v>0.99217239999999995</v>
      </c>
      <c r="Q203">
        <v>0.1247882</v>
      </c>
      <c r="R203">
        <v>4.696403E-3</v>
      </c>
      <c r="S203">
        <v>2.987854</v>
      </c>
      <c r="T203">
        <v>0.28567360000000003</v>
      </c>
      <c r="U203">
        <v>-2.44751E-2</v>
      </c>
      <c r="V203">
        <v>-3.2910099999999998E-2</v>
      </c>
      <c r="W203">
        <v>0.13318079999999999</v>
      </c>
      <c r="X203">
        <v>0.99054520000000001</v>
      </c>
      <c r="Y203">
        <v>-1.993143E-2</v>
      </c>
      <c r="Z203">
        <v>-3.6537700000000002E-3</v>
      </c>
      <c r="AA203">
        <v>0.99979470000000004</v>
      </c>
      <c r="AB203">
        <v>40</v>
      </c>
      <c r="AC203">
        <v>220.97559999999999</v>
      </c>
      <c r="AD203">
        <v>21.156817999999902</v>
      </c>
      <c r="AE203">
        <v>-1.8041</v>
      </c>
      <c r="AF203">
        <v>-4.4186660850245199</v>
      </c>
      <c r="AG203">
        <v>21.156817999999902</v>
      </c>
      <c r="AH203">
        <v>218.931230851072</v>
      </c>
      <c r="AI203">
        <v>84.481374782154305</v>
      </c>
      <c r="AJ203">
        <v>91.156237731987403</v>
      </c>
      <c r="AK203">
        <v>219.99549858990699</v>
      </c>
      <c r="AL203">
        <v>82.346562474826797</v>
      </c>
      <c r="AM203">
        <v>91.902908098262898</v>
      </c>
      <c r="AN203">
        <v>0.99999999670684503</v>
      </c>
    </row>
    <row r="204" spans="1:40" x14ac:dyDescent="0.3">
      <c r="A204" t="str">
        <f>"20200111150726946"</f>
        <v>20200111150726946</v>
      </c>
      <c r="B204" t="str">
        <f>"1578726446941409"</f>
        <v>1578726446941409</v>
      </c>
      <c r="C204" t="s">
        <v>40</v>
      </c>
      <c r="D204">
        <v>4.6782940000000002</v>
      </c>
      <c r="E204">
        <v>0.50395649999999903</v>
      </c>
      <c r="F204" t="s">
        <v>42</v>
      </c>
      <c r="G204">
        <v>-158.19499999999999</v>
      </c>
      <c r="H204">
        <v>21.160499999999999</v>
      </c>
      <c r="I204">
        <v>365.61079999999998</v>
      </c>
      <c r="J204">
        <v>-378.92739999999998</v>
      </c>
      <c r="K204">
        <v>1.109701</v>
      </c>
      <c r="L204">
        <v>367.45600000000002</v>
      </c>
      <c r="M204">
        <v>0.99956940000000005</v>
      </c>
      <c r="N204">
        <v>0</v>
      </c>
      <c r="O204">
        <v>-2.8088700000000001E-2</v>
      </c>
      <c r="P204">
        <v>0.99217520000000003</v>
      </c>
      <c r="Q204">
        <v>0.12478549999999999</v>
      </c>
      <c r="R204">
        <v>4.181143E-3</v>
      </c>
      <c r="S204">
        <v>2.9896240000000001</v>
      </c>
      <c r="T204">
        <v>0.27127269999999998</v>
      </c>
      <c r="U204">
        <v>-2.505493E-2</v>
      </c>
      <c r="V204">
        <v>-3.2152460000000001E-2</v>
      </c>
      <c r="W204">
        <v>0.13318640000000001</v>
      </c>
      <c r="X204">
        <v>0.99056940000000004</v>
      </c>
      <c r="Y204">
        <v>-1.9516169999999999E-2</v>
      </c>
      <c r="Z204">
        <v>-3.4268100000000002E-3</v>
      </c>
      <c r="AA204">
        <v>0.99980369999999996</v>
      </c>
      <c r="AB204">
        <v>40</v>
      </c>
      <c r="AC204">
        <v>220.73240000000001</v>
      </c>
      <c r="AD204">
        <v>20.050799000000001</v>
      </c>
      <c r="AE204">
        <v>-1.84519999999997</v>
      </c>
      <c r="AF204">
        <v>-4.32019217144106</v>
      </c>
      <c r="AG204">
        <v>20.050799000000001</v>
      </c>
      <c r="AH204">
        <v>218.89108502015901</v>
      </c>
      <c r="AI204">
        <v>84.767227769769306</v>
      </c>
      <c r="AJ204">
        <v>91.130683988171995</v>
      </c>
      <c r="AK204">
        <v>219.84996179722</v>
      </c>
      <c r="AL204">
        <v>82.346239275785507</v>
      </c>
      <c r="AM204">
        <v>91.859086008974003</v>
      </c>
      <c r="AN204">
        <v>1.0000000670226801</v>
      </c>
    </row>
    <row r="205" spans="1:40" x14ac:dyDescent="0.3">
      <c r="A205" t="str">
        <f>"20200111150726958"</f>
        <v>20200111150726958</v>
      </c>
      <c r="B205" t="str">
        <f>"1578726446951169"</f>
        <v>1578726446951169</v>
      </c>
      <c r="C205" t="s">
        <v>40</v>
      </c>
      <c r="D205">
        <v>5.1017380000000001</v>
      </c>
      <c r="E205">
        <v>0.50479410000000002</v>
      </c>
      <c r="F205" t="s">
        <v>42</v>
      </c>
      <c r="G205">
        <v>-158.19499999999999</v>
      </c>
      <c r="H205">
        <v>19.463999999999999</v>
      </c>
      <c r="I205">
        <v>365.95</v>
      </c>
      <c r="J205">
        <v>-378.68790000000001</v>
      </c>
      <c r="K205">
        <v>1.1097170000000001</v>
      </c>
      <c r="L205">
        <v>367.44940000000003</v>
      </c>
      <c r="M205">
        <v>0.99957640000000003</v>
      </c>
      <c r="N205">
        <v>0</v>
      </c>
      <c r="O205">
        <v>-2.7838720000000001E-2</v>
      </c>
      <c r="P205">
        <v>0.99219849999999998</v>
      </c>
      <c r="Q205">
        <v>0.1246022</v>
      </c>
      <c r="R205">
        <v>4.0655580000000004E-3</v>
      </c>
      <c r="S205">
        <v>2.9924930000000001</v>
      </c>
      <c r="T205">
        <v>0.2488322</v>
      </c>
      <c r="U205">
        <v>-2.0416259999999999E-2</v>
      </c>
      <c r="V205">
        <v>-3.1794219999999998E-2</v>
      </c>
      <c r="W205">
        <v>0.13301109999999999</v>
      </c>
      <c r="X205">
        <v>0.9906045</v>
      </c>
      <c r="Y205">
        <v>-2.0851379999999999E-2</v>
      </c>
      <c r="Z205">
        <v>-3.1760550000000001E-3</v>
      </c>
      <c r="AA205">
        <v>0.99977760000000004</v>
      </c>
      <c r="AB205">
        <v>41</v>
      </c>
      <c r="AC205">
        <v>220.49289999999999</v>
      </c>
      <c r="AD205">
        <v>18.354282999999999</v>
      </c>
      <c r="AE205">
        <v>-1.49940000000003</v>
      </c>
      <c r="AF205">
        <v>-4.6077158475181799</v>
      </c>
      <c r="AG205">
        <v>18.354282999999999</v>
      </c>
      <c r="AH205">
        <v>218.93221598365301</v>
      </c>
      <c r="AI205">
        <v>85.208844237842499</v>
      </c>
      <c r="AJ205">
        <v>91.205686886574796</v>
      </c>
      <c r="AK205">
        <v>219.74855163410899</v>
      </c>
      <c r="AL205">
        <v>82.356373261995799</v>
      </c>
      <c r="AM205">
        <v>91.838321428313904</v>
      </c>
      <c r="AN205">
        <v>1.00000005028443</v>
      </c>
    </row>
    <row r="206" spans="1:40" x14ac:dyDescent="0.3">
      <c r="A206" t="str">
        <f>"20200111150726977"</f>
        <v>20200111150726977</v>
      </c>
      <c r="B206" t="str">
        <f>"1578726446971665"</f>
        <v>1578726446971665</v>
      </c>
      <c r="C206" t="s">
        <v>40</v>
      </c>
      <c r="D206">
        <v>6.8519110000000003</v>
      </c>
      <c r="E206">
        <v>0.50215659999999995</v>
      </c>
      <c r="F206" t="s">
        <v>42</v>
      </c>
      <c r="G206">
        <v>-158.19499999999999</v>
      </c>
      <c r="H206">
        <v>18.669609999999999</v>
      </c>
      <c r="I206">
        <v>365.40859999999998</v>
      </c>
      <c r="J206">
        <v>-378.34960000000001</v>
      </c>
      <c r="K206">
        <v>1.109734</v>
      </c>
      <c r="L206">
        <v>367.44009999999997</v>
      </c>
      <c r="M206">
        <v>0.99958599999999997</v>
      </c>
      <c r="N206">
        <v>0</v>
      </c>
      <c r="O206">
        <v>-2.7480359999999999E-2</v>
      </c>
      <c r="P206">
        <v>0.99225260000000004</v>
      </c>
      <c r="Q206">
        <v>0.124197</v>
      </c>
      <c r="R206">
        <v>3.174269E-3</v>
      </c>
      <c r="S206">
        <v>2.9937740000000002</v>
      </c>
      <c r="T206">
        <v>0.2384231</v>
      </c>
      <c r="U206">
        <v>-2.7709959999999999E-2</v>
      </c>
      <c r="V206">
        <v>-3.0555410000000002E-2</v>
      </c>
      <c r="W206">
        <v>0.1326184</v>
      </c>
      <c r="X206">
        <v>0.99069609999999997</v>
      </c>
      <c r="Y206">
        <v>-1.8083990000000001E-2</v>
      </c>
      <c r="Z206">
        <v>-2.9037720000000002E-3</v>
      </c>
      <c r="AA206">
        <v>0.99983230000000001</v>
      </c>
      <c r="AB206">
        <v>41</v>
      </c>
      <c r="AC206">
        <v>220.15459999999999</v>
      </c>
      <c r="AD206">
        <v>17.559875999999999</v>
      </c>
      <c r="AE206">
        <v>-2.0314999999999901</v>
      </c>
      <c r="AF206">
        <v>-3.9940073866880499</v>
      </c>
      <c r="AG206">
        <v>17.559875999999999</v>
      </c>
      <c r="AH206">
        <v>218.73582092874599</v>
      </c>
      <c r="AI206">
        <v>85.410961325871895</v>
      </c>
      <c r="AJ206">
        <v>91.046076213165193</v>
      </c>
      <c r="AK206">
        <v>219.47587725650601</v>
      </c>
      <c r="AL206">
        <v>82.379074177145995</v>
      </c>
      <c r="AM206">
        <v>91.766577292006502</v>
      </c>
      <c r="AN206">
        <v>1.0000000178270101</v>
      </c>
    </row>
    <row r="207" spans="1:40" x14ac:dyDescent="0.3">
      <c r="A207" t="str">
        <f>"20200111150726991"</f>
        <v>20200111150726991</v>
      </c>
      <c r="B207" t="str">
        <f>"1578726446981425"</f>
        <v>1578726446981425</v>
      </c>
      <c r="C207" t="s">
        <v>40</v>
      </c>
      <c r="D207">
        <v>7.7288369999999897</v>
      </c>
      <c r="E207">
        <v>0.50215659999999995</v>
      </c>
      <c r="F207" t="s">
        <v>42</v>
      </c>
      <c r="G207">
        <v>-158.19499999999999</v>
      </c>
      <c r="H207">
        <v>19.765540000000001</v>
      </c>
      <c r="I207">
        <v>366.75740000000002</v>
      </c>
      <c r="J207">
        <v>-378.10289999999998</v>
      </c>
      <c r="K207">
        <v>1.1097440000000001</v>
      </c>
      <c r="L207">
        <v>367.43360000000001</v>
      </c>
      <c r="M207">
        <v>0.99959319999999896</v>
      </c>
      <c r="N207">
        <v>0</v>
      </c>
      <c r="O207">
        <v>-2.7218019999999999E-2</v>
      </c>
      <c r="P207">
        <v>0.99228139999999998</v>
      </c>
      <c r="Q207">
        <v>0.12397759999999999</v>
      </c>
      <c r="R207">
        <v>2.6765479999999999E-3</v>
      </c>
      <c r="S207">
        <v>2.9917600000000002</v>
      </c>
      <c r="T207">
        <v>0.25352140000000001</v>
      </c>
      <c r="U207">
        <v>-9.2773439999999999E-3</v>
      </c>
      <c r="V207">
        <v>-2.98023E-2</v>
      </c>
      <c r="W207">
        <v>0.13240759999999999</v>
      </c>
      <c r="X207">
        <v>0.99074720000000005</v>
      </c>
      <c r="Y207">
        <v>-2.3935769999999999E-2</v>
      </c>
      <c r="Z207">
        <v>-3.314507E-3</v>
      </c>
      <c r="AA207">
        <v>0.99970800000000004</v>
      </c>
      <c r="AB207">
        <v>41</v>
      </c>
      <c r="AC207">
        <v>219.90790000000001</v>
      </c>
      <c r="AD207">
        <v>18.655795999999999</v>
      </c>
      <c r="AE207">
        <v>-0.67619999999999403</v>
      </c>
      <c r="AF207">
        <v>-5.2717852909170304</v>
      </c>
      <c r="AG207">
        <v>18.655795999999999</v>
      </c>
      <c r="AH207">
        <v>218.27394584161601</v>
      </c>
      <c r="AI207">
        <v>85.116239973008902</v>
      </c>
      <c r="AJ207">
        <v>91.383547338193694</v>
      </c>
      <c r="AK207">
        <v>219.133169277989</v>
      </c>
      <c r="AL207">
        <v>82.391259312667898</v>
      </c>
      <c r="AM207">
        <v>91.722973598226304</v>
      </c>
      <c r="AN207">
        <v>0.99999998196544404</v>
      </c>
    </row>
    <row r="208" spans="1:40" x14ac:dyDescent="0.3">
      <c r="A208" t="str">
        <f>"20200111150727003"</f>
        <v>20200111150727003</v>
      </c>
      <c r="B208" t="str">
        <f>"1578726447000944"</f>
        <v>1578726447000944</v>
      </c>
      <c r="C208" t="s">
        <v>40</v>
      </c>
      <c r="D208">
        <v>6.4399459999999999</v>
      </c>
      <c r="E208">
        <v>0.50305089999999997</v>
      </c>
      <c r="F208" t="s">
        <v>42</v>
      </c>
      <c r="G208">
        <v>-158.19499999999999</v>
      </c>
      <c r="H208">
        <v>19.695930000000001</v>
      </c>
      <c r="I208">
        <v>366.64620000000002</v>
      </c>
      <c r="J208">
        <v>-377.8734</v>
      </c>
      <c r="K208">
        <v>1.1097520000000001</v>
      </c>
      <c r="L208">
        <v>367.42750000000001</v>
      </c>
      <c r="M208">
        <v>0.99959980000000004</v>
      </c>
      <c r="N208">
        <v>0</v>
      </c>
      <c r="O208">
        <v>-2.6973690000000002E-2</v>
      </c>
      <c r="P208">
        <v>0.99230660000000004</v>
      </c>
      <c r="Q208">
        <v>0.1237786</v>
      </c>
      <c r="R208">
        <v>2.5732939999999998E-3</v>
      </c>
      <c r="S208">
        <v>2.99173</v>
      </c>
      <c r="T208">
        <v>0.25285629999999998</v>
      </c>
      <c r="U208">
        <v>-1.071167E-2</v>
      </c>
      <c r="V208">
        <v>-2.9461020000000001E-2</v>
      </c>
      <c r="W208">
        <v>0.13221659999999999</v>
      </c>
      <c r="X208">
        <v>0.99078290000000002</v>
      </c>
      <c r="Y208">
        <v>-2.3216480000000001E-2</v>
      </c>
      <c r="Z208">
        <v>-3.2549190000000002E-3</v>
      </c>
      <c r="AA208">
        <v>0.99972519999999998</v>
      </c>
      <c r="AB208">
        <v>41</v>
      </c>
      <c r="AC208">
        <v>219.67840000000001</v>
      </c>
      <c r="AD208">
        <v>18.586178</v>
      </c>
      <c r="AE208">
        <v>-0.781299999999987</v>
      </c>
      <c r="AF208">
        <v>-5.1081716588277102</v>
      </c>
      <c r="AG208">
        <v>18.586178</v>
      </c>
      <c r="AH208">
        <v>218.05864461058701</v>
      </c>
      <c r="AI208">
        <v>85.129512370644605</v>
      </c>
      <c r="AJ208">
        <v>91.341947064606799</v>
      </c>
      <c r="AK208">
        <v>218.90891238081201</v>
      </c>
      <c r="AL208">
        <v>82.402299767294707</v>
      </c>
      <c r="AM208">
        <v>91.703193379765594</v>
      </c>
      <c r="AN208">
        <v>0.99999996797370405</v>
      </c>
    </row>
    <row r="209" spans="1:40" x14ac:dyDescent="0.3">
      <c r="A209" t="str">
        <f>"20200111150727021"</f>
        <v>20200111150727021</v>
      </c>
      <c r="B209" t="str">
        <f>"1578726447011680"</f>
        <v>1578726447011680</v>
      </c>
      <c r="C209" t="s">
        <v>40</v>
      </c>
      <c r="D209">
        <v>6.4310029999999996</v>
      </c>
      <c r="E209">
        <v>0.50220549999999997</v>
      </c>
      <c r="F209" t="s">
        <v>42</v>
      </c>
      <c r="G209">
        <v>-158.19499999999999</v>
      </c>
      <c r="H209">
        <v>20.524460000000001</v>
      </c>
      <c r="I209">
        <v>366.10919999999999</v>
      </c>
      <c r="J209">
        <v>-377.54360000000003</v>
      </c>
      <c r="K209">
        <v>1.109764</v>
      </c>
      <c r="L209">
        <v>367.41879999999998</v>
      </c>
      <c r="M209">
        <v>0.99960910000000003</v>
      </c>
      <c r="N209">
        <v>0</v>
      </c>
      <c r="O209">
        <v>-2.6622779999999999E-2</v>
      </c>
      <c r="P209">
        <v>0.99233289999999996</v>
      </c>
      <c r="Q209">
        <v>0.1235718</v>
      </c>
      <c r="R209">
        <v>2.327548E-3</v>
      </c>
      <c r="S209">
        <v>2.9903559999999998</v>
      </c>
      <c r="T209">
        <v>0.26428230000000003</v>
      </c>
      <c r="U209">
        <v>-1.794434E-2</v>
      </c>
      <c r="V209">
        <v>-2.8872160000000001E-2</v>
      </c>
      <c r="W209">
        <v>0.13202139999999901</v>
      </c>
      <c r="X209">
        <v>0.99082630000000005</v>
      </c>
      <c r="Y209">
        <v>-2.044135E-2</v>
      </c>
      <c r="Z209">
        <v>-3.2496259999999998E-3</v>
      </c>
      <c r="AA209">
        <v>0.99978579999999995</v>
      </c>
      <c r="AB209">
        <v>41</v>
      </c>
      <c r="AC209">
        <v>219.3486</v>
      </c>
      <c r="AD209">
        <v>19.414695999999999</v>
      </c>
      <c r="AE209">
        <v>-1.3095999999999799</v>
      </c>
      <c r="AF209">
        <v>-4.4955291754342896</v>
      </c>
      <c r="AG209">
        <v>19.414695999999999</v>
      </c>
      <c r="AH209">
        <v>217.60105602576999</v>
      </c>
      <c r="AI209">
        <v>84.902565976795401</v>
      </c>
      <c r="AJ209">
        <v>91.183533834417801</v>
      </c>
      <c r="AK209">
        <v>218.511692563281</v>
      </c>
      <c r="AL209">
        <v>82.413583089213702</v>
      </c>
      <c r="AM209">
        <v>91.669096730760302</v>
      </c>
      <c r="AN209">
        <v>1.0000000042263499</v>
      </c>
    </row>
    <row r="210" spans="1:40" x14ac:dyDescent="0.3">
      <c r="A210" t="str">
        <f>"20200111150727034"</f>
        <v>20200111150727034</v>
      </c>
      <c r="B210" t="str">
        <f>"1578726447031201"</f>
        <v>1578726447031201</v>
      </c>
      <c r="C210" t="s">
        <v>40</v>
      </c>
      <c r="D210">
        <v>5.1320930000000002</v>
      </c>
      <c r="E210">
        <v>0.50294740000000004</v>
      </c>
      <c r="F210" t="s">
        <v>42</v>
      </c>
      <c r="G210">
        <v>-158.19499999999999</v>
      </c>
      <c r="H210">
        <v>21.347359999999998</v>
      </c>
      <c r="I210">
        <v>366.54309999999998</v>
      </c>
      <c r="J210">
        <v>-377.30779999999999</v>
      </c>
      <c r="K210">
        <v>1.109772</v>
      </c>
      <c r="L210">
        <v>367.41269999999997</v>
      </c>
      <c r="M210">
        <v>0.99961560000000005</v>
      </c>
      <c r="N210">
        <v>0</v>
      </c>
      <c r="O210">
        <v>-2.6371789999999999E-2</v>
      </c>
      <c r="P210">
        <v>0.99229679999999998</v>
      </c>
      <c r="Q210">
        <v>0.1238566</v>
      </c>
      <c r="R210">
        <v>2.5925620000000001E-3</v>
      </c>
      <c r="S210">
        <v>2.9888919999999999</v>
      </c>
      <c r="T210">
        <v>0.27576289999999998</v>
      </c>
      <c r="U210">
        <v>-1.1932369999999999E-2</v>
      </c>
      <c r="V210">
        <v>-2.8889930000000001E-2</v>
      </c>
      <c r="W210">
        <v>0.13231309999999999</v>
      </c>
      <c r="X210">
        <v>0.99078690000000003</v>
      </c>
      <c r="Y210">
        <v>-2.2175569999999999E-2</v>
      </c>
      <c r="Z210">
        <v>-3.4486260000000002E-3</v>
      </c>
      <c r="AA210">
        <v>0.99974819999999998</v>
      </c>
      <c r="AB210">
        <v>41</v>
      </c>
      <c r="AC210">
        <v>219.11279999999999</v>
      </c>
      <c r="AD210">
        <v>20.237587999999999</v>
      </c>
      <c r="AE210">
        <v>-0.86959999999999105</v>
      </c>
      <c r="AF210">
        <v>-4.8677859467997404</v>
      </c>
      <c r="AG210">
        <v>20.237587999999999</v>
      </c>
      <c r="AH210">
        <v>217.20663748201301</v>
      </c>
      <c r="AI210">
        <v>84.678330776785202</v>
      </c>
      <c r="AJ210">
        <v>91.283832367445797</v>
      </c>
      <c r="AK210">
        <v>218.20169264770701</v>
      </c>
      <c r="AL210">
        <v>82.396722214125901</v>
      </c>
      <c r="AM210">
        <v>91.670189808220599</v>
      </c>
      <c r="AN210">
        <v>1.0000000328493099</v>
      </c>
    </row>
    <row r="211" spans="1:40" x14ac:dyDescent="0.3">
      <c r="A211" t="str">
        <f>"20200111150727048"</f>
        <v>20200111150727048</v>
      </c>
      <c r="B211" t="str">
        <f>"1578726447040960"</f>
        <v>1578726447040960</v>
      </c>
      <c r="C211" t="s">
        <v>40</v>
      </c>
      <c r="D211">
        <v>5.2884339999999996</v>
      </c>
      <c r="E211">
        <v>0.50294740000000004</v>
      </c>
      <c r="F211" t="s">
        <v>42</v>
      </c>
      <c r="G211">
        <v>-158.19499999999999</v>
      </c>
      <c r="H211">
        <v>22.066579999999998</v>
      </c>
      <c r="I211">
        <v>366.18169999999998</v>
      </c>
      <c r="J211">
        <v>-377.06029999999998</v>
      </c>
      <c r="K211">
        <v>1.1097790000000001</v>
      </c>
      <c r="L211">
        <v>367.40629999999999</v>
      </c>
      <c r="M211">
        <v>0.99962249999999997</v>
      </c>
      <c r="N211">
        <v>0</v>
      </c>
      <c r="O211">
        <v>-2.6109250000000001E-2</v>
      </c>
      <c r="P211">
        <v>0.99224959999999995</v>
      </c>
      <c r="Q211">
        <v>0.1242316</v>
      </c>
      <c r="R211">
        <v>2.7695580000000001E-3</v>
      </c>
      <c r="S211">
        <v>2.9876710000000002</v>
      </c>
      <c r="T211">
        <v>0.285753599999999</v>
      </c>
      <c r="U211">
        <v>-1.6784670000000002E-2</v>
      </c>
      <c r="V211">
        <v>-2.8809069999999999E-2</v>
      </c>
      <c r="W211">
        <v>0.13269589999999901</v>
      </c>
      <c r="X211">
        <v>0.99073800000000001</v>
      </c>
      <c r="Y211">
        <v>-2.0282140000000001E-2</v>
      </c>
      <c r="Z211">
        <v>-3.4590480000000002E-3</v>
      </c>
      <c r="AA211">
        <v>0.99978829999999996</v>
      </c>
      <c r="AB211">
        <v>41</v>
      </c>
      <c r="AC211">
        <v>218.86529999999999</v>
      </c>
      <c r="AD211">
        <v>20.956800999999999</v>
      </c>
      <c r="AE211">
        <v>-1.2245999999999999</v>
      </c>
      <c r="AF211">
        <v>-4.4496403440082899</v>
      </c>
      <c r="AG211">
        <v>20.956800999999999</v>
      </c>
      <c r="AH211">
        <v>216.83468015498201</v>
      </c>
      <c r="AI211">
        <v>84.480735379366905</v>
      </c>
      <c r="AJ211">
        <v>91.175595317455304</v>
      </c>
      <c r="AK211">
        <v>217.890489295099</v>
      </c>
      <c r="AL211">
        <v>82.374593827637099</v>
      </c>
      <c r="AM211">
        <v>91.665599910950704</v>
      </c>
      <c r="AN211">
        <v>0.99999997451753697</v>
      </c>
    </row>
    <row r="212" spans="1:40" x14ac:dyDescent="0.3">
      <c r="A212" t="str">
        <f>"20200111150727067"</f>
        <v>20200111150727067</v>
      </c>
      <c r="B212" t="str">
        <f>"1578726447061457"</f>
        <v>1578726447061457</v>
      </c>
      <c r="C212" t="s">
        <v>40</v>
      </c>
      <c r="D212">
        <v>5.2664920000000004</v>
      </c>
      <c r="E212">
        <v>0.50409989999999905</v>
      </c>
      <c r="F212" t="s">
        <v>42</v>
      </c>
      <c r="G212">
        <v>-158.19499999999999</v>
      </c>
      <c r="H212">
        <v>22.126449999999998</v>
      </c>
      <c r="I212">
        <v>366.22809999999998</v>
      </c>
      <c r="J212">
        <v>-376.7149</v>
      </c>
      <c r="K212">
        <v>1.109785</v>
      </c>
      <c r="L212">
        <v>367.39760000000001</v>
      </c>
      <c r="M212">
        <v>0.99963190000000002</v>
      </c>
      <c r="N212">
        <v>0</v>
      </c>
      <c r="O212">
        <v>-2.5742749999999998E-2</v>
      </c>
      <c r="P212">
        <v>0.99223969999999995</v>
      </c>
      <c r="Q212">
        <v>0.1242941</v>
      </c>
      <c r="R212">
        <v>3.3544930000000001E-3</v>
      </c>
      <c r="S212">
        <v>2.987549</v>
      </c>
      <c r="T212">
        <v>0.28688229999999998</v>
      </c>
      <c r="U212">
        <v>-1.6082760000000001E-2</v>
      </c>
      <c r="V212">
        <v>-2.9033659999999999E-2</v>
      </c>
      <c r="W212">
        <v>0.13276869999999999</v>
      </c>
      <c r="X212">
        <v>0.99072170000000004</v>
      </c>
      <c r="Y212">
        <v>-2.015084E-2</v>
      </c>
      <c r="Z212">
        <v>-3.4313999999999998E-3</v>
      </c>
      <c r="AA212">
        <v>0.99979110000000004</v>
      </c>
      <c r="AB212">
        <v>41</v>
      </c>
      <c r="AC212">
        <v>218.51990000000001</v>
      </c>
      <c r="AD212">
        <v>21.016665</v>
      </c>
      <c r="AE212">
        <v>-1.16950000000002</v>
      </c>
      <c r="AF212">
        <v>-4.4155540758040797</v>
      </c>
      <c r="AG212">
        <v>21.016665</v>
      </c>
      <c r="AH212">
        <v>216.47522813252999</v>
      </c>
      <c r="AI212">
        <v>84.455919814241</v>
      </c>
      <c r="AJ212">
        <v>91.168528783408902</v>
      </c>
      <c r="AK212">
        <v>217.53786272865099</v>
      </c>
      <c r="AL212">
        <v>82.370385531450694</v>
      </c>
      <c r="AM212">
        <v>91.678604810725204</v>
      </c>
      <c r="AN212">
        <v>0.99999998398178702</v>
      </c>
    </row>
    <row r="213" spans="1:40" x14ac:dyDescent="0.3">
      <c r="A213" t="str">
        <f>"20200111150727080"</f>
        <v>20200111150727080</v>
      </c>
      <c r="B213" t="str">
        <f>"1578726447071217"</f>
        <v>1578726447071217</v>
      </c>
      <c r="C213" t="s">
        <v>40</v>
      </c>
      <c r="D213">
        <v>5.3201729999999996</v>
      </c>
      <c r="E213">
        <v>0.53433869999999895</v>
      </c>
      <c r="F213" t="s">
        <v>42</v>
      </c>
      <c r="G213">
        <v>-158.19499999999999</v>
      </c>
      <c r="H213">
        <v>21.95515</v>
      </c>
      <c r="I213">
        <v>365.6857</v>
      </c>
      <c r="J213">
        <v>-376.47179999999997</v>
      </c>
      <c r="K213">
        <v>1.1097919999999999</v>
      </c>
      <c r="L213">
        <v>367.39150000000001</v>
      </c>
      <c r="M213">
        <v>0.99963829999999998</v>
      </c>
      <c r="N213">
        <v>0</v>
      </c>
      <c r="O213">
        <v>-2.5484630000000001E-2</v>
      </c>
      <c r="P213">
        <v>0.99225070000000004</v>
      </c>
      <c r="Q213">
        <v>0.1242</v>
      </c>
      <c r="R213">
        <v>3.5887190000000002E-3</v>
      </c>
      <c r="S213">
        <v>2.9878230000000001</v>
      </c>
      <c r="T213">
        <v>0.28501989999999999</v>
      </c>
      <c r="U213">
        <v>-2.3406980000000001E-2</v>
      </c>
      <c r="V213">
        <v>-2.9013690000000002E-2</v>
      </c>
      <c r="W213">
        <v>0.13268269999999999</v>
      </c>
      <c r="X213">
        <v>0.9907338</v>
      </c>
      <c r="Y213">
        <v>-1.7458540000000002E-2</v>
      </c>
      <c r="Z213">
        <v>-3.256185E-3</v>
      </c>
      <c r="AA213">
        <v>0.99984229999999996</v>
      </c>
      <c r="AB213">
        <v>41</v>
      </c>
      <c r="AC213">
        <v>218.27680000000001</v>
      </c>
      <c r="AD213">
        <v>20.845357999999901</v>
      </c>
      <c r="AE213">
        <v>-1.70580000000001</v>
      </c>
      <c r="AF213">
        <v>-3.8228003193128499</v>
      </c>
      <c r="AG213">
        <v>20.845357999999901</v>
      </c>
      <c r="AH213">
        <v>216.277009340376</v>
      </c>
      <c r="AI213">
        <v>84.4955390758644</v>
      </c>
      <c r="AJ213">
        <v>91.012625055011796</v>
      </c>
      <c r="AK213">
        <v>217.31287932758801</v>
      </c>
      <c r="AL213">
        <v>82.375356904071594</v>
      </c>
      <c r="AM213">
        <v>91.677430413422996</v>
      </c>
      <c r="AN213">
        <v>0.99999997777457195</v>
      </c>
    </row>
    <row r="214" spans="1:40" x14ac:dyDescent="0.3">
      <c r="A214" t="str">
        <f>"20200111150727093"</f>
        <v>20200111150727093</v>
      </c>
      <c r="B214" t="str">
        <f>"1578726447091712"</f>
        <v>1578726447091712</v>
      </c>
      <c r="C214" t="s">
        <v>40</v>
      </c>
      <c r="D214">
        <v>4.6910319999999999</v>
      </c>
      <c r="E214">
        <v>0.50849529999999998</v>
      </c>
      <c r="F214" t="s">
        <v>41</v>
      </c>
      <c r="G214">
        <v>-375.46949999999998</v>
      </c>
      <c r="H214">
        <v>0.88387569999999904</v>
      </c>
      <c r="I214">
        <v>367.30270000000002</v>
      </c>
      <c r="J214">
        <v>-376.22809999999998</v>
      </c>
      <c r="K214">
        <v>1.1097969999999999</v>
      </c>
      <c r="L214">
        <v>367.38549999999998</v>
      </c>
      <c r="M214">
        <v>0.99964489999999995</v>
      </c>
      <c r="N214">
        <v>0</v>
      </c>
      <c r="O214">
        <v>-2.522665E-2</v>
      </c>
      <c r="P214">
        <v>0.99225459999999999</v>
      </c>
      <c r="Q214">
        <v>0.12415420000000001</v>
      </c>
      <c r="R214">
        <v>4.0836290000000001E-3</v>
      </c>
      <c r="S214">
        <v>3.1121829999999999</v>
      </c>
      <c r="T214">
        <v>-0.70151569999999996</v>
      </c>
      <c r="U214">
        <v>-0.27545170000000002</v>
      </c>
      <c r="V214">
        <v>-2.9254289999999999E-2</v>
      </c>
      <c r="W214">
        <v>0.13264389999999901</v>
      </c>
      <c r="X214">
        <v>0.99073199999999995</v>
      </c>
      <c r="Y214">
        <v>6.2088200000000003E-2</v>
      </c>
      <c r="Z214">
        <v>-1.2944129999999999E-3</v>
      </c>
      <c r="AA214">
        <v>0.99806980000000001</v>
      </c>
      <c r="AB214">
        <v>41</v>
      </c>
      <c r="AC214">
        <v>0.75860000000000105</v>
      </c>
      <c r="AD214">
        <v>-0.22592129999999899</v>
      </c>
      <c r="AE214">
        <v>-8.2799999999963306E-2</v>
      </c>
      <c r="AF214">
        <v>5.8507868731185901E-2</v>
      </c>
      <c r="AG214">
        <v>-0.22592129999999899</v>
      </c>
      <c r="AH214">
        <v>0.69916640029184396</v>
      </c>
      <c r="AI214">
        <v>107.84876767374899</v>
      </c>
      <c r="AJ214">
        <v>85.216501133957706</v>
      </c>
      <c r="AK214">
        <v>0.73708700964961504</v>
      </c>
      <c r="AL214">
        <v>82.377600410620403</v>
      </c>
      <c r="AM214">
        <v>91.691335759794697</v>
      </c>
      <c r="AN214">
        <v>1.0000000567573</v>
      </c>
    </row>
    <row r="215" spans="1:40" x14ac:dyDescent="0.3">
      <c r="A215" t="str">
        <f>"20200111150727112"</f>
        <v>20200111150727112</v>
      </c>
      <c r="B215" t="str">
        <f>"1578726447101472"</f>
        <v>1578726447101472</v>
      </c>
      <c r="C215" t="s">
        <v>40</v>
      </c>
      <c r="D215">
        <v>5.3689039999999997</v>
      </c>
      <c r="E215">
        <v>0.50952089999999906</v>
      </c>
      <c r="F215" t="s">
        <v>42</v>
      </c>
      <c r="G215">
        <v>-158.19499999999999</v>
      </c>
      <c r="H215">
        <v>38.596789999999999</v>
      </c>
      <c r="I215">
        <v>363.42009999999999</v>
      </c>
      <c r="J215">
        <v>-375.8922</v>
      </c>
      <c r="K215">
        <v>1.1098049999999999</v>
      </c>
      <c r="L215">
        <v>367.37720000000002</v>
      </c>
      <c r="M215">
        <v>0.99965360000000003</v>
      </c>
      <c r="N215">
        <v>0</v>
      </c>
      <c r="O215">
        <v>-2.4871999999999998E-2</v>
      </c>
      <c r="P215">
        <v>0.99226760000000003</v>
      </c>
      <c r="Q215">
        <v>0.124031</v>
      </c>
      <c r="R215">
        <v>4.6385319999999999E-3</v>
      </c>
      <c r="S215">
        <v>2.9599609999999998</v>
      </c>
      <c r="T215">
        <v>0.50891459999999999</v>
      </c>
      <c r="U215">
        <v>-5.3833010000000001E-2</v>
      </c>
      <c r="V215">
        <v>-2.9459300000000001E-2</v>
      </c>
      <c r="W215">
        <v>0.13253139999999999</v>
      </c>
      <c r="X215">
        <v>0.99074090000000004</v>
      </c>
      <c r="Y215">
        <v>-6.2341970000000003E-3</v>
      </c>
      <c r="Z215">
        <v>-4.7763999999999897E-3</v>
      </c>
      <c r="AA215">
        <v>0.9999692</v>
      </c>
      <c r="AB215">
        <v>41</v>
      </c>
      <c r="AC215">
        <v>217.69720000000001</v>
      </c>
      <c r="AD215">
        <v>37.486984999999997</v>
      </c>
      <c r="AE215">
        <v>-3.95710000000002</v>
      </c>
      <c r="AF215">
        <v>-1.41688965871884</v>
      </c>
      <c r="AG215">
        <v>37.486984999999997</v>
      </c>
      <c r="AH215">
        <v>211.46011011174801</v>
      </c>
      <c r="AI215">
        <v>79.947446483657103</v>
      </c>
      <c r="AJ215">
        <v>90.383904948013594</v>
      </c>
      <c r="AK215">
        <v>214.76186763289201</v>
      </c>
      <c r="AL215">
        <v>82.384102986456099</v>
      </c>
      <c r="AM215">
        <v>91.703166158021403</v>
      </c>
      <c r="AN215">
        <v>0.99999997663762896</v>
      </c>
    </row>
    <row r="216" spans="1:40" x14ac:dyDescent="0.3">
      <c r="A216" t="str">
        <f>"20200111150727127"</f>
        <v>20200111150727127</v>
      </c>
      <c r="B216" t="str">
        <f>"1578726447120992"</f>
        <v>1578726447120992</v>
      </c>
      <c r="C216" t="s">
        <v>40</v>
      </c>
      <c r="D216">
        <v>5.3129689999999998</v>
      </c>
      <c r="E216">
        <v>0.49925520000000001</v>
      </c>
      <c r="F216" t="s">
        <v>42</v>
      </c>
      <c r="G216">
        <v>-158.19499999999999</v>
      </c>
      <c r="H216">
        <v>34.680430000000001</v>
      </c>
      <c r="I216">
        <v>362.90710000000001</v>
      </c>
      <c r="J216">
        <v>-375.60590000000002</v>
      </c>
      <c r="K216">
        <v>1.109807</v>
      </c>
      <c r="L216">
        <v>367.37029999999999</v>
      </c>
      <c r="M216">
        <v>0.99966089999999996</v>
      </c>
      <c r="N216">
        <v>0</v>
      </c>
      <c r="O216">
        <v>-2.4571590000000001E-2</v>
      </c>
      <c r="P216">
        <v>0.99226080000000005</v>
      </c>
      <c r="Q216">
        <v>0.1240696</v>
      </c>
      <c r="R216">
        <v>5.0281620000000001E-3</v>
      </c>
      <c r="S216">
        <v>2.9664920000000001</v>
      </c>
      <c r="T216">
        <v>0.45745740000000001</v>
      </c>
      <c r="U216">
        <v>-6.0913090000000003E-2</v>
      </c>
      <c r="V216">
        <v>-2.95517E-2</v>
      </c>
      <c r="W216">
        <v>0.13257920000000001</v>
      </c>
      <c r="X216">
        <v>0.99073180000000005</v>
      </c>
      <c r="Y216">
        <v>-3.7100649999999998E-3</v>
      </c>
      <c r="Z216">
        <v>-4.0504579999999998E-3</v>
      </c>
      <c r="AA216">
        <v>0.99998489999999995</v>
      </c>
      <c r="AB216">
        <v>41</v>
      </c>
      <c r="AC216">
        <v>217.4109</v>
      </c>
      <c r="AD216">
        <v>33.570622999999998</v>
      </c>
      <c r="AE216">
        <v>-4.4631999999999703</v>
      </c>
      <c r="AF216">
        <v>-0.85998199737399295</v>
      </c>
      <c r="AG216">
        <v>33.570622999999998</v>
      </c>
      <c r="AH216">
        <v>212.39302629859199</v>
      </c>
      <c r="AI216">
        <v>81.018265056880594</v>
      </c>
      <c r="AJ216">
        <v>90.231990053993201</v>
      </c>
      <c r="AK216">
        <v>215.03144867185901</v>
      </c>
      <c r="AL216">
        <v>82.381340223566994</v>
      </c>
      <c r="AM216">
        <v>91.708520713408902</v>
      </c>
      <c r="AN216">
        <v>1.0000000233883799</v>
      </c>
    </row>
    <row r="217" spans="1:40" x14ac:dyDescent="0.3">
      <c r="A217" t="str">
        <f>"20200111150727145"</f>
        <v>20200111150727145</v>
      </c>
      <c r="B217" t="str">
        <f>"1578726447141489"</f>
        <v>1578726447141489</v>
      </c>
      <c r="C217" t="s">
        <v>40</v>
      </c>
      <c r="D217">
        <v>5.2917389999999997</v>
      </c>
      <c r="E217">
        <v>0.53661110000000001</v>
      </c>
      <c r="F217" t="s">
        <v>42</v>
      </c>
      <c r="G217">
        <v>-158.78319999999999</v>
      </c>
      <c r="H217">
        <v>36.801110000000001</v>
      </c>
      <c r="I217">
        <v>369.01429999999999</v>
      </c>
      <c r="J217">
        <v>-375.28800000000001</v>
      </c>
      <c r="K217">
        <v>1.109812</v>
      </c>
      <c r="L217">
        <v>367.36279999999999</v>
      </c>
      <c r="M217">
        <v>0.99966900000000003</v>
      </c>
      <c r="N217">
        <v>0</v>
      </c>
      <c r="O217">
        <v>-2.4239610000000002E-2</v>
      </c>
      <c r="P217">
        <v>0.99221309999999996</v>
      </c>
      <c r="Q217">
        <v>0.12441530000000001</v>
      </c>
      <c r="R217">
        <v>5.8153090000000003E-3</v>
      </c>
      <c r="S217">
        <v>2.9623110000000001</v>
      </c>
      <c r="T217">
        <v>0.48762870000000003</v>
      </c>
      <c r="U217">
        <v>2.2460939999999999E-2</v>
      </c>
      <c r="V217">
        <v>-3.000945E-2</v>
      </c>
      <c r="W217">
        <v>0.1329341</v>
      </c>
      <c r="X217">
        <v>0.99067039999999995</v>
      </c>
      <c r="Y217">
        <v>-3.1075240000000001E-2</v>
      </c>
      <c r="Z217">
        <v>-6.5038550000000002E-3</v>
      </c>
      <c r="AA217">
        <v>0.99949589999999999</v>
      </c>
      <c r="AB217">
        <v>41</v>
      </c>
      <c r="AC217">
        <v>216.50479999999999</v>
      </c>
      <c r="AD217">
        <v>35.691298000000003</v>
      </c>
      <c r="AE217">
        <v>1.65149999999999</v>
      </c>
      <c r="AF217">
        <v>-6.7166781434004097</v>
      </c>
      <c r="AG217">
        <v>35.691298000000003</v>
      </c>
      <c r="AH217">
        <v>210.676093729435</v>
      </c>
      <c r="AI217">
        <v>80.389430006369295</v>
      </c>
      <c r="AJ217">
        <v>91.826059120232301</v>
      </c>
      <c r="AK217">
        <v>213.783533012486</v>
      </c>
      <c r="AL217">
        <v>82.360823731459107</v>
      </c>
      <c r="AM217">
        <v>91.735076775272006</v>
      </c>
      <c r="AN217">
        <v>0.99999994173413398</v>
      </c>
    </row>
    <row r="218" spans="1:40" x14ac:dyDescent="0.3">
      <c r="A218" t="str">
        <f>"20200111150727158"</f>
        <v>20200111150727158</v>
      </c>
      <c r="B218" t="str">
        <f>"1578726447151249"</f>
        <v>1578726447151249</v>
      </c>
      <c r="C218" t="s">
        <v>40</v>
      </c>
      <c r="D218">
        <v>5.2849849999999998</v>
      </c>
      <c r="E218">
        <v>0.53819019999999995</v>
      </c>
      <c r="F218" t="s">
        <v>41</v>
      </c>
      <c r="G218">
        <v>-374.35180000000003</v>
      </c>
      <c r="H218">
        <v>0.91854049999999998</v>
      </c>
      <c r="I218">
        <v>367.27600000000001</v>
      </c>
      <c r="J218">
        <v>-375.04149999999998</v>
      </c>
      <c r="K218">
        <v>1.1098129999999999</v>
      </c>
      <c r="L218">
        <v>367.3569</v>
      </c>
      <c r="M218">
        <v>0.99967519999999999</v>
      </c>
      <c r="N218">
        <v>0</v>
      </c>
      <c r="O218">
        <v>-2.3983339999999999E-2</v>
      </c>
      <c r="P218">
        <v>0.99217759999999999</v>
      </c>
      <c r="Q218">
        <v>0.124685199999999</v>
      </c>
      <c r="R218">
        <v>6.1240690000000002E-3</v>
      </c>
      <c r="S218">
        <v>3.1047669999999998</v>
      </c>
      <c r="T218">
        <v>-0.63445099999999999</v>
      </c>
      <c r="U218">
        <v>-0.28689579999999998</v>
      </c>
      <c r="V218">
        <v>-3.0063590000000001E-2</v>
      </c>
      <c r="W218">
        <v>0.13321150000000001</v>
      </c>
      <c r="X218">
        <v>0.99063159999999895</v>
      </c>
      <c r="Y218">
        <v>6.7218449999999999E-2</v>
      </c>
      <c r="Z218">
        <v>-1.944391E-3</v>
      </c>
      <c r="AA218">
        <v>0.99773639999999997</v>
      </c>
      <c r="AB218">
        <v>41</v>
      </c>
      <c r="AC218">
        <v>0.68969999999995901</v>
      </c>
      <c r="AD218">
        <v>-0.19127249999999901</v>
      </c>
      <c r="AE218">
        <v>-8.0899999999985497E-2</v>
      </c>
      <c r="AF218">
        <v>5.9798129351429898E-2</v>
      </c>
      <c r="AG218">
        <v>-0.19127249999999901</v>
      </c>
      <c r="AH218">
        <v>0.64268375754935403</v>
      </c>
      <c r="AI218">
        <v>106.506416174405</v>
      </c>
      <c r="AJ218">
        <v>84.684252834114105</v>
      </c>
      <c r="AK218">
        <v>0.67320383075851398</v>
      </c>
      <c r="AL218">
        <v>82.344788052706207</v>
      </c>
      <c r="AM218">
        <v>91.738273144304998</v>
      </c>
      <c r="AN218">
        <v>1.0000000450472399</v>
      </c>
    </row>
    <row r="219" spans="1:40" x14ac:dyDescent="0.3">
      <c r="A219" t="str">
        <f>"20200111150727170"</f>
        <v>20200111150727170</v>
      </c>
      <c r="B219" t="str">
        <f>"1578726447161009"</f>
        <v>1578726447161009</v>
      </c>
      <c r="C219" t="s">
        <v>40</v>
      </c>
      <c r="D219">
        <v>5.2679419999999997</v>
      </c>
      <c r="E219">
        <v>0.53933299999999995</v>
      </c>
      <c r="F219" t="s">
        <v>41</v>
      </c>
      <c r="G219">
        <v>-374.33510000000001</v>
      </c>
      <c r="H219">
        <v>0.9520788</v>
      </c>
      <c r="I219">
        <v>367.28879999999998</v>
      </c>
      <c r="J219">
        <v>-374.80149999999998</v>
      </c>
      <c r="K219">
        <v>1.109815</v>
      </c>
      <c r="L219">
        <v>367.35129999999998</v>
      </c>
      <c r="M219">
        <v>0.99968109999999999</v>
      </c>
      <c r="N219">
        <v>0</v>
      </c>
      <c r="O219">
        <v>-2.3736239999999999E-2</v>
      </c>
      <c r="P219">
        <v>0.99216119999999997</v>
      </c>
      <c r="Q219">
        <v>0.1248045</v>
      </c>
      <c r="R219">
        <v>6.3423660000000003E-3</v>
      </c>
      <c r="S219">
        <v>3.112854</v>
      </c>
      <c r="T219">
        <v>-0.69514500000000001</v>
      </c>
      <c r="U219">
        <v>-0.2991028</v>
      </c>
      <c r="V219">
        <v>-3.0037089999999999E-2</v>
      </c>
      <c r="W219">
        <v>0.13333819999999999</v>
      </c>
      <c r="X219">
        <v>0.99061529999999998</v>
      </c>
      <c r="Y219">
        <v>7.0841420000000002E-2</v>
      </c>
      <c r="Z219">
        <v>-2.5734989999999999E-3</v>
      </c>
      <c r="AA219">
        <v>0.99748429999999999</v>
      </c>
      <c r="AB219">
        <v>41</v>
      </c>
      <c r="AC219">
        <v>0.46639999999996401</v>
      </c>
      <c r="AD219">
        <v>-0.15773619999999999</v>
      </c>
      <c r="AE219">
        <v>-6.25E-2</v>
      </c>
      <c r="AF219">
        <v>4.6218260471881399E-2</v>
      </c>
      <c r="AG219">
        <v>-0.15773619999999999</v>
      </c>
      <c r="AH219">
        <v>0.42050386812963397</v>
      </c>
      <c r="AI219">
        <v>110.44882064615901</v>
      </c>
      <c r="AJ219">
        <v>83.727704939866797</v>
      </c>
      <c r="AK219">
        <v>0.45148680988869599</v>
      </c>
      <c r="AL219">
        <v>82.337462891009295</v>
      </c>
      <c r="AM219">
        <v>91.7367704158724</v>
      </c>
      <c r="AN219">
        <v>0.99999998747449803</v>
      </c>
    </row>
    <row r="220" spans="1:40" x14ac:dyDescent="0.3">
      <c r="A220" t="str">
        <f>"20200111150727183"</f>
        <v>20200111150727183</v>
      </c>
      <c r="B220" t="str">
        <f>"1578726447180873"</f>
        <v>1578726447180873</v>
      </c>
      <c r="C220" t="s">
        <v>40</v>
      </c>
      <c r="D220">
        <v>5.2727139999999997</v>
      </c>
      <c r="E220">
        <v>0.54083369999999997</v>
      </c>
      <c r="F220" t="s">
        <v>41</v>
      </c>
      <c r="G220">
        <v>-373.98230000000001</v>
      </c>
      <c r="H220">
        <v>0.91972390000000004</v>
      </c>
      <c r="I220">
        <v>367.27030000000002</v>
      </c>
      <c r="J220">
        <v>-374.57229999999998</v>
      </c>
      <c r="K220">
        <v>1.109815</v>
      </c>
      <c r="L220">
        <v>367.34609999999998</v>
      </c>
      <c r="M220">
        <v>0.99968639999999998</v>
      </c>
      <c r="N220">
        <v>0</v>
      </c>
      <c r="O220">
        <v>-2.3501310000000001E-2</v>
      </c>
      <c r="P220">
        <v>0.99214069999999999</v>
      </c>
      <c r="Q220">
        <v>0.1249516</v>
      </c>
      <c r="R220">
        <v>6.6353929999999998E-3</v>
      </c>
      <c r="S220">
        <v>3.1166689999999999</v>
      </c>
      <c r="T220">
        <v>-0.72329779999999999</v>
      </c>
      <c r="U220">
        <v>-0.30761719999999998</v>
      </c>
      <c r="V220">
        <v>-3.009645E-2</v>
      </c>
      <c r="W220">
        <v>0.13349320000000001</v>
      </c>
      <c r="X220">
        <v>0.99059269999999999</v>
      </c>
      <c r="Y220">
        <v>7.3492489999999994E-2</v>
      </c>
      <c r="Z220">
        <v>-3.0281319999999998E-3</v>
      </c>
      <c r="AA220">
        <v>0.99729109999999999</v>
      </c>
      <c r="AB220">
        <v>41</v>
      </c>
      <c r="AC220">
        <v>0.58999999999997499</v>
      </c>
      <c r="AD220">
        <v>-0.19009110000000001</v>
      </c>
      <c r="AE220">
        <v>-7.5799999999958304E-2</v>
      </c>
      <c r="AF220">
        <v>5.6176084142244502E-2</v>
      </c>
      <c r="AG220">
        <v>-0.19009110000000001</v>
      </c>
      <c r="AH220">
        <v>0.53680056304078505</v>
      </c>
      <c r="AI220">
        <v>109.402027712069</v>
      </c>
      <c r="AJ220">
        <v>84.025752621600404</v>
      </c>
      <c r="AK220">
        <v>0.57222829640771</v>
      </c>
      <c r="AL220">
        <v>82.328502526362001</v>
      </c>
      <c r="AM220">
        <v>91.740240231510796</v>
      </c>
      <c r="AN220">
        <v>1.00000006402106</v>
      </c>
    </row>
    <row r="221" spans="1:40" x14ac:dyDescent="0.3">
      <c r="A221" t="str">
        <f>"20200111150727201"</f>
        <v>20200111150727201</v>
      </c>
      <c r="B221" t="str">
        <f>"1578726447191609"</f>
        <v>1578726447191609</v>
      </c>
      <c r="C221" t="s">
        <v>40</v>
      </c>
      <c r="D221">
        <v>5.2638930000000004</v>
      </c>
      <c r="E221">
        <v>0.54118900000000003</v>
      </c>
      <c r="F221" t="s">
        <v>41</v>
      </c>
      <c r="G221">
        <v>-373.62920000000003</v>
      </c>
      <c r="H221">
        <v>0.88187769999999999</v>
      </c>
      <c r="I221">
        <v>367.24930000000001</v>
      </c>
      <c r="J221">
        <v>-374.24130000000002</v>
      </c>
      <c r="K221">
        <v>1.109818</v>
      </c>
      <c r="L221">
        <v>367.33850000000001</v>
      </c>
      <c r="M221">
        <v>0.99969419999999998</v>
      </c>
      <c r="N221">
        <v>0</v>
      </c>
      <c r="O221">
        <v>-2.3166630000000001E-2</v>
      </c>
      <c r="P221">
        <v>0.99211910000000003</v>
      </c>
      <c r="Q221">
        <v>0.12511549999999999</v>
      </c>
      <c r="R221">
        <v>6.7707280000000002E-3</v>
      </c>
      <c r="S221">
        <v>3.1209410000000002</v>
      </c>
      <c r="T221">
        <v>-0.75443850000000001</v>
      </c>
      <c r="U221">
        <v>-0.31893919999999998</v>
      </c>
      <c r="V221">
        <v>-2.9898770000000002E-2</v>
      </c>
      <c r="W221">
        <v>0.13366749999999999</v>
      </c>
      <c r="X221">
        <v>0.99057510000000004</v>
      </c>
      <c r="Y221">
        <v>7.7053620000000003E-2</v>
      </c>
      <c r="Z221">
        <v>-3.6530270000000001E-3</v>
      </c>
      <c r="AA221">
        <v>0.99702020000000002</v>
      </c>
      <c r="AB221">
        <v>41</v>
      </c>
      <c r="AC221">
        <v>0.61209999999999798</v>
      </c>
      <c r="AD221">
        <v>-0.22794030000000001</v>
      </c>
      <c r="AE221">
        <v>-8.9200000000005206E-2</v>
      </c>
      <c r="AF221">
        <v>6.6029077029307798E-2</v>
      </c>
      <c r="AG221">
        <v>-0.22794030000000001</v>
      </c>
      <c r="AH221">
        <v>0.54059438054782805</v>
      </c>
      <c r="AI221">
        <v>112.71112022649901</v>
      </c>
      <c r="AJ221">
        <v>83.036293119190901</v>
      </c>
      <c r="AK221">
        <v>0.59038877331578898</v>
      </c>
      <c r="AL221">
        <v>82.318424935627903</v>
      </c>
      <c r="AM221">
        <v>91.728847614303902</v>
      </c>
      <c r="AN221">
        <v>0.99999998287188596</v>
      </c>
    </row>
    <row r="222" spans="1:40" x14ac:dyDescent="0.3">
      <c r="A222" t="str">
        <f>"20200111150727215"</f>
        <v>20200111150727215</v>
      </c>
      <c r="B222" t="str">
        <f>"1578726447211130"</f>
        <v>1578726447211130</v>
      </c>
      <c r="C222" t="s">
        <v>40</v>
      </c>
      <c r="D222">
        <v>5.2776259999999997</v>
      </c>
      <c r="E222">
        <v>0.54204449999999904</v>
      </c>
      <c r="F222" t="s">
        <v>41</v>
      </c>
      <c r="G222">
        <v>-373.26350000000002</v>
      </c>
      <c r="H222">
        <v>0.87172320000000003</v>
      </c>
      <c r="I222">
        <v>367.23779999999999</v>
      </c>
      <c r="J222">
        <v>-373.99290000000002</v>
      </c>
      <c r="K222">
        <v>1.1098159999999999</v>
      </c>
      <c r="L222">
        <v>367.3329</v>
      </c>
      <c r="M222">
        <v>0.99969980000000003</v>
      </c>
      <c r="N222">
        <v>0</v>
      </c>
      <c r="O222">
        <v>-2.291932E-2</v>
      </c>
      <c r="P222">
        <v>0.99207389999999995</v>
      </c>
      <c r="Q222">
        <v>0.12545719999999999</v>
      </c>
      <c r="R222">
        <v>7.0650369999999997E-3</v>
      </c>
      <c r="S222">
        <v>3.1218870000000001</v>
      </c>
      <c r="T222">
        <v>-0.76018269999999899</v>
      </c>
      <c r="U222">
        <v>-0.32177729999999999</v>
      </c>
      <c r="V222">
        <v>-2.9946469999999999E-2</v>
      </c>
      <c r="W222">
        <v>0.13401669999999999</v>
      </c>
      <c r="X222">
        <v>0.99052649999999998</v>
      </c>
      <c r="Y222">
        <v>7.8106969999999998E-2</v>
      </c>
      <c r="Z222">
        <v>-3.864068E-3</v>
      </c>
      <c r="AA222">
        <v>0.99693750000000003</v>
      </c>
      <c r="AB222">
        <v>41</v>
      </c>
      <c r="AC222">
        <v>0.72939999999999805</v>
      </c>
      <c r="AD222">
        <v>-0.23809279999999899</v>
      </c>
      <c r="AE222">
        <v>-9.51000000000021E-2</v>
      </c>
      <c r="AF222">
        <v>7.0926056306972393E-2</v>
      </c>
      <c r="AG222">
        <v>-0.23809279999999899</v>
      </c>
      <c r="AH222">
        <v>0.66202697925713205</v>
      </c>
      <c r="AI222">
        <v>109.676835835072</v>
      </c>
      <c r="AJ222">
        <v>83.884958970904407</v>
      </c>
      <c r="AK222">
        <v>0.70710565557024296</v>
      </c>
      <c r="AL222">
        <v>82.298235786366007</v>
      </c>
      <c r="AM222">
        <v>91.731689020252304</v>
      </c>
      <c r="AN222">
        <v>1.0000000070732999</v>
      </c>
    </row>
    <row r="223" spans="1:40" x14ac:dyDescent="0.3">
      <c r="A223" t="str">
        <f>"20200111150727234"</f>
        <v>20200111150727234</v>
      </c>
      <c r="B223" t="str">
        <f>"1578726447231625"</f>
        <v>1578726447231625</v>
      </c>
      <c r="C223" t="s">
        <v>40</v>
      </c>
      <c r="D223">
        <v>5.3069009999999999</v>
      </c>
      <c r="E223">
        <v>0.54217729999999997</v>
      </c>
      <c r="F223" t="s">
        <v>41</v>
      </c>
      <c r="G223">
        <v>-373.24239999999998</v>
      </c>
      <c r="H223">
        <v>0.92143629999999999</v>
      </c>
      <c r="I223">
        <v>367.25409999999999</v>
      </c>
      <c r="J223">
        <v>-373.64670000000001</v>
      </c>
      <c r="K223">
        <v>1.109812</v>
      </c>
      <c r="L223">
        <v>367.3252</v>
      </c>
      <c r="M223">
        <v>0.99970749999999997</v>
      </c>
      <c r="N223">
        <v>0</v>
      </c>
      <c r="O223">
        <v>-2.2580610000000001E-2</v>
      </c>
      <c r="P223">
        <v>0.99203209999999997</v>
      </c>
      <c r="Q223">
        <v>0.12576379999999901</v>
      </c>
      <c r="R223">
        <v>7.4758990000000003E-3</v>
      </c>
      <c r="S223">
        <v>3.1255489999999999</v>
      </c>
      <c r="T223">
        <v>-0.78446590000000005</v>
      </c>
      <c r="U223">
        <v>-0.32858280000000001</v>
      </c>
      <c r="V223">
        <v>-3.0019799999999999E-2</v>
      </c>
      <c r="W223">
        <v>0.1343338</v>
      </c>
      <c r="X223">
        <v>0.99048130000000001</v>
      </c>
      <c r="Y223">
        <v>8.0297640000000003E-2</v>
      </c>
      <c r="Z223">
        <v>-4.332397E-3</v>
      </c>
      <c r="AA223">
        <v>0.99676149999999997</v>
      </c>
      <c r="AB223">
        <v>41</v>
      </c>
      <c r="AC223">
        <v>0.40430000000003402</v>
      </c>
      <c r="AD223">
        <v>-0.18837569999999901</v>
      </c>
      <c r="AE223">
        <v>-7.1100000000001204E-2</v>
      </c>
      <c r="AF223">
        <v>5.1175676764596202E-2</v>
      </c>
      <c r="AG223">
        <v>-0.18837569999999901</v>
      </c>
      <c r="AH223">
        <v>0.33521358903194798</v>
      </c>
      <c r="AI223">
        <v>119.053082034708</v>
      </c>
      <c r="AJ223">
        <v>81.319910693689295</v>
      </c>
      <c r="AK223">
        <v>0.38790785570091801</v>
      </c>
      <c r="AL223">
        <v>82.279901313932797</v>
      </c>
      <c r="AM223">
        <v>91.736005989863102</v>
      </c>
      <c r="AN223">
        <v>0.99999998193208395</v>
      </c>
    </row>
    <row r="224" spans="1:40" x14ac:dyDescent="0.3">
      <c r="A224" t="str">
        <f>"20200111150727247"</f>
        <v>20200111150727247</v>
      </c>
      <c r="B224" t="str">
        <f>"1578726447241386"</f>
        <v>1578726447241386</v>
      </c>
      <c r="C224" t="s">
        <v>40</v>
      </c>
      <c r="D224">
        <v>5.0730750000000002</v>
      </c>
      <c r="E224">
        <v>0.54217729999999997</v>
      </c>
      <c r="F224" t="s">
        <v>41</v>
      </c>
      <c r="G224">
        <v>-372.87639999999999</v>
      </c>
      <c r="H224">
        <v>0.91180289999999997</v>
      </c>
      <c r="I224">
        <v>367.2441</v>
      </c>
      <c r="J224">
        <v>-373.40820000000002</v>
      </c>
      <c r="K224">
        <v>1.1098079999999999</v>
      </c>
      <c r="L224">
        <v>367.32</v>
      </c>
      <c r="M224">
        <v>0.9997125</v>
      </c>
      <c r="N224">
        <v>0</v>
      </c>
      <c r="O224">
        <v>-2.2352029999999998E-2</v>
      </c>
      <c r="P224">
        <v>0.99201099999999998</v>
      </c>
      <c r="Q224">
        <v>0.12591540000000001</v>
      </c>
      <c r="R224">
        <v>7.7164319999999996E-3</v>
      </c>
      <c r="S224">
        <v>3.1285099999999999</v>
      </c>
      <c r="T224">
        <v>-0.80430639999999998</v>
      </c>
      <c r="U224">
        <v>-0.328125</v>
      </c>
      <c r="V224">
        <v>-3.003142E-2</v>
      </c>
      <c r="W224">
        <v>0.134493</v>
      </c>
      <c r="X224">
        <v>0.99045939999999999</v>
      </c>
      <c r="Y224">
        <v>8.0193360000000005E-2</v>
      </c>
      <c r="Z224">
        <v>-4.4790350000000001E-3</v>
      </c>
      <c r="AA224">
        <v>0.99676920000000002</v>
      </c>
      <c r="AB224">
        <v>41</v>
      </c>
      <c r="AC224">
        <v>0.53180000000003202</v>
      </c>
      <c r="AD224">
        <v>-0.19800509999999899</v>
      </c>
      <c r="AE224">
        <v>-7.5899999999990003E-2</v>
      </c>
      <c r="AF224">
        <v>5.6339388229414498E-2</v>
      </c>
      <c r="AG224">
        <v>-0.19800509999999899</v>
      </c>
      <c r="AH224">
        <v>0.46956728719738899</v>
      </c>
      <c r="AI224">
        <v>112.717740633449</v>
      </c>
      <c r="AJ224">
        <v>83.158271423173801</v>
      </c>
      <c r="AK224">
        <v>0.51271198883777802</v>
      </c>
      <c r="AL224">
        <v>82.270696730383094</v>
      </c>
      <c r="AM224">
        <v>91.736715924005296</v>
      </c>
      <c r="AN224">
        <v>1.00000003814228</v>
      </c>
    </row>
    <row r="225" spans="1:40" x14ac:dyDescent="0.3">
      <c r="A225" t="str">
        <f>"20200111150727259"</f>
        <v>20200111150727259</v>
      </c>
      <c r="B225" t="str">
        <f>"1578726447251146"</f>
        <v>1578726447251146</v>
      </c>
      <c r="C225" t="s">
        <v>40</v>
      </c>
      <c r="D225">
        <v>5.2918010000000004</v>
      </c>
      <c r="E225">
        <v>0.54232749999999996</v>
      </c>
      <c r="F225" t="s">
        <v>41</v>
      </c>
      <c r="G225">
        <v>-372.51830000000001</v>
      </c>
      <c r="H225">
        <v>0.88115180000000004</v>
      </c>
      <c r="I225">
        <v>367.2269</v>
      </c>
      <c r="J225">
        <v>-373.16160000000002</v>
      </c>
      <c r="K225">
        <v>1.1098049999999999</v>
      </c>
      <c r="L225">
        <v>367.31459999999998</v>
      </c>
      <c r="M225">
        <v>0.99971759999999998</v>
      </c>
      <c r="N225">
        <v>0</v>
      </c>
      <c r="O225">
        <v>-2.211917E-2</v>
      </c>
      <c r="P225">
        <v>0.99202860000000004</v>
      </c>
      <c r="Q225">
        <v>0.12575720000000001</v>
      </c>
      <c r="R225">
        <v>8.0378159999999997E-3</v>
      </c>
      <c r="S225">
        <v>3.1287539999999998</v>
      </c>
      <c r="T225">
        <v>-0.80390799999999996</v>
      </c>
      <c r="U225">
        <v>-0.32690429999999998</v>
      </c>
      <c r="V225">
        <v>-3.0120830000000001E-2</v>
      </c>
      <c r="W225">
        <v>0.1343433</v>
      </c>
      <c r="X225">
        <v>0.99047700000000005</v>
      </c>
      <c r="Y225">
        <v>8.0032399999999906E-2</v>
      </c>
      <c r="Z225">
        <v>-4.5150140000000004E-3</v>
      </c>
      <c r="AA225">
        <v>0.9967821</v>
      </c>
      <c r="AB225">
        <v>41</v>
      </c>
      <c r="AC225">
        <v>0.64330000000000997</v>
      </c>
      <c r="AD225">
        <v>-0.228653199999999</v>
      </c>
      <c r="AE225">
        <v>-8.7699999999983902E-2</v>
      </c>
      <c r="AF225">
        <v>6.5344058242319605E-2</v>
      </c>
      <c r="AG225">
        <v>-0.228653199999999</v>
      </c>
      <c r="AH225">
        <v>0.57390104128531105</v>
      </c>
      <c r="AI225">
        <v>111.596705876123</v>
      </c>
      <c r="AJ225">
        <v>83.504307536607001</v>
      </c>
      <c r="AK225">
        <v>0.62122020009508705</v>
      </c>
      <c r="AL225">
        <v>82.2793524534505</v>
      </c>
      <c r="AM225">
        <v>91.741852387562503</v>
      </c>
      <c r="AN225">
        <v>1.00000003709188</v>
      </c>
    </row>
    <row r="226" spans="1:40" x14ac:dyDescent="0.3">
      <c r="A226" t="str">
        <f>"20200111150727280"</f>
        <v>20200111150727280</v>
      </c>
      <c r="B226" t="str">
        <f>"1578726447271641"</f>
        <v>1578726447271641</v>
      </c>
      <c r="C226" t="s">
        <v>40</v>
      </c>
      <c r="D226">
        <v>5.2954439999999998</v>
      </c>
      <c r="E226">
        <v>0.5424194</v>
      </c>
      <c r="F226" t="s">
        <v>41</v>
      </c>
      <c r="G226">
        <v>-372.15910000000002</v>
      </c>
      <c r="H226">
        <v>0.85057769999999999</v>
      </c>
      <c r="I226">
        <v>367.20960000000002</v>
      </c>
      <c r="J226">
        <v>-372.78750000000002</v>
      </c>
      <c r="K226">
        <v>1.109791</v>
      </c>
      <c r="L226">
        <v>367.3066</v>
      </c>
      <c r="M226">
        <v>0.99972499999999997</v>
      </c>
      <c r="N226">
        <v>0</v>
      </c>
      <c r="O226">
        <v>-2.178016E-2</v>
      </c>
      <c r="P226">
        <v>0.99203600000000003</v>
      </c>
      <c r="Q226">
        <v>0.12568770000000001</v>
      </c>
      <c r="R226">
        <v>8.2209499999999994E-3</v>
      </c>
      <c r="S226">
        <v>3.1293639999999998</v>
      </c>
      <c r="T226">
        <v>-0.80922209999999895</v>
      </c>
      <c r="U226">
        <v>-0.32693480000000003</v>
      </c>
      <c r="V226">
        <v>-2.9964729999999998E-2</v>
      </c>
      <c r="W226">
        <v>0.13428609999999999</v>
      </c>
      <c r="X226">
        <v>0.99048950000000002</v>
      </c>
      <c r="Y226">
        <v>8.031605E-2</v>
      </c>
      <c r="Z226">
        <v>-4.6650119999999996E-3</v>
      </c>
      <c r="AA226">
        <v>0.99675849999999999</v>
      </c>
      <c r="AB226">
        <v>42</v>
      </c>
      <c r="AC226">
        <v>0.62839999999999896</v>
      </c>
      <c r="AD226">
        <v>-0.25921329999999998</v>
      </c>
      <c r="AE226">
        <v>-9.6999999999980005E-2</v>
      </c>
      <c r="AF226">
        <v>7.1420202752178502E-2</v>
      </c>
      <c r="AG226">
        <v>-0.25921329999999998</v>
      </c>
      <c r="AH226">
        <v>0.54053067160311097</v>
      </c>
      <c r="AI226">
        <v>115.42740981552799</v>
      </c>
      <c r="AJ226">
        <v>82.4731208751476</v>
      </c>
      <c r="AK226">
        <v>0.60371001913316202</v>
      </c>
      <c r="AL226">
        <v>82.282659806618796</v>
      </c>
      <c r="AM226">
        <v>91.732808969892503</v>
      </c>
      <c r="AN226">
        <v>1.0000000456537099</v>
      </c>
    </row>
    <row r="227" spans="1:40" x14ac:dyDescent="0.3">
      <c r="A227" t="str">
        <f>"20200111150727293"</f>
        <v>20200111150727293</v>
      </c>
      <c r="B227" t="str">
        <f>"1578726447281403"</f>
        <v>1578726447281403</v>
      </c>
      <c r="C227" t="s">
        <v>40</v>
      </c>
      <c r="D227">
        <v>5.2904790000000004</v>
      </c>
      <c r="E227">
        <v>0.54263349999999999</v>
      </c>
      <c r="F227" t="s">
        <v>41</v>
      </c>
      <c r="G227">
        <v>-371.7876</v>
      </c>
      <c r="H227">
        <v>0.8491204</v>
      </c>
      <c r="I227">
        <v>367.20209999999997</v>
      </c>
      <c r="J227">
        <v>-372.54379999999998</v>
      </c>
      <c r="K227">
        <v>1.1097840000000001</v>
      </c>
      <c r="L227">
        <v>367.30149999999998</v>
      </c>
      <c r="M227">
        <v>0.99972939999999999</v>
      </c>
      <c r="N227">
        <v>0</v>
      </c>
      <c r="O227">
        <v>-2.156891E-2</v>
      </c>
      <c r="P227">
        <v>0.99205399999999999</v>
      </c>
      <c r="Q227">
        <v>0.12553329999999999</v>
      </c>
      <c r="R227">
        <v>8.3783769999999994E-3</v>
      </c>
      <c r="S227">
        <v>3.130188</v>
      </c>
      <c r="T227">
        <v>-0.81606769999999995</v>
      </c>
      <c r="U227">
        <v>-0.3265381</v>
      </c>
      <c r="V227">
        <v>-2.991007E-2</v>
      </c>
      <c r="W227">
        <v>0.1341405</v>
      </c>
      <c r="X227">
        <v>0.99051080000000002</v>
      </c>
      <c r="Y227">
        <v>8.0336030000000003E-2</v>
      </c>
      <c r="Z227">
        <v>-4.758595E-3</v>
      </c>
      <c r="AA227">
        <v>0.99675650000000005</v>
      </c>
      <c r="AB227">
        <v>42</v>
      </c>
      <c r="AC227">
        <v>0.756199999999978</v>
      </c>
      <c r="AD227">
        <v>-0.2606636</v>
      </c>
      <c r="AE227">
        <v>-9.9400000000002806E-2</v>
      </c>
      <c r="AF227">
        <v>7.4378356614594202E-2</v>
      </c>
      <c r="AG227">
        <v>-0.2606636</v>
      </c>
      <c r="AH227">
        <v>0.678874655673396</v>
      </c>
      <c r="AI227">
        <v>110.89087053844</v>
      </c>
      <c r="AJ227">
        <v>83.747540614784697</v>
      </c>
      <c r="AK227">
        <v>0.73099141610098295</v>
      </c>
      <c r="AL227">
        <v>82.291077615906602</v>
      </c>
      <c r="AM227">
        <v>91.729612825687894</v>
      </c>
      <c r="AN227">
        <v>0.99999996547214598</v>
      </c>
    </row>
    <row r="228" spans="1:40" x14ac:dyDescent="0.3">
      <c r="A228" t="str">
        <f>"20200111150727306"</f>
        <v>20200111150727306</v>
      </c>
      <c r="B228" t="str">
        <f>"1578726447300922"</f>
        <v>1578726447300922</v>
      </c>
      <c r="C228" t="s">
        <v>40</v>
      </c>
      <c r="D228">
        <v>5.2577800000000003</v>
      </c>
      <c r="E228">
        <v>0.54291669999999903</v>
      </c>
      <c r="F228" t="s">
        <v>41</v>
      </c>
      <c r="G228">
        <v>-371.76490000000001</v>
      </c>
      <c r="H228">
        <v>0.90517000000000003</v>
      </c>
      <c r="I228">
        <v>367.21969999999999</v>
      </c>
      <c r="J228">
        <v>-372.30669999999998</v>
      </c>
      <c r="K228">
        <v>1.109774</v>
      </c>
      <c r="L228">
        <v>367.29649999999998</v>
      </c>
      <c r="M228">
        <v>0.99973369999999995</v>
      </c>
      <c r="N228">
        <v>0</v>
      </c>
      <c r="O228">
        <v>-2.136851E-2</v>
      </c>
      <c r="P228">
        <v>0.99209250000000004</v>
      </c>
      <c r="Q228">
        <v>0.12522510000000001</v>
      </c>
      <c r="R228">
        <v>8.446828E-3</v>
      </c>
      <c r="S228">
        <v>3.13089</v>
      </c>
      <c r="T228">
        <v>-0.82254830000000001</v>
      </c>
      <c r="U228">
        <v>-0.32760620000000001</v>
      </c>
      <c r="V228">
        <v>-2.977809E-2</v>
      </c>
      <c r="W228">
        <v>0.13384099999999999</v>
      </c>
      <c r="X228">
        <v>0.99055530000000003</v>
      </c>
      <c r="Y228">
        <v>8.0797399999999894E-2</v>
      </c>
      <c r="Z228">
        <v>-4.9050869999999998E-3</v>
      </c>
      <c r="AA228">
        <v>0.99671849999999995</v>
      </c>
      <c r="AB228">
        <v>42</v>
      </c>
      <c r="AC228">
        <v>0.54179999999996598</v>
      </c>
      <c r="AD228">
        <v>-0.20460400000000001</v>
      </c>
      <c r="AE228">
        <v>-7.67999999999915E-2</v>
      </c>
      <c r="AF228">
        <v>5.7206969320680499E-2</v>
      </c>
      <c r="AG228">
        <v>-0.20460400000000001</v>
      </c>
      <c r="AH228">
        <v>0.47667743154850101</v>
      </c>
      <c r="AI228">
        <v>113.08231592146799</v>
      </c>
      <c r="AJ228">
        <v>83.1565538462104</v>
      </c>
      <c r="AK228">
        <v>0.52187815426834405</v>
      </c>
      <c r="AL228">
        <v>82.308393925080296</v>
      </c>
      <c r="AM228">
        <v>91.721908096814303</v>
      </c>
      <c r="AN228">
        <v>0.99999997514156802</v>
      </c>
    </row>
    <row r="229" spans="1:40" x14ac:dyDescent="0.3">
      <c r="A229" t="str">
        <f>"20200111150727322"</f>
        <v>20200111150727322</v>
      </c>
      <c r="B229" t="str">
        <f>"1578726447311658"</f>
        <v>1578726447311658</v>
      </c>
      <c r="C229" t="s">
        <v>40</v>
      </c>
      <c r="D229">
        <v>5.2645910000000002</v>
      </c>
      <c r="E229">
        <v>0.54310999999999998</v>
      </c>
      <c r="F229" t="s">
        <v>41</v>
      </c>
      <c r="G229">
        <v>-371.40609999999998</v>
      </c>
      <c r="H229">
        <v>0.87160469999999901</v>
      </c>
      <c r="I229">
        <v>367.20139999999998</v>
      </c>
      <c r="J229">
        <v>-371.9932</v>
      </c>
      <c r="K229">
        <v>1.109753</v>
      </c>
      <c r="L229">
        <v>367.28989999999999</v>
      </c>
      <c r="M229">
        <v>0.99973900000000004</v>
      </c>
      <c r="N229">
        <v>0</v>
      </c>
      <c r="O229">
        <v>-2.1113449999999999E-2</v>
      </c>
      <c r="P229">
        <v>0.99209559999999997</v>
      </c>
      <c r="Q229">
        <v>0.1252122</v>
      </c>
      <c r="R229">
        <v>8.2572549999999998E-3</v>
      </c>
      <c r="S229">
        <v>3.131256</v>
      </c>
      <c r="T229">
        <v>-0.82808539999999997</v>
      </c>
      <c r="U229">
        <v>-0.32965090000000002</v>
      </c>
      <c r="V229">
        <v>-2.9330789999999999E-2</v>
      </c>
      <c r="W229">
        <v>0.13383909999999999</v>
      </c>
      <c r="X229">
        <v>0.99056889999999997</v>
      </c>
      <c r="Y229">
        <v>8.1620769999999995E-2</v>
      </c>
      <c r="Z229">
        <v>-5.1091610000000001E-3</v>
      </c>
      <c r="AA229">
        <v>0.99665029999999999</v>
      </c>
      <c r="AB229">
        <v>42</v>
      </c>
      <c r="AC229">
        <v>0.58710000000002005</v>
      </c>
      <c r="AD229">
        <v>-0.23814830000000001</v>
      </c>
      <c r="AE229">
        <v>-8.8500000000010404E-2</v>
      </c>
      <c r="AF229">
        <v>6.5539788633995705E-2</v>
      </c>
      <c r="AG229">
        <v>-0.23814830000000001</v>
      </c>
      <c r="AH229">
        <v>0.50723218500245504</v>
      </c>
      <c r="AI229">
        <v>114.96831674081101</v>
      </c>
      <c r="AJ229">
        <v>82.637568449340606</v>
      </c>
      <c r="AK229">
        <v>0.564176006392902</v>
      </c>
      <c r="AL229">
        <v>82.308503757189101</v>
      </c>
      <c r="AM229">
        <v>91.696035073659502</v>
      </c>
      <c r="AN229">
        <v>0.99999997278902097</v>
      </c>
    </row>
    <row r="230" spans="1:40" x14ac:dyDescent="0.3">
      <c r="A230" t="str">
        <f>"20200111150727336"</f>
        <v>20200111150727336</v>
      </c>
      <c r="B230" t="str">
        <f>"1578726447331179"</f>
        <v>1578726447331179</v>
      </c>
      <c r="C230" t="s">
        <v>40</v>
      </c>
      <c r="D230">
        <v>5.2653499999999998</v>
      </c>
      <c r="E230">
        <v>0.54312649999999996</v>
      </c>
      <c r="F230" t="s">
        <v>41</v>
      </c>
      <c r="G230">
        <v>-371.03859999999997</v>
      </c>
      <c r="H230">
        <v>0.8573016</v>
      </c>
      <c r="I230">
        <v>367.18880000000001</v>
      </c>
      <c r="J230">
        <v>-371.74250000000001</v>
      </c>
      <c r="K230">
        <v>1.1097410000000001</v>
      </c>
      <c r="L230">
        <v>367.28469999999999</v>
      </c>
      <c r="M230">
        <v>0.99974300000000005</v>
      </c>
      <c r="N230">
        <v>0</v>
      </c>
      <c r="O230">
        <v>-2.092142E-2</v>
      </c>
      <c r="P230">
        <v>0.9921297</v>
      </c>
      <c r="Q230">
        <v>0.12493700000000001</v>
      </c>
      <c r="R230">
        <v>8.3213039999999999E-3</v>
      </c>
      <c r="S230">
        <v>3.131195</v>
      </c>
      <c r="T230">
        <v>-0.82812459999999899</v>
      </c>
      <c r="U230">
        <v>-0.33142090000000002</v>
      </c>
      <c r="V230">
        <v>-2.9201020000000001E-2</v>
      </c>
      <c r="W230">
        <v>0.13357249999999901</v>
      </c>
      <c r="X230">
        <v>0.99060879999999996</v>
      </c>
      <c r="Y230">
        <v>8.2340259999999998E-2</v>
      </c>
      <c r="Z230">
        <v>-5.2524069999999997E-3</v>
      </c>
      <c r="AA230">
        <v>0.99659039999999999</v>
      </c>
      <c r="AB230">
        <v>42</v>
      </c>
      <c r="AC230">
        <v>0.70390000000003194</v>
      </c>
      <c r="AD230">
        <v>-0.25243939999999998</v>
      </c>
      <c r="AE230">
        <v>-9.5899999999971897E-2</v>
      </c>
      <c r="AF230">
        <v>7.20535548381179E-2</v>
      </c>
      <c r="AG230">
        <v>-0.25243939999999998</v>
      </c>
      <c r="AH230">
        <v>0.62662725107353201</v>
      </c>
      <c r="AI230">
        <v>111.8121294796</v>
      </c>
      <c r="AJ230">
        <v>83.440577787703006</v>
      </c>
      <c r="AK230">
        <v>0.67939611216516504</v>
      </c>
      <c r="AL230">
        <v>82.323917831932405</v>
      </c>
      <c r="AM230">
        <v>91.688467584197397</v>
      </c>
      <c r="AN230">
        <v>1.00000005348136</v>
      </c>
    </row>
    <row r="231" spans="1:40" x14ac:dyDescent="0.3">
      <c r="A231" t="str">
        <f>"20200111150727357"</f>
        <v>20200111150727357</v>
      </c>
      <c r="B231" t="str">
        <f>"1578726447351675"</f>
        <v>1578726447351675</v>
      </c>
      <c r="C231" t="s">
        <v>40</v>
      </c>
      <c r="D231">
        <v>5.3021880000000001</v>
      </c>
      <c r="E231">
        <v>0.54292769999999901</v>
      </c>
      <c r="F231" t="s">
        <v>41</v>
      </c>
      <c r="G231">
        <v>-371.01429999999999</v>
      </c>
      <c r="H231">
        <v>0.91591509999999998</v>
      </c>
      <c r="I231">
        <v>367.20760000000001</v>
      </c>
      <c r="J231">
        <v>-371.35090000000002</v>
      </c>
      <c r="K231">
        <v>1.109721</v>
      </c>
      <c r="L231">
        <v>367.27679999999998</v>
      </c>
      <c r="M231">
        <v>0.99974870000000005</v>
      </c>
      <c r="N231">
        <v>0</v>
      </c>
      <c r="O231">
        <v>-2.064177E-2</v>
      </c>
      <c r="P231">
        <v>0.9921333</v>
      </c>
      <c r="Q231">
        <v>0.1249482</v>
      </c>
      <c r="R231">
        <v>7.7325279999999998E-3</v>
      </c>
      <c r="S231">
        <v>3.1315919999999999</v>
      </c>
      <c r="T231">
        <v>-0.83357169999999903</v>
      </c>
      <c r="U231">
        <v>-0.33123780000000003</v>
      </c>
      <c r="V231">
        <v>-2.8328929999999999E-2</v>
      </c>
      <c r="W231">
        <v>0.1335981</v>
      </c>
      <c r="X231">
        <v>0.99063060000000003</v>
      </c>
      <c r="Y231">
        <v>8.2506209999999996E-2</v>
      </c>
      <c r="Z231">
        <v>-5.3797480000000002E-3</v>
      </c>
      <c r="AA231">
        <v>0.99657600000000002</v>
      </c>
      <c r="AB231">
        <v>42</v>
      </c>
      <c r="AC231">
        <v>0.33660000000003198</v>
      </c>
      <c r="AD231">
        <v>-0.1938059</v>
      </c>
      <c r="AE231">
        <v>-6.9199999999966594E-2</v>
      </c>
      <c r="AF231">
        <v>4.72181327708876E-2</v>
      </c>
      <c r="AG231">
        <v>-0.1938059</v>
      </c>
      <c r="AH231">
        <v>0.256402046399613</v>
      </c>
      <c r="AI231">
        <v>126.625900662907</v>
      </c>
      <c r="AJ231">
        <v>79.565512228997704</v>
      </c>
      <c r="AK231">
        <v>0.32485733535675099</v>
      </c>
      <c r="AL231">
        <v>82.322437251554604</v>
      </c>
      <c r="AM231">
        <v>91.638033278802197</v>
      </c>
      <c r="AN231">
        <v>0.99999998312745697</v>
      </c>
    </row>
    <row r="232" spans="1:40" x14ac:dyDescent="0.3">
      <c r="A232" t="str">
        <f>"20200111150727370"</f>
        <v>20200111150727370</v>
      </c>
      <c r="B232" t="str">
        <f>"1578726447361436"</f>
        <v>1578726447361436</v>
      </c>
      <c r="C232" t="s">
        <v>40</v>
      </c>
      <c r="D232">
        <v>5.3091860000000004</v>
      </c>
      <c r="E232">
        <v>0.54283049999999999</v>
      </c>
      <c r="F232" t="s">
        <v>41</v>
      </c>
      <c r="G232">
        <v>-370.63889999999998</v>
      </c>
      <c r="H232">
        <v>0.91965699999999995</v>
      </c>
      <c r="I232">
        <v>367.2013</v>
      </c>
      <c r="J232">
        <v>-371.10520000000002</v>
      </c>
      <c r="K232">
        <v>1.109704</v>
      </c>
      <c r="L232">
        <v>367.27179999999998</v>
      </c>
      <c r="M232">
        <v>0.99975190000000003</v>
      </c>
      <c r="N232">
        <v>0</v>
      </c>
      <c r="O232">
        <v>-2.0483990000000001E-2</v>
      </c>
      <c r="P232">
        <v>0.99211910000000003</v>
      </c>
      <c r="Q232">
        <v>0.12506680000000001</v>
      </c>
      <c r="R232">
        <v>7.6200549999999997E-3</v>
      </c>
      <c r="S232">
        <v>3.1316830000000002</v>
      </c>
      <c r="T232">
        <v>-0.83600839999999998</v>
      </c>
      <c r="U232">
        <v>-0.33139039999999997</v>
      </c>
      <c r="V232">
        <v>-2.8054470000000001E-2</v>
      </c>
      <c r="W232">
        <v>0.13372519999999999</v>
      </c>
      <c r="X232">
        <v>0.99062130000000004</v>
      </c>
      <c r="Y232">
        <v>8.2684640000000004E-2</v>
      </c>
      <c r="Z232">
        <v>-5.4593860000000001E-3</v>
      </c>
      <c r="AA232">
        <v>0.99656080000000002</v>
      </c>
      <c r="AB232">
        <v>42</v>
      </c>
      <c r="AC232">
        <v>0.46630000000004601</v>
      </c>
      <c r="AD232">
        <v>-0.19004699999999999</v>
      </c>
      <c r="AE232">
        <v>-7.04999999999813E-2</v>
      </c>
      <c r="AF232">
        <v>5.2420302637131197E-2</v>
      </c>
      <c r="AG232">
        <v>-0.19004699999999999</v>
      </c>
      <c r="AH232">
        <v>0.40231236286766497</v>
      </c>
      <c r="AI232">
        <v>115.099663353415</v>
      </c>
      <c r="AJ232">
        <v>82.576325241073306</v>
      </c>
      <c r="AK232">
        <v>0.44801895903380201</v>
      </c>
      <c r="AL232">
        <v>82.315089316779904</v>
      </c>
      <c r="AM232">
        <v>91.622187214758199</v>
      </c>
      <c r="AN232">
        <v>1.0000000212078499</v>
      </c>
    </row>
    <row r="233" spans="1:40" x14ac:dyDescent="0.3">
      <c r="A233" t="str">
        <f>"20200111150727383"</f>
        <v>20200111150727383</v>
      </c>
      <c r="B233" t="str">
        <f>"1578726447371195"</f>
        <v>1578726447371195</v>
      </c>
      <c r="C233" t="s">
        <v>40</v>
      </c>
      <c r="D233">
        <v>5.3017130000000003</v>
      </c>
      <c r="E233">
        <v>0.54271059999999904</v>
      </c>
      <c r="F233" t="s">
        <v>41</v>
      </c>
      <c r="G233">
        <v>-370.27780000000001</v>
      </c>
      <c r="H233">
        <v>0.88959149999999998</v>
      </c>
      <c r="I233">
        <v>367.18419999999998</v>
      </c>
      <c r="J233">
        <v>-370.87290000000002</v>
      </c>
      <c r="K233">
        <v>1.109691</v>
      </c>
      <c r="L233">
        <v>367.26710000000003</v>
      </c>
      <c r="M233">
        <v>0.9997547</v>
      </c>
      <c r="N233">
        <v>0</v>
      </c>
      <c r="O233">
        <v>-2.0342780000000001E-2</v>
      </c>
      <c r="P233">
        <v>0.99215660000000006</v>
      </c>
      <c r="Q233">
        <v>0.12479369999999999</v>
      </c>
      <c r="R233">
        <v>7.2072439999999998E-3</v>
      </c>
      <c r="S233">
        <v>3.131348</v>
      </c>
      <c r="T233">
        <v>-0.83308359999999904</v>
      </c>
      <c r="U233">
        <v>-0.3306885</v>
      </c>
      <c r="V233">
        <v>-2.749712E-2</v>
      </c>
      <c r="W233">
        <v>0.13346060000000001</v>
      </c>
      <c r="X233">
        <v>0.99067260000000001</v>
      </c>
      <c r="Y233">
        <v>8.2627039999999999E-2</v>
      </c>
      <c r="Z233">
        <v>-5.4708339999999999E-3</v>
      </c>
      <c r="AA233">
        <v>0.99656549999999999</v>
      </c>
      <c r="AB233">
        <v>42</v>
      </c>
      <c r="AC233">
        <v>0.59510000000000196</v>
      </c>
      <c r="AD233">
        <v>-0.220099499999999</v>
      </c>
      <c r="AE233">
        <v>-8.2900000000051904E-2</v>
      </c>
      <c r="AF233">
        <v>6.2402740661083901E-2</v>
      </c>
      <c r="AG233">
        <v>-0.220099499999999</v>
      </c>
      <c r="AH233">
        <v>0.52607128128812297</v>
      </c>
      <c r="AI233">
        <v>112.56144953433</v>
      </c>
      <c r="AJ233">
        <v>83.235167272024697</v>
      </c>
      <c r="AK233">
        <v>0.57366269264995096</v>
      </c>
      <c r="AL233">
        <v>82.330386830810298</v>
      </c>
      <c r="AM233">
        <v>91.589894111601296</v>
      </c>
      <c r="AN233">
        <v>1.0000000118757</v>
      </c>
    </row>
    <row r="234" spans="1:40" x14ac:dyDescent="0.3">
      <c r="A234" t="str">
        <f>"20200111150727401"</f>
        <v>20200111150727401</v>
      </c>
      <c r="B234" t="str">
        <f>"1578726447391019"</f>
        <v>1578726447391019</v>
      </c>
      <c r="C234" t="s">
        <v>40</v>
      </c>
      <c r="D234">
        <v>5.2958100000000004</v>
      </c>
      <c r="E234">
        <v>0.54233169999999897</v>
      </c>
      <c r="F234" t="s">
        <v>41</v>
      </c>
      <c r="G234">
        <v>-369.9169</v>
      </c>
      <c r="H234">
        <v>0.85511899999999996</v>
      </c>
      <c r="I234">
        <v>367.16570000000002</v>
      </c>
      <c r="J234">
        <v>-370.52080000000001</v>
      </c>
      <c r="K234">
        <v>1.1096600000000001</v>
      </c>
      <c r="L234">
        <v>367.26010000000002</v>
      </c>
      <c r="M234">
        <v>0.99975849999999999</v>
      </c>
      <c r="N234">
        <v>0</v>
      </c>
      <c r="O234">
        <v>-2.0153170000000001E-2</v>
      </c>
      <c r="P234">
        <v>0.99214599999999997</v>
      </c>
      <c r="Q234">
        <v>0.1248779</v>
      </c>
      <c r="R234">
        <v>7.1834480000000003E-3</v>
      </c>
      <c r="S234">
        <v>3.130951</v>
      </c>
      <c r="T234">
        <v>-0.83379570000000003</v>
      </c>
      <c r="U234">
        <v>-0.330841099999999</v>
      </c>
      <c r="V234">
        <v>-2.727711E-2</v>
      </c>
      <c r="W234">
        <v>0.1335546</v>
      </c>
      <c r="X234">
        <v>0.99066600000000005</v>
      </c>
      <c r="Y234">
        <v>8.2858600000000004E-2</v>
      </c>
      <c r="Z234">
        <v>-5.5557030000000004E-3</v>
      </c>
      <c r="AA234">
        <v>0.99654589999999998</v>
      </c>
      <c r="AB234">
        <v>42</v>
      </c>
      <c r="AC234">
        <v>0.60390000000000998</v>
      </c>
      <c r="AD234">
        <v>-0.25454099999999902</v>
      </c>
      <c r="AE234">
        <v>-9.4400000000007298E-2</v>
      </c>
      <c r="AF234">
        <v>7.00600033246008E-2</v>
      </c>
      <c r="AG234">
        <v>-0.25454099999999902</v>
      </c>
      <c r="AH234">
        <v>0.51616599450983003</v>
      </c>
      <c r="AI234">
        <v>116.042777419392</v>
      </c>
      <c r="AJ234">
        <v>82.270392506210896</v>
      </c>
      <c r="AK234">
        <v>0.57976448548972404</v>
      </c>
      <c r="AL234">
        <v>82.324952268030103</v>
      </c>
      <c r="AM234">
        <v>91.577190001518503</v>
      </c>
      <c r="AN234">
        <v>0.99999999773355597</v>
      </c>
    </row>
    <row r="235" spans="1:40" x14ac:dyDescent="0.3">
      <c r="A235" t="str">
        <f>"20200111150727415"</f>
        <v>20200111150727415</v>
      </c>
      <c r="B235" t="str">
        <f>"1578726447411512"</f>
        <v>1578726447411512</v>
      </c>
      <c r="C235" t="s">
        <v>40</v>
      </c>
      <c r="D235">
        <v>5.9046979999999998</v>
      </c>
      <c r="E235">
        <v>0.54219280000000003</v>
      </c>
      <c r="F235" t="s">
        <v>41</v>
      </c>
      <c r="G235">
        <v>-369.54450000000003</v>
      </c>
      <c r="H235">
        <v>0.84791349999999999</v>
      </c>
      <c r="I235">
        <v>367.15789999999998</v>
      </c>
      <c r="J235">
        <v>-370.2704</v>
      </c>
      <c r="K235">
        <v>1.10964</v>
      </c>
      <c r="L235">
        <v>367.25510000000003</v>
      </c>
      <c r="M235">
        <v>0.99976080000000001</v>
      </c>
      <c r="N235">
        <v>0</v>
      </c>
      <c r="O235">
        <v>-2.0036310000000002E-2</v>
      </c>
      <c r="P235">
        <v>0.99213680000000004</v>
      </c>
      <c r="Q235">
        <v>0.12495879999999999</v>
      </c>
      <c r="R235">
        <v>7.051351E-3</v>
      </c>
      <c r="S235">
        <v>3.1317750000000002</v>
      </c>
      <c r="T235">
        <v>-0.83959930000000005</v>
      </c>
      <c r="U235">
        <v>-0.3282776</v>
      </c>
      <c r="V235">
        <v>-2.702218E-2</v>
      </c>
      <c r="W235">
        <v>0.1336406</v>
      </c>
      <c r="X235">
        <v>0.99066140000000003</v>
      </c>
      <c r="Y235">
        <v>8.2133310000000001E-2</v>
      </c>
      <c r="Z235">
        <v>-5.5272669999999998E-3</v>
      </c>
      <c r="AA235">
        <v>0.99660610000000005</v>
      </c>
      <c r="AB235">
        <v>42</v>
      </c>
      <c r="AC235">
        <v>0.72589999999996702</v>
      </c>
      <c r="AD235">
        <v>-0.26172649999999997</v>
      </c>
      <c r="AE235">
        <v>-9.7200000000043404E-2</v>
      </c>
      <c r="AF235">
        <v>7.3277341400157306E-2</v>
      </c>
      <c r="AG235">
        <v>-0.26172649999999997</v>
      </c>
      <c r="AH235">
        <v>0.64529183844524196</v>
      </c>
      <c r="AI235">
        <v>111.949628199866</v>
      </c>
      <c r="AJ235">
        <v>83.521421179353297</v>
      </c>
      <c r="AK235">
        <v>0.70019417758859204</v>
      </c>
      <c r="AL235">
        <v>82.319980345835305</v>
      </c>
      <c r="AM235">
        <v>91.562464284496002</v>
      </c>
      <c r="AN235">
        <v>1.00000000881513</v>
      </c>
    </row>
    <row r="236" spans="1:40" x14ac:dyDescent="0.3">
      <c r="A236" t="str">
        <f>"20200111150727561"</f>
        <v>20200111150727561</v>
      </c>
      <c r="B236" t="str">
        <f>"1578726447551080"</f>
        <v>1578726447551080</v>
      </c>
      <c r="C236" t="s">
        <v>40</v>
      </c>
      <c r="D236">
        <v>5.1346360000000004</v>
      </c>
      <c r="E236">
        <v>0.49834139999999999</v>
      </c>
      <c r="F236" t="s">
        <v>42</v>
      </c>
      <c r="G236">
        <v>-158.78319999999999</v>
      </c>
      <c r="H236">
        <v>5.7524189999999997</v>
      </c>
      <c r="I236">
        <v>369.32580000000002</v>
      </c>
      <c r="J236">
        <v>-367.50729999999999</v>
      </c>
      <c r="K236">
        <v>1.1094059999999999</v>
      </c>
      <c r="L236">
        <v>367.20100000000002</v>
      </c>
      <c r="M236">
        <v>0.99977210000000005</v>
      </c>
      <c r="N236">
        <v>0</v>
      </c>
      <c r="O236">
        <v>-1.9489380000000001E-2</v>
      </c>
      <c r="P236">
        <v>0.99222920000000003</v>
      </c>
      <c r="Q236">
        <v>0.1243287</v>
      </c>
      <c r="R236">
        <v>4.8879919999999999E-3</v>
      </c>
      <c r="S236">
        <v>3.0152890000000001</v>
      </c>
      <c r="T236">
        <v>6.6735030000000001E-2</v>
      </c>
      <c r="U236">
        <v>3.024292E-2</v>
      </c>
      <c r="V236">
        <v>-2.425283E-2</v>
      </c>
      <c r="W236">
        <v>0.132961</v>
      </c>
      <c r="X236">
        <v>0.9908245</v>
      </c>
      <c r="Y236">
        <v>-2.9504590000000001E-2</v>
      </c>
      <c r="Z236">
        <v>-7.5773869999999903E-4</v>
      </c>
      <c r="AA236">
        <v>0.99956429999999996</v>
      </c>
      <c r="AB236">
        <v>42</v>
      </c>
      <c r="AC236">
        <v>208.72409999999999</v>
      </c>
      <c r="AD236">
        <v>4.6430129999999998</v>
      </c>
      <c r="AE236">
        <v>2.1248000000000502</v>
      </c>
      <c r="AF236">
        <v>-6.1893917344206502</v>
      </c>
      <c r="AG236">
        <v>4.6430129999999998</v>
      </c>
      <c r="AH236">
        <v>208.53985941265799</v>
      </c>
      <c r="AI236">
        <v>88.725116275384707</v>
      </c>
      <c r="AJ236">
        <v>91.700020093173407</v>
      </c>
      <c r="AK236">
        <v>208.683346493225</v>
      </c>
      <c r="AL236">
        <v>82.359269184250294</v>
      </c>
      <c r="AM236">
        <v>91.402173017930906</v>
      </c>
      <c r="AN236">
        <v>1.0000000085421199</v>
      </c>
    </row>
    <row r="237" spans="1:40" x14ac:dyDescent="0.3">
      <c r="A237" t="str">
        <f>"20200111150727575"</f>
        <v>20200111150727575</v>
      </c>
      <c r="B237" t="str">
        <f>"1578726447571575"</f>
        <v>1578726447571575</v>
      </c>
      <c r="C237" t="s">
        <v>40</v>
      </c>
      <c r="D237">
        <v>8.6873059999999995</v>
      </c>
      <c r="E237">
        <v>0.49696040000000002</v>
      </c>
      <c r="F237" t="s">
        <v>42</v>
      </c>
      <c r="G237">
        <v>-168.84350000000001</v>
      </c>
      <c r="H237">
        <v>9.3954640000000005</v>
      </c>
      <c r="I237">
        <v>368.89229999999998</v>
      </c>
      <c r="J237">
        <v>-367.24329999999998</v>
      </c>
      <c r="K237">
        <v>1.1093900000000001</v>
      </c>
      <c r="L237">
        <v>367.19589999999999</v>
      </c>
      <c r="M237">
        <v>0.99977240000000001</v>
      </c>
      <c r="N237">
        <v>0</v>
      </c>
      <c r="O237">
        <v>-1.9481930000000001E-2</v>
      </c>
      <c r="P237">
        <v>0.99228879999999997</v>
      </c>
      <c r="Q237">
        <v>0.1238775</v>
      </c>
      <c r="R237">
        <v>4.2188670000000003E-3</v>
      </c>
      <c r="S237">
        <v>3.0076290000000001</v>
      </c>
      <c r="T237">
        <v>0.12544629999999901</v>
      </c>
      <c r="U237">
        <v>2.5604249999999999E-2</v>
      </c>
      <c r="V237">
        <v>-2.3573960000000001E-2</v>
      </c>
      <c r="W237">
        <v>0.132497799999999</v>
      </c>
      <c r="X237">
        <v>0.99090290000000003</v>
      </c>
      <c r="Y237">
        <v>-2.795189E-2</v>
      </c>
      <c r="Z237">
        <v>-1.3948840000000001E-3</v>
      </c>
      <c r="AA237">
        <v>0.99960830000000001</v>
      </c>
      <c r="AB237">
        <v>42</v>
      </c>
      <c r="AC237">
        <v>198.3998</v>
      </c>
      <c r="AD237">
        <v>8.2860739999999993</v>
      </c>
      <c r="AE237">
        <v>1.6963999999999799</v>
      </c>
      <c r="AF237">
        <v>-5.5517520695842997</v>
      </c>
      <c r="AG237">
        <v>8.2860739999999993</v>
      </c>
      <c r="AH237">
        <v>197.98377923001399</v>
      </c>
      <c r="AI237">
        <v>87.604379790108098</v>
      </c>
      <c r="AJ237">
        <v>91.606235766951698</v>
      </c>
      <c r="AK237">
        <v>198.23485518842099</v>
      </c>
      <c r="AL237">
        <v>82.386045263200302</v>
      </c>
      <c r="AM237">
        <v>91.362831493355301</v>
      </c>
      <c r="AN237">
        <v>0.99999997791166495</v>
      </c>
    </row>
    <row r="238" spans="1:40" x14ac:dyDescent="0.3">
      <c r="A238" t="str">
        <f>"20200111150728411"</f>
        <v>20200111150728411</v>
      </c>
      <c r="B238" t="str">
        <f>"1578726448401680"</f>
        <v>1578726448401680</v>
      </c>
      <c r="C238" t="s">
        <v>40</v>
      </c>
      <c r="D238">
        <v>4.9682209999999998</v>
      </c>
      <c r="E238">
        <v>0.49696040000000002</v>
      </c>
      <c r="F238" t="s">
        <v>42</v>
      </c>
      <c r="G238">
        <v>-168.84350000000001</v>
      </c>
      <c r="H238">
        <v>12.448600000000001</v>
      </c>
      <c r="I238">
        <v>369.51549999999997</v>
      </c>
      <c r="J238">
        <v>-350.7466</v>
      </c>
      <c r="K238">
        <v>1.1107279999999999</v>
      </c>
      <c r="L238">
        <v>366.90699999999998</v>
      </c>
      <c r="M238">
        <v>0.99994110000000003</v>
      </c>
      <c r="N238">
        <v>0</v>
      </c>
      <c r="O238">
        <v>-7.0312419999999896E-3</v>
      </c>
      <c r="P238">
        <v>0.99248990000000004</v>
      </c>
      <c r="Q238">
        <v>0.12141730000000001</v>
      </c>
      <c r="R238">
        <v>1.488621E-2</v>
      </c>
      <c r="S238">
        <v>3.00177</v>
      </c>
      <c r="T238">
        <v>0.1715624</v>
      </c>
      <c r="U238">
        <v>3.5095210000000002E-2</v>
      </c>
      <c r="V238">
        <v>-2.2369400000000001E-2</v>
      </c>
      <c r="W238">
        <v>0.12953429999999999</v>
      </c>
      <c r="X238">
        <v>0.99132260000000005</v>
      </c>
      <c r="Y238">
        <v>-1.867947E-2</v>
      </c>
      <c r="Z238">
        <v>-9.3488350000000002E-4</v>
      </c>
      <c r="AA238">
        <v>0.99982510000000002</v>
      </c>
      <c r="AB238">
        <v>46</v>
      </c>
      <c r="AC238">
        <v>181.90309999999999</v>
      </c>
      <c r="AD238">
        <v>11.337872000000001</v>
      </c>
      <c r="AE238">
        <v>2.60849999999999</v>
      </c>
      <c r="AF238">
        <v>-3.8724428827522499</v>
      </c>
      <c r="AG238">
        <v>11.337872000000001</v>
      </c>
      <c r="AH238">
        <v>181.17654850563099</v>
      </c>
      <c r="AI238">
        <v>86.419964624537599</v>
      </c>
      <c r="AJ238">
        <v>91.224445754452702</v>
      </c>
      <c r="AK238">
        <v>181.57225802358101</v>
      </c>
      <c r="AL238">
        <v>82.557317950633703</v>
      </c>
      <c r="AM238">
        <v>91.292671769066899</v>
      </c>
      <c r="AN238">
        <v>1.0000000111017999</v>
      </c>
    </row>
    <row r="239" spans="1:40" x14ac:dyDescent="0.3">
      <c r="A239" t="str">
        <f>"20200111150728430"</f>
        <v>20200111150728430</v>
      </c>
      <c r="B239" t="str">
        <f>"1578726448421199"</f>
        <v>1578726448421199</v>
      </c>
      <c r="C239" t="s">
        <v>40</v>
      </c>
      <c r="D239">
        <v>4.9250350000000003</v>
      </c>
      <c r="E239">
        <v>0.55313800000000002</v>
      </c>
      <c r="F239" t="s">
        <v>42</v>
      </c>
      <c r="G239">
        <v>-168.84350000000001</v>
      </c>
      <c r="H239">
        <v>11.06311</v>
      </c>
      <c r="I239">
        <v>371.05709999999999</v>
      </c>
      <c r="J239">
        <v>-350.37540000000001</v>
      </c>
      <c r="K239">
        <v>1.1108180000000001</v>
      </c>
      <c r="L239">
        <v>366.90519999999998</v>
      </c>
      <c r="M239">
        <v>0.99995000000000001</v>
      </c>
      <c r="N239">
        <v>0</v>
      </c>
      <c r="O239">
        <v>-5.6079169999999996E-3</v>
      </c>
      <c r="P239">
        <v>0.99253150000000001</v>
      </c>
      <c r="Q239">
        <v>0.12102839999999999</v>
      </c>
      <c r="R239">
        <v>1.5284610000000001E-2</v>
      </c>
      <c r="S239">
        <v>3.0015559999999999</v>
      </c>
      <c r="T239">
        <v>0.16422410000000001</v>
      </c>
      <c r="U239">
        <v>6.8481449999999999E-2</v>
      </c>
      <c r="V239">
        <v>-2.138485E-2</v>
      </c>
      <c r="W239">
        <v>0.12916459999999999</v>
      </c>
      <c r="X239">
        <v>0.99139259999999996</v>
      </c>
      <c r="Y239">
        <v>-2.8364879999999999E-2</v>
      </c>
      <c r="Z239">
        <v>-1.0818539999999999E-3</v>
      </c>
      <c r="AA239">
        <v>0.99959710000000002</v>
      </c>
      <c r="AB239">
        <v>46</v>
      </c>
      <c r="AC239">
        <v>181.53190000000001</v>
      </c>
      <c r="AD239">
        <v>9.9522919999999999</v>
      </c>
      <c r="AE239">
        <v>4.1519000000000101</v>
      </c>
      <c r="AF239">
        <v>-5.1544011368389997</v>
      </c>
      <c r="AG239">
        <v>9.9522919999999999</v>
      </c>
      <c r="AH239">
        <v>180.962134146425</v>
      </c>
      <c r="AI239">
        <v>86.853374911225899</v>
      </c>
      <c r="AJ239">
        <v>91.631532505684007</v>
      </c>
      <c r="AK239">
        <v>181.30887998650601</v>
      </c>
      <c r="AL239">
        <v>82.578679922696196</v>
      </c>
      <c r="AM239">
        <v>91.235707902919003</v>
      </c>
      <c r="AN239">
        <v>1.00000004651872</v>
      </c>
    </row>
    <row r="240" spans="1:40" x14ac:dyDescent="0.3">
      <c r="A240" t="str">
        <f>"20200111150728443"</f>
        <v>20200111150728443</v>
      </c>
      <c r="B240" t="str">
        <f>"1578726448441697"</f>
        <v>1578726448441697</v>
      </c>
      <c r="C240" t="s">
        <v>40</v>
      </c>
      <c r="D240">
        <v>4.9213139999999997</v>
      </c>
      <c r="E240">
        <v>0.55381969999999903</v>
      </c>
      <c r="F240" t="s">
        <v>44</v>
      </c>
      <c r="G240">
        <v>-315.42660000000001</v>
      </c>
      <c r="H240">
        <v>-0.05</v>
      </c>
      <c r="I240">
        <v>362.55079999999998</v>
      </c>
      <c r="J240">
        <v>-350.10509999999999</v>
      </c>
      <c r="K240">
        <v>1.1108849999999999</v>
      </c>
      <c r="L240">
        <v>366.90410000000003</v>
      </c>
      <c r="M240">
        <v>0.99995540000000005</v>
      </c>
      <c r="N240">
        <v>0</v>
      </c>
      <c r="O240">
        <v>-4.5484540000000004E-3</v>
      </c>
      <c r="P240">
        <v>0.99252169999999895</v>
      </c>
      <c r="Q240">
        <v>0.121006</v>
      </c>
      <c r="R240">
        <v>1.6072469999999998E-2</v>
      </c>
      <c r="S240">
        <v>3.0407099999999998</v>
      </c>
      <c r="T240">
        <v>-0.1009965</v>
      </c>
      <c r="U240">
        <v>-0.37884519999999999</v>
      </c>
      <c r="V240">
        <v>-2.1142359999999999E-2</v>
      </c>
      <c r="W240">
        <v>0.12915370000000001</v>
      </c>
      <c r="X240">
        <v>0.99139920000000004</v>
      </c>
      <c r="Y240">
        <v>0.119058</v>
      </c>
      <c r="Z240">
        <v>-1.818643E-3</v>
      </c>
      <c r="AA240">
        <v>0.99288560000000003</v>
      </c>
      <c r="AB240">
        <v>46</v>
      </c>
      <c r="AC240">
        <v>34.6784999999999</v>
      </c>
      <c r="AD240">
        <v>-1.1608849999999999</v>
      </c>
      <c r="AE240">
        <v>-4.3533000000000399</v>
      </c>
      <c r="AF240">
        <v>4.1908924682954796</v>
      </c>
      <c r="AG240">
        <v>-1.1608849999999999</v>
      </c>
      <c r="AH240">
        <v>34.659704979562797</v>
      </c>
      <c r="AI240">
        <v>91.904474494494195</v>
      </c>
      <c r="AJ240">
        <v>83.105527567127893</v>
      </c>
      <c r="AK240">
        <v>34.931452631323097</v>
      </c>
      <c r="AL240">
        <v>82.579309566470897</v>
      </c>
      <c r="AM240">
        <v>91.221691936162699</v>
      </c>
      <c r="AN240">
        <v>1.0000000256853401</v>
      </c>
    </row>
    <row r="241" spans="1:40" x14ac:dyDescent="0.3">
      <c r="A241" t="str">
        <f>"20200111150728457"</f>
        <v>20200111150728457</v>
      </c>
      <c r="B241" t="str">
        <f>"1578726448451456"</f>
        <v>1578726448451456</v>
      </c>
      <c r="C241" t="s">
        <v>40</v>
      </c>
      <c r="D241">
        <v>4.845472</v>
      </c>
      <c r="E241">
        <v>0.55450369999999904</v>
      </c>
      <c r="F241" t="s">
        <v>44</v>
      </c>
      <c r="G241">
        <v>-314.76679999999999</v>
      </c>
      <c r="H241">
        <v>-0.05</v>
      </c>
      <c r="I241">
        <v>362.46190000000001</v>
      </c>
      <c r="J241">
        <v>-349.827</v>
      </c>
      <c r="K241">
        <v>1.110949</v>
      </c>
      <c r="L241">
        <v>366.90339999999998</v>
      </c>
      <c r="M241">
        <v>0.99995959999999995</v>
      </c>
      <c r="N241">
        <v>0</v>
      </c>
      <c r="O241">
        <v>-3.438591E-3</v>
      </c>
      <c r="P241">
        <v>0.99245830000000002</v>
      </c>
      <c r="Q241">
        <v>0.121334999999999</v>
      </c>
      <c r="R241">
        <v>1.7446860000000002E-2</v>
      </c>
      <c r="S241">
        <v>3.0409549999999999</v>
      </c>
      <c r="T241">
        <v>-9.9897379999999994E-2</v>
      </c>
      <c r="U241">
        <v>-0.38226320000000003</v>
      </c>
      <c r="V241">
        <v>-2.1436400000000001E-2</v>
      </c>
      <c r="W241">
        <v>0.12949179999999999</v>
      </c>
      <c r="X241">
        <v>0.99134869999999997</v>
      </c>
      <c r="Y241">
        <v>0.1212483</v>
      </c>
      <c r="Z241">
        <v>-1.870724E-3</v>
      </c>
      <c r="AA241">
        <v>0.99262050000000002</v>
      </c>
      <c r="AB241">
        <v>46</v>
      </c>
      <c r="AC241">
        <v>35.060200000000002</v>
      </c>
      <c r="AD241">
        <v>-1.160949</v>
      </c>
      <c r="AE241">
        <v>-4.4414999999999596</v>
      </c>
      <c r="AF241">
        <v>4.3162539944974796</v>
      </c>
      <c r="AG241">
        <v>-1.160949</v>
      </c>
      <c r="AH241">
        <v>35.037454955667599</v>
      </c>
      <c r="AI241">
        <v>91.883545546101203</v>
      </c>
      <c r="AJ241">
        <v>82.977132428298205</v>
      </c>
      <c r="AK241">
        <v>35.321397210416997</v>
      </c>
      <c r="AL241">
        <v>82.5597732115762</v>
      </c>
      <c r="AM241">
        <v>91.238740590734395</v>
      </c>
      <c r="AN241">
        <v>0.99999994525194302</v>
      </c>
    </row>
    <row r="242" spans="1:40" x14ac:dyDescent="0.3">
      <c r="A242" t="str">
        <f>"20200111150728473"</f>
        <v>20200111150728473</v>
      </c>
      <c r="B242" t="str">
        <f>"1578726448461216"</f>
        <v>1578726448461216</v>
      </c>
      <c r="C242" t="s">
        <v>40</v>
      </c>
      <c r="D242">
        <v>4.7689560000000002</v>
      </c>
      <c r="E242">
        <v>0.55450369999999904</v>
      </c>
      <c r="F242" t="s">
        <v>44</v>
      </c>
      <c r="G242">
        <v>-314.0659</v>
      </c>
      <c r="H242">
        <v>-0.05</v>
      </c>
      <c r="I242">
        <v>362.39499999999998</v>
      </c>
      <c r="J242">
        <v>-349.50170000000003</v>
      </c>
      <c r="K242">
        <v>1.1110199999999999</v>
      </c>
      <c r="L242">
        <v>366.90309999999999</v>
      </c>
      <c r="M242">
        <v>0.99996300000000005</v>
      </c>
      <c r="N242">
        <v>0</v>
      </c>
      <c r="O242">
        <v>-2.1185639999999999E-3</v>
      </c>
      <c r="P242">
        <v>0.99232770000000003</v>
      </c>
      <c r="Q242">
        <v>0.1220933</v>
      </c>
      <c r="R242">
        <v>1.9467700000000001E-2</v>
      </c>
      <c r="S242">
        <v>3.041595</v>
      </c>
      <c r="T242">
        <v>-9.8742490000000002E-2</v>
      </c>
      <c r="U242">
        <v>-0.3834534</v>
      </c>
      <c r="V242">
        <v>-2.2171110000000001E-2</v>
      </c>
      <c r="W242">
        <v>0.13025870000000001</v>
      </c>
      <c r="X242">
        <v>0.99123209999999995</v>
      </c>
      <c r="Y242">
        <v>0.1229148</v>
      </c>
      <c r="Z242">
        <v>-1.9182859999999999E-3</v>
      </c>
      <c r="AA242">
        <v>0.99241539999999995</v>
      </c>
      <c r="AB242">
        <v>46</v>
      </c>
      <c r="AC242">
        <v>35.4358</v>
      </c>
      <c r="AD242">
        <v>-1.1610199999999999</v>
      </c>
      <c r="AE242">
        <v>-4.5081000000000104</v>
      </c>
      <c r="AF242">
        <v>4.4283362341362604</v>
      </c>
      <c r="AG242">
        <v>-1.1610199999999999</v>
      </c>
      <c r="AH242">
        <v>35.4078671551393</v>
      </c>
      <c r="AI242">
        <v>91.863541813601103</v>
      </c>
      <c r="AJ242">
        <v>82.871234971887404</v>
      </c>
      <c r="AK242">
        <v>35.702593543312197</v>
      </c>
      <c r="AL242">
        <v>82.515458011054903</v>
      </c>
      <c r="AM242">
        <v>91.281333858383306</v>
      </c>
      <c r="AN242">
        <v>0.99999998155736503</v>
      </c>
    </row>
    <row r="243" spans="1:40" x14ac:dyDescent="0.3">
      <c r="A243" t="str">
        <f>"20200111150728485"</f>
        <v>20200111150728485</v>
      </c>
      <c r="B243" t="str">
        <f>"1578726448481712"</f>
        <v>1578726448481712</v>
      </c>
      <c r="C243" t="s">
        <v>40</v>
      </c>
      <c r="D243">
        <v>4.7924309999999997</v>
      </c>
      <c r="E243">
        <v>0.5880919</v>
      </c>
      <c r="F243" t="s">
        <v>44</v>
      </c>
      <c r="G243">
        <v>-312.83240000000001</v>
      </c>
      <c r="H243">
        <v>-0.05</v>
      </c>
      <c r="I243">
        <v>362.358</v>
      </c>
      <c r="J243">
        <v>-349.25689999999997</v>
      </c>
      <c r="K243">
        <v>1.1110679999999999</v>
      </c>
      <c r="L243">
        <v>366.90309999999999</v>
      </c>
      <c r="M243">
        <v>0.99996459999999998</v>
      </c>
      <c r="N243">
        <v>0</v>
      </c>
      <c r="O243">
        <v>-1.115483E-3</v>
      </c>
      <c r="P243">
        <v>0.99221340000000002</v>
      </c>
      <c r="Q243">
        <v>0.12280820000000001</v>
      </c>
      <c r="R243">
        <v>2.075426E-2</v>
      </c>
      <c r="S243">
        <v>3.0424500000000001</v>
      </c>
      <c r="T243">
        <v>-9.6329570000000003E-2</v>
      </c>
      <c r="U243">
        <v>-0.37710569999999999</v>
      </c>
      <c r="V243">
        <v>-2.2480429999999999E-2</v>
      </c>
      <c r="W243">
        <v>0.1309806</v>
      </c>
      <c r="X243">
        <v>0.99113010000000001</v>
      </c>
      <c r="Y243">
        <v>0.12184</v>
      </c>
      <c r="Z243">
        <v>-1.885837E-3</v>
      </c>
      <c r="AA243">
        <v>0.99254790000000004</v>
      </c>
      <c r="AB243">
        <v>46</v>
      </c>
      <c r="AC243">
        <v>36.424499999999902</v>
      </c>
      <c r="AD243">
        <v>-1.161068</v>
      </c>
      <c r="AE243">
        <v>-4.5450999999999899</v>
      </c>
      <c r="AF243">
        <v>4.4999626255815803</v>
      </c>
      <c r="AG243">
        <v>-1.161068</v>
      </c>
      <c r="AH243">
        <v>36.393136079543098</v>
      </c>
      <c r="AI243">
        <v>91.8135139621929</v>
      </c>
      <c r="AJ243">
        <v>82.951231015633695</v>
      </c>
      <c r="AK243">
        <v>36.688664410637799</v>
      </c>
      <c r="AL243">
        <v>82.473739513013896</v>
      </c>
      <c r="AM243">
        <v>91.299337947730194</v>
      </c>
      <c r="AN243">
        <v>1.0000000812176699</v>
      </c>
    </row>
    <row r="244" spans="1:40" x14ac:dyDescent="0.3">
      <c r="A244" t="str">
        <f>"20200111150728496"</f>
        <v>20200111150728496</v>
      </c>
      <c r="B244" t="str">
        <f>"1578726448491472"</f>
        <v>1578726448491472</v>
      </c>
      <c r="C244" t="s">
        <v>40</v>
      </c>
      <c r="D244">
        <v>4.7713760000000001</v>
      </c>
      <c r="E244">
        <v>0.59075109999999997</v>
      </c>
      <c r="F244" t="s">
        <v>43</v>
      </c>
      <c r="G244">
        <v>-330.49419999999998</v>
      </c>
      <c r="H244" s="1">
        <v>-5.2391689999999999E-6</v>
      </c>
      <c r="I244">
        <v>362.97039999999998</v>
      </c>
      <c r="J244">
        <v>-349.01760000000002</v>
      </c>
      <c r="K244">
        <v>1.111119</v>
      </c>
      <c r="L244">
        <v>366.9033</v>
      </c>
      <c r="M244">
        <v>0.99996529999999995</v>
      </c>
      <c r="N244">
        <v>0</v>
      </c>
      <c r="O244">
        <v>-1.2863659999999999E-4</v>
      </c>
      <c r="P244">
        <v>0.99213399999999996</v>
      </c>
      <c r="Q244">
        <v>0.12320399999999999</v>
      </c>
      <c r="R244">
        <v>2.2161710000000001E-2</v>
      </c>
      <c r="S244">
        <v>3.0593870000000001</v>
      </c>
      <c r="T244">
        <v>-0.18116750000000001</v>
      </c>
      <c r="U244">
        <v>-0.64123540000000001</v>
      </c>
      <c r="V244">
        <v>-2.2924389999999999E-2</v>
      </c>
      <c r="W244">
        <v>0.13138239999999901</v>
      </c>
      <c r="X244">
        <v>0.99106669999999997</v>
      </c>
      <c r="Y244">
        <v>0.2046694</v>
      </c>
      <c r="Z244">
        <v>-5.9822060000000003E-3</v>
      </c>
      <c r="AA244">
        <v>0.97881289999999999</v>
      </c>
      <c r="AB244">
        <v>46</v>
      </c>
      <c r="AC244">
        <v>18.523399999999999</v>
      </c>
      <c r="AD244">
        <v>-1.1111242391689999</v>
      </c>
      <c r="AE244">
        <v>-3.9329000000000098</v>
      </c>
      <c r="AF244">
        <v>3.9170308456985001</v>
      </c>
      <c r="AG244">
        <v>-1.1111242391689999</v>
      </c>
      <c r="AH244">
        <v>18.460347205765</v>
      </c>
      <c r="AI244">
        <v>93.369623362925694</v>
      </c>
      <c r="AJ244">
        <v>78.020304632786804</v>
      </c>
      <c r="AK244">
        <v>18.9040246158964</v>
      </c>
      <c r="AL244">
        <v>82.4505170294278</v>
      </c>
      <c r="AM244">
        <v>91.325073897678706</v>
      </c>
      <c r="AN244">
        <v>1.0000000332677601</v>
      </c>
    </row>
    <row r="245" spans="1:40" x14ac:dyDescent="0.3">
      <c r="A245" t="str">
        <f>"20200111150728510"</f>
        <v>20200111150728510</v>
      </c>
      <c r="B245" t="str">
        <f>"1578726448501232"</f>
        <v>1578726448501232</v>
      </c>
      <c r="C245" t="s">
        <v>40</v>
      </c>
      <c r="D245">
        <v>4.7736330000000002</v>
      </c>
      <c r="E245">
        <v>0.5926806</v>
      </c>
      <c r="F245" t="s">
        <v>43</v>
      </c>
      <c r="G245">
        <v>-331.01670000000001</v>
      </c>
      <c r="H245" s="1">
        <v>-5.0030880000000001E-6</v>
      </c>
      <c r="I245">
        <v>363.0376</v>
      </c>
      <c r="J245">
        <v>-348.74310000000003</v>
      </c>
      <c r="K245">
        <v>1.111164</v>
      </c>
      <c r="L245">
        <v>366.90390000000002</v>
      </c>
      <c r="M245">
        <v>0.99996459999999998</v>
      </c>
      <c r="N245">
        <v>0</v>
      </c>
      <c r="O245">
        <v>1.013059E-3</v>
      </c>
      <c r="P245">
        <v>0.99206499999999997</v>
      </c>
      <c r="Q245">
        <v>0.123534</v>
      </c>
      <c r="R245">
        <v>2.3377950000000002E-2</v>
      </c>
      <c r="S245">
        <v>3.0619510000000001</v>
      </c>
      <c r="T245">
        <v>-0.1890008</v>
      </c>
      <c r="U245">
        <v>-0.65753169999999905</v>
      </c>
      <c r="V245">
        <v>-2.3023060000000001E-2</v>
      </c>
      <c r="W245">
        <v>0.1317217</v>
      </c>
      <c r="X245">
        <v>0.99101930000000005</v>
      </c>
      <c r="Y245">
        <v>0.21056179999999999</v>
      </c>
      <c r="Z245">
        <v>-6.4811549999999997E-3</v>
      </c>
      <c r="AA245">
        <v>0.97755910000000001</v>
      </c>
      <c r="AB245">
        <v>46</v>
      </c>
      <c r="AC245">
        <v>17.726400000000002</v>
      </c>
      <c r="AD245">
        <v>-1.1111690030879999</v>
      </c>
      <c r="AE245">
        <v>-3.8663000000000198</v>
      </c>
      <c r="AF245">
        <v>3.86974152327759</v>
      </c>
      <c r="AG245">
        <v>-1.1111690030879999</v>
      </c>
      <c r="AH245">
        <v>17.656247183089899</v>
      </c>
      <c r="AI245">
        <v>93.517791197291302</v>
      </c>
      <c r="AJ245">
        <v>77.637881847166199</v>
      </c>
      <c r="AK245">
        <v>18.109463288589598</v>
      </c>
      <c r="AL245">
        <v>82.430905583079195</v>
      </c>
      <c r="AM245">
        <v>91.330838794658604</v>
      </c>
      <c r="AN245">
        <v>0.99999996025757099</v>
      </c>
    </row>
    <row r="246" spans="1:40" x14ac:dyDescent="0.3">
      <c r="A246" t="str">
        <f>"20200111150728524"</f>
        <v>20200111150728524</v>
      </c>
      <c r="B246" t="str">
        <f>"1578726448521728"</f>
        <v>1578726448521728</v>
      </c>
      <c r="C246" t="s">
        <v>40</v>
      </c>
      <c r="D246">
        <v>5.379785</v>
      </c>
      <c r="E246">
        <v>0.59351989999999999</v>
      </c>
      <c r="F246" t="s">
        <v>43</v>
      </c>
      <c r="G246">
        <v>-329.32209999999998</v>
      </c>
      <c r="H246" s="1">
        <v>-2.0675070000000001E-6</v>
      </c>
      <c r="I246">
        <v>362.66059999999999</v>
      </c>
      <c r="J246">
        <v>-348.46640000000002</v>
      </c>
      <c r="K246">
        <v>1.1112070000000001</v>
      </c>
      <c r="L246">
        <v>366.90480000000002</v>
      </c>
      <c r="M246">
        <v>0.99996260000000003</v>
      </c>
      <c r="N246">
        <v>0</v>
      </c>
      <c r="O246">
        <v>2.167614E-3</v>
      </c>
      <c r="P246">
        <v>0.99200860000000002</v>
      </c>
      <c r="Q246">
        <v>0.1237139</v>
      </c>
      <c r="R246">
        <v>2.4779820000000001E-2</v>
      </c>
      <c r="S246">
        <v>3.0615839999999999</v>
      </c>
      <c r="T246">
        <v>-0.1751675</v>
      </c>
      <c r="U246">
        <v>-0.66891480000000003</v>
      </c>
      <c r="V246">
        <v>-2.3293709999999999E-2</v>
      </c>
      <c r="W246">
        <v>0.13191029999999901</v>
      </c>
      <c r="X246">
        <v>0.99098790000000003</v>
      </c>
      <c r="Y246">
        <v>0.21522910000000001</v>
      </c>
      <c r="Z246">
        <v>-6.2030389999999996E-3</v>
      </c>
      <c r="AA246">
        <v>0.97654390000000002</v>
      </c>
      <c r="AB246">
        <v>46</v>
      </c>
      <c r="AC246">
        <v>19.144300000000001</v>
      </c>
      <c r="AD246">
        <v>-1.1112090675069899</v>
      </c>
      <c r="AE246">
        <v>-4.2442000000000304</v>
      </c>
      <c r="AF246">
        <v>4.2719705269563297</v>
      </c>
      <c r="AG246">
        <v>-1.1112090675069899</v>
      </c>
      <c r="AH246">
        <v>19.073803964785</v>
      </c>
      <c r="AI246">
        <v>93.253760351772499</v>
      </c>
      <c r="AJ246">
        <v>77.375769407612907</v>
      </c>
      <c r="AK246">
        <v>19.577908863357699</v>
      </c>
      <c r="AL246">
        <v>82.420004560114194</v>
      </c>
      <c r="AM246">
        <v>91.346520532025806</v>
      </c>
      <c r="AN246">
        <v>0.99999997105903105</v>
      </c>
    </row>
    <row r="247" spans="1:40" x14ac:dyDescent="0.3">
      <c r="A247" t="str">
        <f>"20200111150728541"</f>
        <v>20200111150728541</v>
      </c>
      <c r="B247" t="str">
        <f>"1578726448531487"</f>
        <v>1578726448531487</v>
      </c>
      <c r="C247" t="s">
        <v>40</v>
      </c>
      <c r="D247">
        <v>4.7817360000000004</v>
      </c>
      <c r="E247">
        <v>0.59502739999999998</v>
      </c>
      <c r="F247" t="s">
        <v>43</v>
      </c>
      <c r="G247">
        <v>-325.94990000000001</v>
      </c>
      <c r="H247" s="1">
        <v>-3.4002979999999998E-6</v>
      </c>
      <c r="I247">
        <v>361.96460000000002</v>
      </c>
      <c r="J247">
        <v>-348.11849999999998</v>
      </c>
      <c r="K247">
        <v>1.111254</v>
      </c>
      <c r="L247">
        <v>366.90620000000001</v>
      </c>
      <c r="M247">
        <v>0.99995820000000002</v>
      </c>
      <c r="N247">
        <v>0</v>
      </c>
      <c r="O247">
        <v>3.6252649999999999E-3</v>
      </c>
      <c r="P247">
        <v>0.99186510000000006</v>
      </c>
      <c r="Q247">
        <v>0.1245676</v>
      </c>
      <c r="R247">
        <v>2.6206859999999998E-2</v>
      </c>
      <c r="S247">
        <v>3.059723</v>
      </c>
      <c r="T247">
        <v>-0.15099949999999901</v>
      </c>
      <c r="U247">
        <v>-0.67129519999999998</v>
      </c>
      <c r="V247">
        <v>-2.3293830000000001E-2</v>
      </c>
      <c r="W247">
        <v>0.1327767</v>
      </c>
      <c r="X247">
        <v>0.99087219999999998</v>
      </c>
      <c r="Y247">
        <v>0.2175832</v>
      </c>
      <c r="Z247">
        <v>-5.4794550000000003E-3</v>
      </c>
      <c r="AA247">
        <v>0.97602639999999996</v>
      </c>
      <c r="AB247">
        <v>46</v>
      </c>
      <c r="AC247">
        <v>22.168599999999898</v>
      </c>
      <c r="AD247">
        <v>-1.111257400298</v>
      </c>
      <c r="AE247">
        <v>-4.9415999999999896</v>
      </c>
      <c r="AF247">
        <v>5.0099444803430702</v>
      </c>
      <c r="AG247">
        <v>-1.111257400298</v>
      </c>
      <c r="AH247">
        <v>22.0976412074458</v>
      </c>
      <c r="AI247">
        <v>92.807755511520995</v>
      </c>
      <c r="AJ247">
        <v>77.225931745802299</v>
      </c>
      <c r="AK247">
        <v>22.6856823489805</v>
      </c>
      <c r="AL247">
        <v>82.369923083667601</v>
      </c>
      <c r="AM247">
        <v>91.346684636694704</v>
      </c>
      <c r="AN247">
        <v>0.99999998565589898</v>
      </c>
    </row>
    <row r="248" spans="1:40" x14ac:dyDescent="0.3">
      <c r="A248" t="str">
        <f>"20200111150728552"</f>
        <v>20200111150728552</v>
      </c>
      <c r="B248" t="str">
        <f>"1578726448541248"</f>
        <v>1578726448541248</v>
      </c>
      <c r="C248" t="s">
        <v>40</v>
      </c>
      <c r="D248">
        <v>4.0778990000000004</v>
      </c>
      <c r="E248">
        <v>0.59502739999999998</v>
      </c>
      <c r="F248" t="s">
        <v>43</v>
      </c>
      <c r="G248">
        <v>-326.81439999999998</v>
      </c>
      <c r="H248" s="1">
        <v>-3.0479430000000002E-6</v>
      </c>
      <c r="I248">
        <v>362.1832</v>
      </c>
      <c r="J248">
        <v>-347.85660000000001</v>
      </c>
      <c r="K248">
        <v>1.1112839999999999</v>
      </c>
      <c r="L248">
        <v>366.90780000000001</v>
      </c>
      <c r="M248">
        <v>0.9999536</v>
      </c>
      <c r="N248">
        <v>0</v>
      </c>
      <c r="O248">
        <v>4.7215349999999998E-3</v>
      </c>
      <c r="P248">
        <v>0.99175849999999999</v>
      </c>
      <c r="Q248">
        <v>0.12517819999999999</v>
      </c>
      <c r="R248">
        <v>2.730925E-2</v>
      </c>
      <c r="S248">
        <v>3.0626220000000002</v>
      </c>
      <c r="T248">
        <v>-0.1597509</v>
      </c>
      <c r="U248">
        <v>-0.67895509999999903</v>
      </c>
      <c r="V248">
        <v>-2.3322119999999998E-2</v>
      </c>
      <c r="W248">
        <v>0.1333963</v>
      </c>
      <c r="X248">
        <v>0.99078829999999996</v>
      </c>
      <c r="Y248">
        <v>0.22075120000000001</v>
      </c>
      <c r="Z248">
        <v>-5.9277820000000004E-3</v>
      </c>
      <c r="AA248">
        <v>0.97531219999999996</v>
      </c>
      <c r="AB248">
        <v>46</v>
      </c>
      <c r="AC248">
        <v>21.042200000000001</v>
      </c>
      <c r="AD248">
        <v>-1.1112870479429999</v>
      </c>
      <c r="AE248">
        <v>-4.7245999999999997</v>
      </c>
      <c r="AF248">
        <v>4.8111274425334898</v>
      </c>
      <c r="AG248">
        <v>-1.1112870479429999</v>
      </c>
      <c r="AH248">
        <v>20.963992074213099</v>
      </c>
      <c r="AI248">
        <v>92.957625801056096</v>
      </c>
      <c r="AJ248">
        <v>77.074729332774496</v>
      </c>
      <c r="AK248">
        <v>21.537661661816799</v>
      </c>
      <c r="AL248">
        <v>82.334103902219894</v>
      </c>
      <c r="AM248">
        <v>91.348433694797905</v>
      </c>
      <c r="AN248">
        <v>0.99999997477593605</v>
      </c>
    </row>
    <row r="249" spans="1:40" x14ac:dyDescent="0.3">
      <c r="A249" t="str">
        <f>"20200111150728566"</f>
        <v>20200111150728566</v>
      </c>
      <c r="B249" t="str">
        <f>"1578726448561743"</f>
        <v>1578726448561743</v>
      </c>
      <c r="C249" t="s">
        <v>40</v>
      </c>
      <c r="D249">
        <v>4.7908109999999997</v>
      </c>
      <c r="E249">
        <v>0.59803300000000004</v>
      </c>
      <c r="F249" t="s">
        <v>43</v>
      </c>
      <c r="G249">
        <v>-326.25779999999997</v>
      </c>
      <c r="H249" s="1">
        <v>-3.2482099999999902E-6</v>
      </c>
      <c r="I249">
        <v>362.14229999999998</v>
      </c>
      <c r="J249">
        <v>-347.59320000000002</v>
      </c>
      <c r="K249">
        <v>1.1113109999999999</v>
      </c>
      <c r="L249">
        <v>366.90949999999998</v>
      </c>
      <c r="M249">
        <v>0.99994769999999999</v>
      </c>
      <c r="N249">
        <v>0</v>
      </c>
      <c r="O249">
        <v>5.8216049999999997E-3</v>
      </c>
      <c r="P249">
        <v>0.99165749999999997</v>
      </c>
      <c r="Q249">
        <v>0.12574830000000001</v>
      </c>
      <c r="R249">
        <v>2.8337330000000001E-2</v>
      </c>
      <c r="S249">
        <v>3.0634769999999998</v>
      </c>
      <c r="T249">
        <v>-0.15761979999999901</v>
      </c>
      <c r="U249">
        <v>-0.67590329999999998</v>
      </c>
      <c r="V249">
        <v>-2.327067E-2</v>
      </c>
      <c r="W249">
        <v>0.13397609999999999</v>
      </c>
      <c r="X249">
        <v>0.99071129999999996</v>
      </c>
      <c r="Y249">
        <v>0.2208466</v>
      </c>
      <c r="Z249">
        <v>-5.9061699999999996E-3</v>
      </c>
      <c r="AA249">
        <v>0.97529069999999995</v>
      </c>
      <c r="AB249">
        <v>46</v>
      </c>
      <c r="AC249">
        <v>21.3354</v>
      </c>
      <c r="AD249">
        <v>-1.11131424821</v>
      </c>
      <c r="AE249">
        <v>-4.7671999999999999</v>
      </c>
      <c r="AF249">
        <v>4.8787226427175803</v>
      </c>
      <c r="AG249">
        <v>-1.11131424821</v>
      </c>
      <c r="AH249">
        <v>21.252365917966198</v>
      </c>
      <c r="AI249">
        <v>92.917592529897405</v>
      </c>
      <c r="AJ249">
        <v>77.071105709345701</v>
      </c>
      <c r="AK249">
        <v>21.833460813484699</v>
      </c>
      <c r="AL249">
        <v>82.300583106965703</v>
      </c>
      <c r="AM249">
        <v>91.345564596921093</v>
      </c>
      <c r="AN249">
        <v>0.99999999970057396</v>
      </c>
    </row>
    <row r="250" spans="1:40" x14ac:dyDescent="0.3">
      <c r="A250" t="str">
        <f>"20200111150728578"</f>
        <v>20200111150728578</v>
      </c>
      <c r="B250" t="str">
        <f>"1578726448571503"</f>
        <v>1578726448571503</v>
      </c>
      <c r="C250" t="s">
        <v>40</v>
      </c>
      <c r="D250">
        <v>4.8589960000000003</v>
      </c>
      <c r="E250">
        <v>0.59948199999999996</v>
      </c>
      <c r="F250" t="s">
        <v>43</v>
      </c>
      <c r="G250">
        <v>-326.50799999999998</v>
      </c>
      <c r="H250" s="1">
        <v>-3.1695639999999898E-6</v>
      </c>
      <c r="I250">
        <v>362.11790000000002</v>
      </c>
      <c r="J250">
        <v>-347.3272</v>
      </c>
      <c r="K250">
        <v>1.111334</v>
      </c>
      <c r="L250">
        <v>366.91160000000002</v>
      </c>
      <c r="M250">
        <v>0.9999403</v>
      </c>
      <c r="N250">
        <v>0</v>
      </c>
      <c r="O250">
        <v>6.9294100000000004E-3</v>
      </c>
      <c r="P250">
        <v>0.99158979999999997</v>
      </c>
      <c r="Q250">
        <v>0.126054</v>
      </c>
      <c r="R250">
        <v>2.932384E-2</v>
      </c>
      <c r="S250">
        <v>3.0656430000000001</v>
      </c>
      <c r="T250">
        <v>-0.161577</v>
      </c>
      <c r="U250">
        <v>-0.69665529999999998</v>
      </c>
      <c r="V250">
        <v>-2.3167159999999999E-2</v>
      </c>
      <c r="W250">
        <v>0.13429269999999999</v>
      </c>
      <c r="X250">
        <v>0.99067090000000002</v>
      </c>
      <c r="Y250">
        <v>0.2280382</v>
      </c>
      <c r="Z250">
        <v>-6.2903189999999999E-3</v>
      </c>
      <c r="AA250">
        <v>0.97363189999999999</v>
      </c>
      <c r="AB250">
        <v>46</v>
      </c>
      <c r="AC250">
        <v>20.819199999999999</v>
      </c>
      <c r="AD250">
        <v>-1.111337169564</v>
      </c>
      <c r="AE250">
        <v>-4.7937000000000003</v>
      </c>
      <c r="AF250">
        <v>4.9245290321367001</v>
      </c>
      <c r="AG250">
        <v>-1.111337169564</v>
      </c>
      <c r="AH250">
        <v>20.729387636690099</v>
      </c>
      <c r="AI250">
        <v>92.985843244321401</v>
      </c>
      <c r="AJ250">
        <v>76.636381665697698</v>
      </c>
      <c r="AK250">
        <v>21.335265835816799</v>
      </c>
      <c r="AL250">
        <v>82.2822781489254</v>
      </c>
      <c r="AM250">
        <v>91.339636201067506</v>
      </c>
      <c r="AN250">
        <v>1.00000003934128</v>
      </c>
    </row>
    <row r="251" spans="1:40" x14ac:dyDescent="0.3">
      <c r="A251" t="str">
        <f>"20200111150728591"</f>
        <v>20200111150728591</v>
      </c>
      <c r="B251" t="str">
        <f>"1578726448581263"</f>
        <v>1578726448581263</v>
      </c>
      <c r="C251" t="s">
        <v>40</v>
      </c>
      <c r="D251">
        <v>4.8406010000000004</v>
      </c>
      <c r="E251">
        <v>0.60018059999999995</v>
      </c>
      <c r="F251" t="s">
        <v>43</v>
      </c>
      <c r="G251">
        <v>-326.2484</v>
      </c>
      <c r="H251" s="1">
        <v>-3.2722140000000002E-6</v>
      </c>
      <c r="I251">
        <v>362.06420000000003</v>
      </c>
      <c r="J251">
        <v>-347.09530000000001</v>
      </c>
      <c r="K251">
        <v>1.1113440000000001</v>
      </c>
      <c r="L251">
        <v>366.91370000000001</v>
      </c>
      <c r="M251">
        <v>0.99993339999999997</v>
      </c>
      <c r="N251">
        <v>0</v>
      </c>
      <c r="O251">
        <v>7.8774329999999997E-3</v>
      </c>
      <c r="P251">
        <v>0.99151809999999996</v>
      </c>
      <c r="Q251">
        <v>0.12646180000000001</v>
      </c>
      <c r="R251">
        <v>2.998996E-2</v>
      </c>
      <c r="S251">
        <v>3.0668639999999998</v>
      </c>
      <c r="T251">
        <v>-0.16169320000000001</v>
      </c>
      <c r="U251">
        <v>-0.70526119999999903</v>
      </c>
      <c r="V251">
        <v>-2.2898950000000001E-2</v>
      </c>
      <c r="W251">
        <v>0.13470989999999999</v>
      </c>
      <c r="X251">
        <v>0.99062039999999996</v>
      </c>
      <c r="Y251">
        <v>0.2314667</v>
      </c>
      <c r="Z251">
        <v>-6.4289400000000002E-3</v>
      </c>
      <c r="AA251">
        <v>0.97282159999999995</v>
      </c>
      <c r="AB251">
        <v>46</v>
      </c>
      <c r="AC251">
        <v>20.846900000000002</v>
      </c>
      <c r="AD251">
        <v>-1.1113472722139901</v>
      </c>
      <c r="AE251">
        <v>-4.8494999999999697</v>
      </c>
      <c r="AF251">
        <v>5.0000948839945902</v>
      </c>
      <c r="AG251">
        <v>-1.1113472722139901</v>
      </c>
      <c r="AH251">
        <v>20.752101323516801</v>
      </c>
      <c r="AI251">
        <v>92.980330847874498</v>
      </c>
      <c r="AJ251">
        <v>76.4531346981166</v>
      </c>
      <c r="AK251">
        <v>21.374885986828399</v>
      </c>
      <c r="AL251">
        <v>82.258154443279693</v>
      </c>
      <c r="AM251">
        <v>91.324200045459506</v>
      </c>
      <c r="AN251">
        <v>0.99999994798263403</v>
      </c>
    </row>
    <row r="252" spans="1:40" x14ac:dyDescent="0.3">
      <c r="A252" t="str">
        <f>"20200111150728608"</f>
        <v>20200111150728608</v>
      </c>
      <c r="B252" t="str">
        <f>"1578726448601759"</f>
        <v>1578726448601759</v>
      </c>
      <c r="C252" t="s">
        <v>40</v>
      </c>
      <c r="D252">
        <v>4.8437159999999997</v>
      </c>
      <c r="E252">
        <v>0.59983739999999997</v>
      </c>
      <c r="F252" t="s">
        <v>43</v>
      </c>
      <c r="G252">
        <v>-326.03809999999999</v>
      </c>
      <c r="H252" s="1">
        <v>-3.3481959999999999E-6</v>
      </c>
      <c r="I252">
        <v>362.04750000000001</v>
      </c>
      <c r="J252">
        <v>-346.73250000000002</v>
      </c>
      <c r="K252">
        <v>1.1113500000000001</v>
      </c>
      <c r="L252">
        <v>366.91739999999999</v>
      </c>
      <c r="M252">
        <v>0.99992080000000005</v>
      </c>
      <c r="N252">
        <v>0</v>
      </c>
      <c r="O252">
        <v>9.3337290000000007E-3</v>
      </c>
      <c r="P252">
        <v>0.99143930000000002</v>
      </c>
      <c r="Q252">
        <v>0.12677559999999999</v>
      </c>
      <c r="R252">
        <v>3.1246840000000001E-2</v>
      </c>
      <c r="S252">
        <v>3.0677490000000001</v>
      </c>
      <c r="T252">
        <v>-0.16190760000000001</v>
      </c>
      <c r="U252">
        <v>-0.70892330000000003</v>
      </c>
      <c r="V252">
        <v>-2.2715119999999998E-2</v>
      </c>
      <c r="W252">
        <v>0.1350392</v>
      </c>
      <c r="X252">
        <v>0.99057980000000001</v>
      </c>
      <c r="Y252">
        <v>0.2339184</v>
      </c>
      <c r="Z252">
        <v>-6.5744569999999997E-3</v>
      </c>
      <c r="AA252">
        <v>0.97223400000000004</v>
      </c>
      <c r="AB252">
        <v>46</v>
      </c>
      <c r="AC252">
        <v>20.694400000000002</v>
      </c>
      <c r="AD252">
        <v>-1.1113533481960001</v>
      </c>
      <c r="AE252">
        <v>-4.8698999999999701</v>
      </c>
      <c r="AF252">
        <v>5.0490531469899098</v>
      </c>
      <c r="AG252">
        <v>-1.1113533481960001</v>
      </c>
      <c r="AH252">
        <v>20.591771557808599</v>
      </c>
      <c r="AI252">
        <v>93.000584742550501</v>
      </c>
      <c r="AJ252">
        <v>76.223018780414506</v>
      </c>
      <c r="AK252">
        <v>21.230852546109599</v>
      </c>
      <c r="AL252">
        <v>82.239112978912502</v>
      </c>
      <c r="AM252">
        <v>91.313627086763105</v>
      </c>
      <c r="AN252">
        <v>0.999999951190646</v>
      </c>
    </row>
    <row r="253" spans="1:40" x14ac:dyDescent="0.3">
      <c r="A253" t="str">
        <f>"20200111150728621"</f>
        <v>20200111150728621</v>
      </c>
      <c r="B253" t="str">
        <f>"1578726448611520"</f>
        <v>1578726448611520</v>
      </c>
      <c r="C253" t="s">
        <v>40</v>
      </c>
      <c r="D253">
        <v>4.9032530000000003</v>
      </c>
      <c r="E253">
        <v>0.60015959999999902</v>
      </c>
      <c r="F253" t="s">
        <v>43</v>
      </c>
      <c r="G253">
        <v>-324.99979999999999</v>
      </c>
      <c r="H253" s="1">
        <v>-3.730565E-6</v>
      </c>
      <c r="I253">
        <v>361.9384</v>
      </c>
      <c r="J253">
        <v>-346.46589999999998</v>
      </c>
      <c r="K253">
        <v>1.111345</v>
      </c>
      <c r="L253">
        <v>366.9203</v>
      </c>
      <c r="M253">
        <v>0.99991039999999998</v>
      </c>
      <c r="N253">
        <v>0</v>
      </c>
      <c r="O253">
        <v>1.0378780000000001E-2</v>
      </c>
      <c r="P253">
        <v>0.99140119999999998</v>
      </c>
      <c r="Q253">
        <v>0.1268553</v>
      </c>
      <c r="R253">
        <v>3.2117140000000002E-2</v>
      </c>
      <c r="S253">
        <v>3.0681150000000001</v>
      </c>
      <c r="T253">
        <v>-0.15689449999999999</v>
      </c>
      <c r="U253">
        <v>-0.70288090000000003</v>
      </c>
      <c r="V253">
        <v>-2.2547620000000001E-2</v>
      </c>
      <c r="W253">
        <v>0.1351309</v>
      </c>
      <c r="X253">
        <v>0.99057119999999999</v>
      </c>
      <c r="Y253">
        <v>0.2331097</v>
      </c>
      <c r="Z253">
        <v>-6.4041530000000001E-3</v>
      </c>
      <c r="AA253">
        <v>0.9724294</v>
      </c>
      <c r="AB253">
        <v>46</v>
      </c>
      <c r="AC253">
        <v>21.466099999999901</v>
      </c>
      <c r="AD253">
        <v>-1.1113487305650001</v>
      </c>
      <c r="AE253">
        <v>-4.9818999999999898</v>
      </c>
      <c r="AF253">
        <v>5.1912282956121496</v>
      </c>
      <c r="AG253">
        <v>-1.1113487305650001</v>
      </c>
      <c r="AH253">
        <v>21.3589120904035</v>
      </c>
      <c r="AI253">
        <v>92.8944193461937</v>
      </c>
      <c r="AJ253">
        <v>76.339286886592404</v>
      </c>
      <c r="AK253">
        <v>22.008795353305398</v>
      </c>
      <c r="AL253">
        <v>82.233810958162593</v>
      </c>
      <c r="AM253">
        <v>91.303955148995001</v>
      </c>
      <c r="AN253">
        <v>1.0000000287859501</v>
      </c>
    </row>
    <row r="254" spans="1:40" x14ac:dyDescent="0.3">
      <c r="A254" t="str">
        <f>"20200111150728632"</f>
        <v>20200111150728632</v>
      </c>
      <c r="B254" t="str">
        <f>"1578726448621280"</f>
        <v>1578726448621280</v>
      </c>
      <c r="C254" t="s">
        <v>40</v>
      </c>
      <c r="D254">
        <v>4.9180460000000004</v>
      </c>
      <c r="E254">
        <v>0.60050919999999997</v>
      </c>
      <c r="F254" t="s">
        <v>43</v>
      </c>
      <c r="G254">
        <v>-324.27499999999998</v>
      </c>
      <c r="H254" s="1">
        <v>-4.0048780000000002E-6</v>
      </c>
      <c r="I254">
        <v>361.83449999999999</v>
      </c>
      <c r="J254">
        <v>-346.2165</v>
      </c>
      <c r="K254">
        <v>1.111324</v>
      </c>
      <c r="L254">
        <v>366.92340000000002</v>
      </c>
      <c r="M254">
        <v>0.99990020000000002</v>
      </c>
      <c r="N254">
        <v>0</v>
      </c>
      <c r="O254">
        <v>1.131596E-2</v>
      </c>
      <c r="P254">
        <v>0.99133879999999996</v>
      </c>
      <c r="Q254">
        <v>0.1271014</v>
      </c>
      <c r="R254">
        <v>3.3056759999999998E-2</v>
      </c>
      <c r="S254">
        <v>3.0684200000000001</v>
      </c>
      <c r="T254">
        <v>-0.15367</v>
      </c>
      <c r="U254">
        <v>-0.70321659999999997</v>
      </c>
      <c r="V254">
        <v>-2.255391E-2</v>
      </c>
      <c r="W254">
        <v>0.13538649999999999</v>
      </c>
      <c r="X254">
        <v>0.99053619999999998</v>
      </c>
      <c r="Y254">
        <v>0.23411100000000001</v>
      </c>
      <c r="Z254">
        <v>-6.3430819999999999E-3</v>
      </c>
      <c r="AA254">
        <v>0.97218919999999998</v>
      </c>
      <c r="AB254">
        <v>46</v>
      </c>
      <c r="AC254">
        <v>21.941500000000001</v>
      </c>
      <c r="AD254">
        <v>-1.1113280048780001</v>
      </c>
      <c r="AE254">
        <v>-5.0889000000000202</v>
      </c>
      <c r="AF254">
        <v>5.3239114803599499</v>
      </c>
      <c r="AG254">
        <v>-1.1113280048780001</v>
      </c>
      <c r="AH254">
        <v>21.8293651505419</v>
      </c>
      <c r="AI254">
        <v>92.831544576151401</v>
      </c>
      <c r="AJ254">
        <v>76.293841463568597</v>
      </c>
      <c r="AK254">
        <v>22.496672337499799</v>
      </c>
      <c r="AL254">
        <v>82.219030677088995</v>
      </c>
      <c r="AM254">
        <v>91.304364852781305</v>
      </c>
      <c r="AN254">
        <v>1.00000007337448</v>
      </c>
    </row>
    <row r="255" spans="1:40" x14ac:dyDescent="0.3">
      <c r="A255" t="str">
        <f>"20200111150728644"</f>
        <v>20200111150728644</v>
      </c>
      <c r="B255" t="str">
        <f>"1578726448641775"</f>
        <v>1578726448641775</v>
      </c>
      <c r="C255" t="s">
        <v>40</v>
      </c>
      <c r="D255">
        <v>4.9029199999999999</v>
      </c>
      <c r="E255">
        <v>0.60155019999999904</v>
      </c>
      <c r="F255" t="s">
        <v>43</v>
      </c>
      <c r="G255">
        <v>-323.66239999999999</v>
      </c>
      <c r="H255" s="1">
        <v>-4.2344959999999998E-6</v>
      </c>
      <c r="I255">
        <v>361.75490000000002</v>
      </c>
      <c r="J255">
        <v>-345.9787</v>
      </c>
      <c r="K255">
        <v>1.111299</v>
      </c>
      <c r="L255">
        <v>366.92649999999998</v>
      </c>
      <c r="M255">
        <v>0.9998899</v>
      </c>
      <c r="N255">
        <v>0</v>
      </c>
      <c r="O255">
        <v>1.2186489999999999E-2</v>
      </c>
      <c r="P255">
        <v>0.99130059999999998</v>
      </c>
      <c r="Q255">
        <v>0.12717410000000001</v>
      </c>
      <c r="R255">
        <v>3.3912890000000001E-2</v>
      </c>
      <c r="S255">
        <v>3.0690309999999998</v>
      </c>
      <c r="T255">
        <v>-0.151223</v>
      </c>
      <c r="U255">
        <v>-0.70327759999999995</v>
      </c>
      <c r="V255">
        <v>-2.2539010000000002E-2</v>
      </c>
      <c r="W255">
        <v>0.1354696</v>
      </c>
      <c r="X255">
        <v>0.99052510000000005</v>
      </c>
      <c r="Y255">
        <v>0.23494090000000001</v>
      </c>
      <c r="Z255">
        <v>-6.3034959999999996E-3</v>
      </c>
      <c r="AA255">
        <v>0.9719892</v>
      </c>
      <c r="AB255">
        <v>46</v>
      </c>
      <c r="AC255">
        <v>22.316299999999998</v>
      </c>
      <c r="AD255">
        <v>-1.1113032344959901</v>
      </c>
      <c r="AE255">
        <v>-5.17159999999995</v>
      </c>
      <c r="AF255">
        <v>5.4304029532671603</v>
      </c>
      <c r="AG255">
        <v>-1.1113032344959901</v>
      </c>
      <c r="AH255">
        <v>22.199372027537699</v>
      </c>
      <c r="AI255">
        <v>92.783893828078007</v>
      </c>
      <c r="AJ255">
        <v>76.254258728748894</v>
      </c>
      <c r="AK255">
        <v>22.880917584984999</v>
      </c>
      <c r="AL255">
        <v>82.214224524147795</v>
      </c>
      <c r="AM255">
        <v>91.303518037715307</v>
      </c>
      <c r="AN255">
        <v>0.99999999661297501</v>
      </c>
    </row>
    <row r="256" spans="1:40" x14ac:dyDescent="0.3">
      <c r="A256" t="str">
        <f>"20200111150728656"</f>
        <v>20200111150728656</v>
      </c>
      <c r="B256" t="str">
        <f>"1578726448651536"</f>
        <v>1578726448651536</v>
      </c>
      <c r="C256" t="s">
        <v>40</v>
      </c>
      <c r="D256">
        <v>4.9320529999999998</v>
      </c>
      <c r="E256">
        <v>0.60217359999999998</v>
      </c>
      <c r="F256" t="s">
        <v>43</v>
      </c>
      <c r="G256">
        <v>-322.7183</v>
      </c>
      <c r="H256" s="1">
        <v>-4.6097330000000004E-6</v>
      </c>
      <c r="I256">
        <v>361.55220000000003</v>
      </c>
      <c r="J256">
        <v>-345.71800000000002</v>
      </c>
      <c r="K256">
        <v>1.111264</v>
      </c>
      <c r="L256">
        <v>366.93009999999998</v>
      </c>
      <c r="M256">
        <v>0.99987789999999999</v>
      </c>
      <c r="N256">
        <v>0</v>
      </c>
      <c r="O256">
        <v>1.310733E-2</v>
      </c>
      <c r="P256">
        <v>0.99124250000000003</v>
      </c>
      <c r="Q256">
        <v>0.12732069999999901</v>
      </c>
      <c r="R256">
        <v>3.5040880000000003E-2</v>
      </c>
      <c r="S256">
        <v>3.0694270000000001</v>
      </c>
      <c r="T256">
        <v>-0.14664639999999901</v>
      </c>
      <c r="U256">
        <v>-0.70916749999999995</v>
      </c>
      <c r="V256">
        <v>-2.2743969999999999E-2</v>
      </c>
      <c r="W256">
        <v>0.135626</v>
      </c>
      <c r="X256">
        <v>0.99049900000000002</v>
      </c>
      <c r="Y256">
        <v>0.23759250000000001</v>
      </c>
      <c r="Z256">
        <v>-6.2167890000000003E-3</v>
      </c>
      <c r="AA256">
        <v>0.97134500000000001</v>
      </c>
      <c r="AB256">
        <v>46</v>
      </c>
      <c r="AC256">
        <v>22.999700000000001</v>
      </c>
      <c r="AD256">
        <v>-1.111268609733</v>
      </c>
      <c r="AE256">
        <v>-5.3778999999999497</v>
      </c>
      <c r="AF256">
        <v>5.6663711520921396</v>
      </c>
      <c r="AG256">
        <v>-1.111268609733</v>
      </c>
      <c r="AH256">
        <v>22.876594739648102</v>
      </c>
      <c r="AI256">
        <v>92.699597869234793</v>
      </c>
      <c r="AJ256">
        <v>76.088232792043598</v>
      </c>
      <c r="AK256">
        <v>23.594093897379</v>
      </c>
      <c r="AL256">
        <v>82.205179895637201</v>
      </c>
      <c r="AM256">
        <v>91.315402168942299</v>
      </c>
      <c r="AN256">
        <v>0.99999998452418004</v>
      </c>
    </row>
    <row r="257" spans="1:40" x14ac:dyDescent="0.3">
      <c r="A257" t="str">
        <f>"20200111150728668"</f>
        <v>20200111150728668</v>
      </c>
      <c r="B257" t="str">
        <f>"1578726448661296"</f>
        <v>1578726448661296</v>
      </c>
      <c r="C257" t="s">
        <v>40</v>
      </c>
      <c r="D257">
        <v>4.9119419999999998</v>
      </c>
      <c r="E257">
        <v>0.6027226</v>
      </c>
      <c r="F257" t="s">
        <v>43</v>
      </c>
      <c r="G257">
        <v>-321.95440000000002</v>
      </c>
      <c r="H257" s="1">
        <v>-4.9033070000000001E-6</v>
      </c>
      <c r="I257">
        <v>361.42579999999998</v>
      </c>
      <c r="J257">
        <v>-345.48070000000001</v>
      </c>
      <c r="K257">
        <v>1.111221</v>
      </c>
      <c r="L257">
        <v>366.93360000000001</v>
      </c>
      <c r="M257">
        <v>0.99986739999999996</v>
      </c>
      <c r="N257">
        <v>0</v>
      </c>
      <c r="O257">
        <v>1.3888950000000001E-2</v>
      </c>
      <c r="P257">
        <v>0.9912261</v>
      </c>
      <c r="Q257">
        <v>0.1272279</v>
      </c>
      <c r="R257">
        <v>3.5834100000000001E-2</v>
      </c>
      <c r="S257">
        <v>3.070068</v>
      </c>
      <c r="T257">
        <v>-0.143567</v>
      </c>
      <c r="U257">
        <v>-0.71109009999999995</v>
      </c>
      <c r="V257">
        <v>-2.274706E-2</v>
      </c>
      <c r="W257">
        <v>0.13554430000000001</v>
      </c>
      <c r="X257">
        <v>0.99051009999999995</v>
      </c>
      <c r="Y257">
        <v>0.23889369999999999</v>
      </c>
      <c r="Z257">
        <v>-6.1508169999999899E-3</v>
      </c>
      <c r="AA257">
        <v>0.97102619999999895</v>
      </c>
      <c r="AB257">
        <v>46</v>
      </c>
      <c r="AC257">
        <v>23.5262999999999</v>
      </c>
      <c r="AD257">
        <v>-1.111225903307</v>
      </c>
      <c r="AE257">
        <v>-5.5078000000000298</v>
      </c>
      <c r="AF257">
        <v>5.8217227908718296</v>
      </c>
      <c r="AG257">
        <v>-1.111225903307</v>
      </c>
      <c r="AH257">
        <v>23.3980418714034</v>
      </c>
      <c r="AI257">
        <v>92.638729717629502</v>
      </c>
      <c r="AJ257">
        <v>76.027816632549602</v>
      </c>
      <c r="AK257">
        <v>24.137018098304601</v>
      </c>
      <c r="AL257">
        <v>82.209904492783494</v>
      </c>
      <c r="AM257">
        <v>91.315566079249706</v>
      </c>
      <c r="AN257">
        <v>0.99999997210157099</v>
      </c>
    </row>
    <row r="258" spans="1:40" x14ac:dyDescent="0.3">
      <c r="A258" t="str">
        <f>"20200111150728685"</f>
        <v>20200111150728685</v>
      </c>
      <c r="B258" t="str">
        <f>"1578726448681792"</f>
        <v>1578726448681792</v>
      </c>
      <c r="C258" t="s">
        <v>40</v>
      </c>
      <c r="D258">
        <v>4.8357150000000004</v>
      </c>
      <c r="E258">
        <v>0.60316479999999995</v>
      </c>
      <c r="F258" t="s">
        <v>43</v>
      </c>
      <c r="G258">
        <v>-321.48099999999999</v>
      </c>
      <c r="H258" s="1">
        <v>-5.101294E-6</v>
      </c>
      <c r="I258">
        <v>361.36110000000002</v>
      </c>
      <c r="J258">
        <v>-345.13869999999997</v>
      </c>
      <c r="K258">
        <v>1.1111439999999999</v>
      </c>
      <c r="L258">
        <v>366.93880000000001</v>
      </c>
      <c r="M258">
        <v>0.99985190000000002</v>
      </c>
      <c r="N258">
        <v>0</v>
      </c>
      <c r="O258">
        <v>1.4949830000000001E-2</v>
      </c>
      <c r="P258">
        <v>0.99118629999999996</v>
      </c>
      <c r="Q258">
        <v>0.12714149999999999</v>
      </c>
      <c r="R258">
        <v>3.7210010000000002E-2</v>
      </c>
      <c r="S258">
        <v>3.0706180000000001</v>
      </c>
      <c r="T258">
        <v>-0.1421741</v>
      </c>
      <c r="U258">
        <v>-0.71295169999999997</v>
      </c>
      <c r="V258">
        <v>-2.3044849999999999E-2</v>
      </c>
      <c r="W258">
        <v>0.13547339999999999</v>
      </c>
      <c r="X258">
        <v>0.99051299999999998</v>
      </c>
      <c r="Y258">
        <v>0.24044660000000001</v>
      </c>
      <c r="Z258">
        <v>-6.17368E-3</v>
      </c>
      <c r="AA258">
        <v>0.97064269999999997</v>
      </c>
      <c r="AB258">
        <v>46</v>
      </c>
      <c r="AC258">
        <v>23.657699999999899</v>
      </c>
      <c r="AD258">
        <v>-1.111149101294</v>
      </c>
      <c r="AE258">
        <v>-5.5776999999999903</v>
      </c>
      <c r="AF258">
        <v>5.9183997569365703</v>
      </c>
      <c r="AG258">
        <v>-1.111149101294</v>
      </c>
      <c r="AH258">
        <v>23.5225097573962</v>
      </c>
      <c r="AI258">
        <v>92.622882097682407</v>
      </c>
      <c r="AJ258">
        <v>75.877196127374503</v>
      </c>
      <c r="AK258">
        <v>24.2810743851052</v>
      </c>
      <c r="AL258">
        <v>82.2140052333055</v>
      </c>
      <c r="AM258">
        <v>91.332778558625094</v>
      </c>
      <c r="AN258">
        <v>1.00000005519403</v>
      </c>
    </row>
    <row r="259" spans="1:40" x14ac:dyDescent="0.3">
      <c r="A259" t="str">
        <f>"20200111150728697"</f>
        <v>20200111150728697</v>
      </c>
      <c r="B259" t="str">
        <f>"1578726448691552"</f>
        <v>1578726448691552</v>
      </c>
      <c r="C259" t="s">
        <v>40</v>
      </c>
      <c r="D259">
        <v>4.8621930000000004</v>
      </c>
      <c r="E259">
        <v>0.6032826</v>
      </c>
      <c r="F259" t="s">
        <v>43</v>
      </c>
      <c r="G259">
        <v>-321.63740000000001</v>
      </c>
      <c r="H259" s="1">
        <v>-5.0118229999999996E-6</v>
      </c>
      <c r="I259">
        <v>361.48719999999997</v>
      </c>
      <c r="J259">
        <v>-344.86750000000001</v>
      </c>
      <c r="K259">
        <v>1.11107</v>
      </c>
      <c r="L259">
        <v>366.94310000000002</v>
      </c>
      <c r="M259">
        <v>0.99984010000000001</v>
      </c>
      <c r="N259">
        <v>0</v>
      </c>
      <c r="O259">
        <v>1.5721499999999999E-2</v>
      </c>
      <c r="P259">
        <v>0.99114869999999999</v>
      </c>
      <c r="Q259">
        <v>0.12717310000000001</v>
      </c>
      <c r="R259">
        <v>3.8099290000000001E-2</v>
      </c>
      <c r="S259">
        <v>3.0720830000000001</v>
      </c>
      <c r="T259">
        <v>-0.1452484</v>
      </c>
      <c r="U259">
        <v>-0.71261600000000003</v>
      </c>
      <c r="V259">
        <v>-2.314484E-2</v>
      </c>
      <c r="W259">
        <v>0.13551729999999901</v>
      </c>
      <c r="X259">
        <v>0.99050459999999996</v>
      </c>
      <c r="Y259">
        <v>0.24098049999999999</v>
      </c>
      <c r="Z259">
        <v>-6.3526549999999996E-3</v>
      </c>
      <c r="AA259">
        <v>0.97050919999999896</v>
      </c>
      <c r="AB259">
        <v>46</v>
      </c>
      <c r="AC259">
        <v>23.2301</v>
      </c>
      <c r="AD259">
        <v>-1.1110750118229999</v>
      </c>
      <c r="AE259">
        <v>-5.4559000000000397</v>
      </c>
      <c r="AF259">
        <v>5.8078592983823896</v>
      </c>
      <c r="AG259">
        <v>-1.1110750118229999</v>
      </c>
      <c r="AH259">
        <v>23.0913878298851</v>
      </c>
      <c r="AI259">
        <v>92.671660270861494</v>
      </c>
      <c r="AJ259">
        <v>75.882021243805696</v>
      </c>
      <c r="AK259">
        <v>23.836482735963099</v>
      </c>
      <c r="AL259">
        <v>82.211466044866796</v>
      </c>
      <c r="AM259">
        <v>91.338570640181899</v>
      </c>
      <c r="AN259">
        <v>0.99999999241953696</v>
      </c>
    </row>
    <row r="260" spans="1:40" x14ac:dyDescent="0.3">
      <c r="A260" t="str">
        <f>"20200111150728709"</f>
        <v>20200111150728709</v>
      </c>
      <c r="B260" t="str">
        <f>"1578726448701311"</f>
        <v>1578726448701311</v>
      </c>
      <c r="C260" t="s">
        <v>40</v>
      </c>
      <c r="D260">
        <v>4.8520310000000002</v>
      </c>
      <c r="E260">
        <v>0.60340609999999995</v>
      </c>
      <c r="F260" t="s">
        <v>43</v>
      </c>
      <c r="G260">
        <v>-321.24349999999998</v>
      </c>
      <c r="H260" s="1">
        <v>-5.1824370000000001E-6</v>
      </c>
      <c r="I260">
        <v>361.47800000000001</v>
      </c>
      <c r="J260">
        <v>-344.64659999999998</v>
      </c>
      <c r="K260">
        <v>1.1109960000000001</v>
      </c>
      <c r="L260">
        <v>366.94690000000003</v>
      </c>
      <c r="M260">
        <v>0.99983129999999998</v>
      </c>
      <c r="N260">
        <v>0</v>
      </c>
      <c r="O260">
        <v>1.6273300000000001E-2</v>
      </c>
      <c r="P260">
        <v>0.99113039999999997</v>
      </c>
      <c r="Q260">
        <v>0.12707479999999999</v>
      </c>
      <c r="R260">
        <v>3.8894989999999997E-2</v>
      </c>
      <c r="S260">
        <v>3.0726619999999998</v>
      </c>
      <c r="T260">
        <v>-0.1445121</v>
      </c>
      <c r="U260">
        <v>-0.71081539999999999</v>
      </c>
      <c r="V260">
        <v>-2.3368050000000001E-2</v>
      </c>
      <c r="W260">
        <v>0.13542989999999999</v>
      </c>
      <c r="X260">
        <v>0.99051129999999998</v>
      </c>
      <c r="Y260">
        <v>0.24093829999999999</v>
      </c>
      <c r="Z260">
        <v>-6.3443759999999997E-3</v>
      </c>
      <c r="AA260">
        <v>0.97051969999999999</v>
      </c>
      <c r="AB260">
        <v>46</v>
      </c>
      <c r="AC260">
        <v>23.403099999999899</v>
      </c>
      <c r="AD260">
        <v>-1.1110011824370001</v>
      </c>
      <c r="AE260">
        <v>-5.4689000000000103</v>
      </c>
      <c r="AF260">
        <v>5.8365628880540896</v>
      </c>
      <c r="AG260">
        <v>-1.1110011824370001</v>
      </c>
      <c r="AH260">
        <v>23.261292606861101</v>
      </c>
      <c r="AI260">
        <v>92.652375424080503</v>
      </c>
      <c r="AJ260">
        <v>75.914528149442106</v>
      </c>
      <c r="AK260">
        <v>24.008072053282302</v>
      </c>
      <c r="AL260">
        <v>82.216520190182706</v>
      </c>
      <c r="AM260">
        <v>91.351465979561198</v>
      </c>
      <c r="AN260">
        <v>0.99999997950125097</v>
      </c>
    </row>
    <row r="261" spans="1:40" x14ac:dyDescent="0.3">
      <c r="A261" t="str">
        <f>"20200111150728720"</f>
        <v>20200111150728720</v>
      </c>
      <c r="B261" t="str">
        <f>"1578726448711072"</f>
        <v>1578726448711072</v>
      </c>
      <c r="C261" t="s">
        <v>40</v>
      </c>
      <c r="D261">
        <v>4.8007460000000002</v>
      </c>
      <c r="E261">
        <v>0.60351129999999997</v>
      </c>
      <c r="F261" t="s">
        <v>43</v>
      </c>
      <c r="G261">
        <v>-321.07690000000002</v>
      </c>
      <c r="H261" s="1">
        <v>-5.2489109999999999E-6</v>
      </c>
      <c r="I261">
        <v>361.5061</v>
      </c>
      <c r="J261">
        <v>-344.38740000000001</v>
      </c>
      <c r="K261">
        <v>1.110908</v>
      </c>
      <c r="L261">
        <v>366.9513</v>
      </c>
      <c r="M261">
        <v>0.99982079999999995</v>
      </c>
      <c r="N261">
        <v>0</v>
      </c>
      <c r="O261">
        <v>1.689073E-2</v>
      </c>
      <c r="P261">
        <v>0.99109639999999999</v>
      </c>
      <c r="Q261">
        <v>0.12707449999999901</v>
      </c>
      <c r="R261">
        <v>3.9744399999999999E-2</v>
      </c>
      <c r="S261">
        <v>3.073242</v>
      </c>
      <c r="T261">
        <v>-0.14486270000000001</v>
      </c>
      <c r="U261">
        <v>-0.70941160000000003</v>
      </c>
      <c r="V261">
        <v>-2.3575829999999999E-2</v>
      </c>
      <c r="W261">
        <v>0.1354427</v>
      </c>
      <c r="X261">
        <v>0.99050459999999996</v>
      </c>
      <c r="Y261">
        <v>0.2410745</v>
      </c>
      <c r="Z261">
        <v>-6.3908100000000002E-3</v>
      </c>
      <c r="AA261">
        <v>0.97048559999999995</v>
      </c>
      <c r="AB261">
        <v>47</v>
      </c>
      <c r="AC261">
        <v>23.310499999999902</v>
      </c>
      <c r="AD261">
        <v>-1.1109132489110001</v>
      </c>
      <c r="AE261">
        <v>-5.4451999999999998</v>
      </c>
      <c r="AF261">
        <v>5.8256223010154997</v>
      </c>
      <c r="AG261">
        <v>-1.1109132489110001</v>
      </c>
      <c r="AH261">
        <v>23.1653066579395</v>
      </c>
      <c r="AI261">
        <v>92.662782816320401</v>
      </c>
      <c r="AJ261">
        <v>75.883949167764399</v>
      </c>
      <c r="AK261">
        <v>23.912411756179502</v>
      </c>
      <c r="AL261">
        <v>82.215779781744899</v>
      </c>
      <c r="AM261">
        <v>91.363487414985599</v>
      </c>
      <c r="AN261">
        <v>0.99999995368231798</v>
      </c>
    </row>
    <row r="262" spans="1:40" x14ac:dyDescent="0.3">
      <c r="A262" t="str">
        <f>"20200111150728741"</f>
        <v>20200111150728741</v>
      </c>
      <c r="B262" t="str">
        <f>"1578726448731567"</f>
        <v>1578726448731567</v>
      </c>
      <c r="C262" t="s">
        <v>40</v>
      </c>
      <c r="D262">
        <v>4.8602910000000001</v>
      </c>
      <c r="E262">
        <v>0.60380369999999906</v>
      </c>
      <c r="F262" t="s">
        <v>43</v>
      </c>
      <c r="G262">
        <v>-321.75619999999998</v>
      </c>
      <c r="H262" s="1">
        <v>-4.9157140000000002E-6</v>
      </c>
      <c r="I262">
        <v>361.74169999999998</v>
      </c>
      <c r="J262">
        <v>-343.96749999999997</v>
      </c>
      <c r="K262">
        <v>1.1107389999999999</v>
      </c>
      <c r="L262">
        <v>366.95870000000002</v>
      </c>
      <c r="M262">
        <v>0.9998068</v>
      </c>
      <c r="N262">
        <v>0</v>
      </c>
      <c r="O262">
        <v>1.7699639999999999E-2</v>
      </c>
      <c r="P262">
        <v>0.99101470000000003</v>
      </c>
      <c r="Q262">
        <v>0.12741739999999999</v>
      </c>
      <c r="R262">
        <v>4.0677390000000001E-2</v>
      </c>
      <c r="S262">
        <v>3.0746769999999999</v>
      </c>
      <c r="T262">
        <v>-0.15092829999999999</v>
      </c>
      <c r="U262">
        <v>-0.7077637</v>
      </c>
      <c r="V262">
        <v>-2.3653029999999999E-2</v>
      </c>
      <c r="W262">
        <v>0.13580980000000001</v>
      </c>
      <c r="X262">
        <v>0.99045249999999996</v>
      </c>
      <c r="Y262">
        <v>0.24124229999999999</v>
      </c>
      <c r="Z262">
        <v>-6.6987380000000001E-3</v>
      </c>
      <c r="AA262">
        <v>0.97044180000000002</v>
      </c>
      <c r="AB262">
        <v>47</v>
      </c>
      <c r="AC262">
        <v>22.211299999999898</v>
      </c>
      <c r="AD262">
        <v>-1.110743915714</v>
      </c>
      <c r="AE262">
        <v>-5.2170000000000396</v>
      </c>
      <c r="AF262">
        <v>5.5960661025023004</v>
      </c>
      <c r="AG262">
        <v>-1.110743915714</v>
      </c>
      <c r="AH262">
        <v>22.0631870160835</v>
      </c>
      <c r="AI262">
        <v>92.793735791454196</v>
      </c>
      <c r="AJ262">
        <v>75.767735858207104</v>
      </c>
      <c r="AK262">
        <v>22.7888992532888</v>
      </c>
      <c r="AL262">
        <v>82.194550400356306</v>
      </c>
      <c r="AM262">
        <v>91.368022445307105</v>
      </c>
      <c r="AN262">
        <v>0.99999996118023404</v>
      </c>
    </row>
    <row r="263" spans="1:40" x14ac:dyDescent="0.3">
      <c r="A263" t="str">
        <f>"20200111150728752"</f>
        <v>20200111150728752</v>
      </c>
      <c r="B263" t="str">
        <f>"1578726448741329"</f>
        <v>1578726448741329</v>
      </c>
      <c r="C263" t="s">
        <v>40</v>
      </c>
      <c r="D263">
        <v>4.8893789999999999</v>
      </c>
      <c r="E263">
        <v>0.60399130000000001</v>
      </c>
      <c r="F263" t="s">
        <v>43</v>
      </c>
      <c r="G263">
        <v>-321.21620000000001</v>
      </c>
      <c r="H263" s="1">
        <v>-5.1496629999999996E-6</v>
      </c>
      <c r="I263">
        <v>361.72879999999998</v>
      </c>
      <c r="J263">
        <v>-343.72710000000001</v>
      </c>
      <c r="K263">
        <v>1.110635</v>
      </c>
      <c r="L263">
        <v>366.9631</v>
      </c>
      <c r="M263">
        <v>0.99980029999999998</v>
      </c>
      <c r="N263">
        <v>0</v>
      </c>
      <c r="O263">
        <v>1.8059459999999999E-2</v>
      </c>
      <c r="P263">
        <v>0.99097869999999999</v>
      </c>
      <c r="Q263">
        <v>0.12754080000000001</v>
      </c>
      <c r="R263">
        <v>4.1167750000000003E-2</v>
      </c>
      <c r="S263">
        <v>3.0755309999999998</v>
      </c>
      <c r="T263">
        <v>-0.15015039999999999</v>
      </c>
      <c r="U263">
        <v>-0.70697019999999899</v>
      </c>
      <c r="V263">
        <v>-2.3752229999999999E-2</v>
      </c>
      <c r="W263">
        <v>0.1359477</v>
      </c>
      <c r="X263">
        <v>0.99043119999999996</v>
      </c>
      <c r="Y263">
        <v>0.2412976</v>
      </c>
      <c r="Z263">
        <v>-6.6813169999999896E-3</v>
      </c>
      <c r="AA263">
        <v>0.97042819999999996</v>
      </c>
      <c r="AB263">
        <v>47</v>
      </c>
      <c r="AC263">
        <v>22.5108999999999</v>
      </c>
      <c r="AD263">
        <v>-1.1106401496630001</v>
      </c>
      <c r="AE263">
        <v>-5.2343000000000099</v>
      </c>
      <c r="AF263">
        <v>5.6270010739887697</v>
      </c>
      <c r="AG263">
        <v>-1.1106401496630001</v>
      </c>
      <c r="AH263">
        <v>22.361056568290302</v>
      </c>
      <c r="AI263">
        <v>92.757625708195405</v>
      </c>
      <c r="AJ263">
        <v>75.875196847568702</v>
      </c>
      <c r="AK263">
        <v>23.084919611707399</v>
      </c>
      <c r="AL263">
        <v>82.186575288783004</v>
      </c>
      <c r="AM263">
        <v>91.373787223095505</v>
      </c>
      <c r="AN263">
        <v>0.99999995374935002</v>
      </c>
    </row>
    <row r="264" spans="1:40" x14ac:dyDescent="0.3">
      <c r="A264" t="str">
        <f>"20200111150728765"</f>
        <v>20200111150728765</v>
      </c>
      <c r="B264" t="str">
        <f>"1578726448761823"</f>
        <v>1578726448761823</v>
      </c>
      <c r="C264" t="s">
        <v>40</v>
      </c>
      <c r="D264">
        <v>4.8857980000000003</v>
      </c>
      <c r="E264">
        <v>0.60445119999999997</v>
      </c>
      <c r="F264" t="s">
        <v>43</v>
      </c>
      <c r="G264">
        <v>-320.89510000000001</v>
      </c>
      <c r="H264" s="1">
        <v>-5.289939E-6</v>
      </c>
      <c r="I264">
        <v>361.71460000000002</v>
      </c>
      <c r="J264">
        <v>-343.46949999999998</v>
      </c>
      <c r="K264">
        <v>1.110525</v>
      </c>
      <c r="L264">
        <v>366.96780000000001</v>
      </c>
      <c r="M264">
        <v>0.99979390000000001</v>
      </c>
      <c r="N264">
        <v>0</v>
      </c>
      <c r="O264">
        <v>1.839965E-2</v>
      </c>
      <c r="P264">
        <v>0.99092159999999996</v>
      </c>
      <c r="Q264">
        <v>0.12787950000000001</v>
      </c>
      <c r="R264">
        <v>4.1487889999999999E-2</v>
      </c>
      <c r="S264">
        <v>3.0759280000000002</v>
      </c>
      <c r="T264">
        <v>-0.14962490000000001</v>
      </c>
      <c r="U264">
        <v>-0.70706179999999996</v>
      </c>
      <c r="V264">
        <v>-2.3699109999999999E-2</v>
      </c>
      <c r="W264">
        <v>0.13630200000000001</v>
      </c>
      <c r="X264">
        <v>0.99038380000000004</v>
      </c>
      <c r="Y264">
        <v>0.24162919999999999</v>
      </c>
      <c r="Z264">
        <v>-6.681401E-3</v>
      </c>
      <c r="AA264">
        <v>0.97034569999999998</v>
      </c>
      <c r="AB264">
        <v>47</v>
      </c>
      <c r="AC264">
        <v>22.574399999999901</v>
      </c>
      <c r="AD264">
        <v>-1.1105302899389999</v>
      </c>
      <c r="AE264">
        <v>-5.2531999999999899</v>
      </c>
      <c r="AF264">
        <v>5.6547051740939596</v>
      </c>
      <c r="AG264">
        <v>-1.1105302899389999</v>
      </c>
      <c r="AH264">
        <v>22.422441167710002</v>
      </c>
      <c r="AI264">
        <v>92.749460807925303</v>
      </c>
      <c r="AJ264">
        <v>75.845745468793098</v>
      </c>
      <c r="AK264">
        <v>23.151130340659599</v>
      </c>
      <c r="AL264">
        <v>82.166084844464294</v>
      </c>
      <c r="AM264">
        <v>91.3707816069073</v>
      </c>
      <c r="AN264">
        <v>0.99999997716061495</v>
      </c>
    </row>
    <row r="265" spans="1:40" x14ac:dyDescent="0.3">
      <c r="A265" t="str">
        <f>"20200111150728776"</f>
        <v>20200111150728776</v>
      </c>
      <c r="B265" t="str">
        <f>"1578726448771584"</f>
        <v>1578726448771584</v>
      </c>
      <c r="C265" t="s">
        <v>40</v>
      </c>
      <c r="D265">
        <v>4.8970520000000004</v>
      </c>
      <c r="E265">
        <v>0.60468980000000006</v>
      </c>
      <c r="F265" t="s">
        <v>43</v>
      </c>
      <c r="G265">
        <v>-320.42540000000002</v>
      </c>
      <c r="H265" s="1">
        <v>-5.5023349999999997E-6</v>
      </c>
      <c r="I265">
        <v>361.65300000000002</v>
      </c>
      <c r="J265">
        <v>-343.22919999999999</v>
      </c>
      <c r="K265">
        <v>1.1104240000000001</v>
      </c>
      <c r="L265">
        <v>366.97230000000002</v>
      </c>
      <c r="M265">
        <v>0.99978889999999998</v>
      </c>
      <c r="N265">
        <v>0</v>
      </c>
      <c r="O265">
        <v>1.8664989999999999E-2</v>
      </c>
      <c r="P265">
        <v>0.99084470000000002</v>
      </c>
      <c r="Q265">
        <v>0.12842200000000001</v>
      </c>
      <c r="R265">
        <v>4.1647549999999998E-2</v>
      </c>
      <c r="S265">
        <v>3.0763240000000001</v>
      </c>
      <c r="T265">
        <v>-0.148253</v>
      </c>
      <c r="U265">
        <v>-0.709503199999999</v>
      </c>
      <c r="V265">
        <v>-2.3564109999999999E-2</v>
      </c>
      <c r="W265">
        <v>0.13685939999999999</v>
      </c>
      <c r="X265">
        <v>0.99031020000000003</v>
      </c>
      <c r="Y265">
        <v>0.2425947</v>
      </c>
      <c r="Z265">
        <v>-6.6543749999999997E-3</v>
      </c>
      <c r="AA265">
        <v>0.97010490000000005</v>
      </c>
      <c r="AB265">
        <v>47</v>
      </c>
      <c r="AC265">
        <v>22.803799999999899</v>
      </c>
      <c r="AD265">
        <v>-1.1104295023349999</v>
      </c>
      <c r="AE265">
        <v>-5.3192999999999904</v>
      </c>
      <c r="AF265">
        <v>5.7311333154509096</v>
      </c>
      <c r="AG265">
        <v>-1.1104295023349999</v>
      </c>
      <c r="AH265">
        <v>22.6496036259603</v>
      </c>
      <c r="AI265">
        <v>92.721135049560004</v>
      </c>
      <c r="AJ265">
        <v>75.800231784133402</v>
      </c>
      <c r="AK265">
        <v>23.389815885813299</v>
      </c>
      <c r="AL265">
        <v>82.133846462467304</v>
      </c>
      <c r="AM265">
        <v>91.363077276323096</v>
      </c>
      <c r="AN265">
        <v>1.0000000274362399</v>
      </c>
    </row>
    <row r="266" spans="1:40" x14ac:dyDescent="0.3">
      <c r="A266" t="str">
        <f>"20200111150728788"</f>
        <v>20200111150728788</v>
      </c>
      <c r="B266" t="str">
        <f>"1578726448781344"</f>
        <v>1578726448781344</v>
      </c>
      <c r="C266" t="s">
        <v>40</v>
      </c>
      <c r="D266">
        <v>4.8516459999999997</v>
      </c>
      <c r="E266">
        <v>0.60500140000000002</v>
      </c>
      <c r="F266" t="s">
        <v>44</v>
      </c>
      <c r="G266">
        <v>-318.82350000000002</v>
      </c>
      <c r="H266">
        <v>-0.05</v>
      </c>
      <c r="I266">
        <v>361.33139999999997</v>
      </c>
      <c r="J266">
        <v>-342.97879999999998</v>
      </c>
      <c r="K266">
        <v>1.110317</v>
      </c>
      <c r="L266">
        <v>366.97699999999998</v>
      </c>
      <c r="M266">
        <v>0.99978509999999998</v>
      </c>
      <c r="N266">
        <v>0</v>
      </c>
      <c r="O266">
        <v>1.8861409999999999E-2</v>
      </c>
      <c r="P266">
        <v>0.99075990000000003</v>
      </c>
      <c r="Q266">
        <v>0.12893370000000001</v>
      </c>
      <c r="R266">
        <v>4.2079890000000002E-2</v>
      </c>
      <c r="S266">
        <v>3.0765690000000001</v>
      </c>
      <c r="T266">
        <v>-0.14628289999999999</v>
      </c>
      <c r="U266">
        <v>-0.71109009999999995</v>
      </c>
      <c r="V266">
        <v>-2.3766829999999999E-2</v>
      </c>
      <c r="W266">
        <v>0.13738610000000001</v>
      </c>
      <c r="X266">
        <v>0.99023240000000001</v>
      </c>
      <c r="Y266">
        <v>0.2432502</v>
      </c>
      <c r="Z266">
        <v>-6.5897560000000004E-3</v>
      </c>
      <c r="AA266">
        <v>0.96994119999999995</v>
      </c>
      <c r="AB266">
        <v>47</v>
      </c>
      <c r="AC266">
        <v>24.155299999999901</v>
      </c>
      <c r="AD266">
        <v>-1.160317</v>
      </c>
      <c r="AE266">
        <v>-5.6456</v>
      </c>
      <c r="AF266">
        <v>6.0868978859197496</v>
      </c>
      <c r="AG266">
        <v>-1.160317</v>
      </c>
      <c r="AH266">
        <v>23.992022252906299</v>
      </c>
      <c r="AI266">
        <v>92.683916888971098</v>
      </c>
      <c r="AJ266">
        <v>75.764133388983694</v>
      </c>
      <c r="AK266">
        <v>24.779301709250198</v>
      </c>
      <c r="AL266">
        <v>82.103380817530393</v>
      </c>
      <c r="AM266">
        <v>91.374907203895205</v>
      </c>
      <c r="AN266">
        <v>1.0000000043456001</v>
      </c>
    </row>
    <row r="267" spans="1:40" x14ac:dyDescent="0.3">
      <c r="A267" t="str">
        <f>"20200111150728800"</f>
        <v>20200111150728800</v>
      </c>
      <c r="B267" t="str">
        <f>"1578726448791103"</f>
        <v>1578726448791103</v>
      </c>
      <c r="C267" t="s">
        <v>40</v>
      </c>
      <c r="D267">
        <v>4.9025499999999997</v>
      </c>
      <c r="E267">
        <v>0.60528110000000002</v>
      </c>
      <c r="F267" t="s">
        <v>44</v>
      </c>
      <c r="G267">
        <v>-318.31200000000001</v>
      </c>
      <c r="H267">
        <v>-0.05</v>
      </c>
      <c r="I267">
        <v>361.26690000000002</v>
      </c>
      <c r="J267">
        <v>-342.72</v>
      </c>
      <c r="K267">
        <v>1.110204</v>
      </c>
      <c r="L267">
        <v>366.9819</v>
      </c>
      <c r="M267">
        <v>0.99978210000000001</v>
      </c>
      <c r="N267">
        <v>0</v>
      </c>
      <c r="O267">
        <v>1.90245E-2</v>
      </c>
      <c r="P267">
        <v>0.99068469999999997</v>
      </c>
      <c r="Q267">
        <v>0.129458399999999</v>
      </c>
      <c r="R267">
        <v>4.2247670000000001E-2</v>
      </c>
      <c r="S267">
        <v>3.0770870000000001</v>
      </c>
      <c r="T267">
        <v>-0.14474489999999901</v>
      </c>
      <c r="U267">
        <v>-0.71231080000000002</v>
      </c>
      <c r="V267">
        <v>-2.3737169999999998E-2</v>
      </c>
      <c r="W267">
        <v>0.13792639999999901</v>
      </c>
      <c r="X267">
        <v>0.99015799999999998</v>
      </c>
      <c r="Y267">
        <v>0.24374309999999999</v>
      </c>
      <c r="Z267">
        <v>-6.5381980000000003E-3</v>
      </c>
      <c r="AA267">
        <v>0.96981779999999995</v>
      </c>
      <c r="AB267">
        <v>47</v>
      </c>
      <c r="AC267">
        <v>24.408000000000001</v>
      </c>
      <c r="AD267">
        <v>-1.160204</v>
      </c>
      <c r="AE267">
        <v>-5.7149999999999697</v>
      </c>
      <c r="AF267">
        <v>6.1651268930994902</v>
      </c>
      <c r="AG267">
        <v>-1.160204</v>
      </c>
      <c r="AH267">
        <v>24.242924288888901</v>
      </c>
      <c r="AI267">
        <v>92.655540983135296</v>
      </c>
      <c r="AJ267">
        <v>75.731777030825</v>
      </c>
      <c r="AK267">
        <v>25.041450457320501</v>
      </c>
      <c r="AL267">
        <v>82.072126372521794</v>
      </c>
      <c r="AM267">
        <v>91.373295176645897</v>
      </c>
      <c r="AN267">
        <v>1.00000000501028</v>
      </c>
    </row>
    <row r="268" spans="1:40" x14ac:dyDescent="0.3">
      <c r="A268" t="str">
        <f>"20200111150728814"</f>
        <v>20200111150728814</v>
      </c>
      <c r="B268" t="str">
        <f>"1578726448811600"</f>
        <v>1578726448811600</v>
      </c>
      <c r="C268" t="s">
        <v>40</v>
      </c>
      <c r="D268">
        <v>4.8835259999999998</v>
      </c>
      <c r="E268">
        <v>0.60602009999999995</v>
      </c>
      <c r="F268" t="s">
        <v>44</v>
      </c>
      <c r="G268">
        <v>-317.75619999999998</v>
      </c>
      <c r="H268">
        <v>-0.05</v>
      </c>
      <c r="I268">
        <v>361.1909</v>
      </c>
      <c r="J268">
        <v>-342.43709999999999</v>
      </c>
      <c r="K268">
        <v>1.1100730000000001</v>
      </c>
      <c r="L268">
        <v>366.98719999999997</v>
      </c>
      <c r="M268">
        <v>0.99978060000000002</v>
      </c>
      <c r="N268">
        <v>0</v>
      </c>
      <c r="O268">
        <v>1.9091569999999999E-2</v>
      </c>
      <c r="P268">
        <v>0.99058579999999996</v>
      </c>
      <c r="Q268">
        <v>0.13017280000000001</v>
      </c>
      <c r="R268">
        <v>4.2364699999999998E-2</v>
      </c>
      <c r="S268">
        <v>3.0773320000000002</v>
      </c>
      <c r="T268">
        <v>-0.1430207</v>
      </c>
      <c r="U268">
        <v>-0.71386719999999904</v>
      </c>
      <c r="V268">
        <v>-2.374652E-2</v>
      </c>
      <c r="W268">
        <v>0.1386589</v>
      </c>
      <c r="X268">
        <v>0.99005540000000003</v>
      </c>
      <c r="Y268">
        <v>0.2442627</v>
      </c>
      <c r="Z268">
        <v>-6.4745280000000002E-3</v>
      </c>
      <c r="AA268">
        <v>0.96968750000000004</v>
      </c>
      <c r="AB268">
        <v>47</v>
      </c>
      <c r="AC268">
        <v>24.680900000000001</v>
      </c>
      <c r="AD268">
        <v>-1.1600729999999999</v>
      </c>
      <c r="AE268">
        <v>-5.7962999999999703</v>
      </c>
      <c r="AF268">
        <v>6.2533648926410201</v>
      </c>
      <c r="AG268">
        <v>-1.1600729999999999</v>
      </c>
      <c r="AH268">
        <v>24.514408763371801</v>
      </c>
      <c r="AI268">
        <v>92.6253864090436</v>
      </c>
      <c r="AJ268">
        <v>75.689640792867493</v>
      </c>
      <c r="AK268">
        <v>25.326005979299701</v>
      </c>
      <c r="AL268">
        <v>82.029749526183096</v>
      </c>
      <c r="AM268">
        <v>91.373978223037398</v>
      </c>
      <c r="AN268">
        <v>0.99999994141523796</v>
      </c>
    </row>
    <row r="269" spans="1:40" x14ac:dyDescent="0.3">
      <c r="A269" t="str">
        <f>"20200111150728832"</f>
        <v>20200111150728832</v>
      </c>
      <c r="B269" t="str">
        <f>"1578726448821359"</f>
        <v>1578726448821359</v>
      </c>
      <c r="C269" t="s">
        <v>40</v>
      </c>
      <c r="D269">
        <v>4.9195640000000003</v>
      </c>
      <c r="E269">
        <v>0.60636780000000001</v>
      </c>
      <c r="F269" t="s">
        <v>44</v>
      </c>
      <c r="G269">
        <v>-317.07260000000002</v>
      </c>
      <c r="H269">
        <v>-0.05</v>
      </c>
      <c r="I269">
        <v>361.05849999999998</v>
      </c>
      <c r="J269">
        <v>-342.07549999999998</v>
      </c>
      <c r="K269">
        <v>1.1099030000000001</v>
      </c>
      <c r="L269">
        <v>366.99400000000003</v>
      </c>
      <c r="M269">
        <v>0.99978080000000003</v>
      </c>
      <c r="N269">
        <v>0</v>
      </c>
      <c r="O269">
        <v>1.907259E-2</v>
      </c>
      <c r="P269">
        <v>0.99042280000000005</v>
      </c>
      <c r="Q269">
        <v>0.1313819</v>
      </c>
      <c r="R269">
        <v>4.2446490000000003E-2</v>
      </c>
      <c r="S269">
        <v>3.0777589999999999</v>
      </c>
      <c r="T269">
        <v>-0.14076449999999999</v>
      </c>
      <c r="U269">
        <v>-0.71939090000000006</v>
      </c>
      <c r="V269">
        <v>-2.3794289999999999E-2</v>
      </c>
      <c r="W269">
        <v>0.1398904</v>
      </c>
      <c r="X269">
        <v>0.98988100000000001</v>
      </c>
      <c r="Y269">
        <v>0.24587220000000001</v>
      </c>
      <c r="Z269">
        <v>-6.4057979999999999E-3</v>
      </c>
      <c r="AA269">
        <v>0.96928110000000001</v>
      </c>
      <c r="AB269">
        <v>47</v>
      </c>
      <c r="AC269">
        <v>25.002899999999901</v>
      </c>
      <c r="AD269">
        <v>-1.1599029999999999</v>
      </c>
      <c r="AE269">
        <v>-5.9355000000000402</v>
      </c>
      <c r="AF269">
        <v>6.3982729773241003</v>
      </c>
      <c r="AG269">
        <v>-1.1599029999999999</v>
      </c>
      <c r="AH269">
        <v>24.834546947783899</v>
      </c>
      <c r="AI269">
        <v>92.589625432141503</v>
      </c>
      <c r="AJ269">
        <v>75.552728217052902</v>
      </c>
      <c r="AK269">
        <v>25.671735316558699</v>
      </c>
      <c r="AL269">
        <v>81.958495320693103</v>
      </c>
      <c r="AM269">
        <v>91.376983606448306</v>
      </c>
      <c r="AN269">
        <v>0.99999994320487995</v>
      </c>
    </row>
    <row r="270" spans="1:40" x14ac:dyDescent="0.3">
      <c r="A270" t="str">
        <f>"20200111150728847"</f>
        <v>20200111150728847</v>
      </c>
      <c r="B270" t="str">
        <f>"1578726448841856"</f>
        <v>1578726448841856</v>
      </c>
      <c r="C270" t="s">
        <v>40</v>
      </c>
      <c r="D270">
        <v>5.1301379999999996</v>
      </c>
      <c r="E270">
        <v>0.60668339999999998</v>
      </c>
      <c r="F270" t="s">
        <v>44</v>
      </c>
      <c r="G270">
        <v>-316.09010000000001</v>
      </c>
      <c r="H270">
        <v>-0.05</v>
      </c>
      <c r="I270">
        <v>360.90219999999999</v>
      </c>
      <c r="J270">
        <v>-341.75420000000003</v>
      </c>
      <c r="K270">
        <v>1.109747</v>
      </c>
      <c r="L270">
        <v>367</v>
      </c>
      <c r="M270">
        <v>0.99978299999999998</v>
      </c>
      <c r="N270">
        <v>0</v>
      </c>
      <c r="O270">
        <v>1.8956649999999999E-2</v>
      </c>
      <c r="P270">
        <v>0.99034759999999999</v>
      </c>
      <c r="Q270">
        <v>0.13199</v>
      </c>
      <c r="R270">
        <v>4.2313429999999999E-2</v>
      </c>
      <c r="S270">
        <v>3.0781559999999999</v>
      </c>
      <c r="T270">
        <v>-0.13739879999999999</v>
      </c>
      <c r="U270">
        <v>-0.72161869999999995</v>
      </c>
      <c r="V270">
        <v>-2.3725130000000001E-2</v>
      </c>
      <c r="W270">
        <v>0.1405197</v>
      </c>
      <c r="X270">
        <v>0.98979360000000005</v>
      </c>
      <c r="Y270">
        <v>0.2464093</v>
      </c>
      <c r="Z270">
        <v>-6.2582059999999997E-3</v>
      </c>
      <c r="AA270">
        <v>0.9691457</v>
      </c>
      <c r="AB270">
        <v>47</v>
      </c>
      <c r="AC270">
        <v>25.664100000000001</v>
      </c>
      <c r="AD270">
        <v>-1.1597469999999901</v>
      </c>
      <c r="AE270">
        <v>-6.0978000000000003</v>
      </c>
      <c r="AF270">
        <v>6.5705270967616602</v>
      </c>
      <c r="AG270">
        <v>-1.1597469999999901</v>
      </c>
      <c r="AH270">
        <v>25.494609639039201</v>
      </c>
      <c r="AI270">
        <v>92.522275727961699</v>
      </c>
      <c r="AJ270">
        <v>75.548095610778503</v>
      </c>
      <c r="AK270">
        <v>26.353215365117801</v>
      </c>
      <c r="AL270">
        <v>81.922080003440698</v>
      </c>
      <c r="AM270">
        <v>91.373104017755793</v>
      </c>
      <c r="AN270">
        <v>1.0000000192412799</v>
      </c>
    </row>
    <row r="271" spans="1:40" x14ac:dyDescent="0.3">
      <c r="A271" t="str">
        <f>"20200111150728865"</f>
        <v>20200111150728865</v>
      </c>
      <c r="B271" t="str">
        <f>"1578726448861376"</f>
        <v>1578726448861376</v>
      </c>
      <c r="C271" t="s">
        <v>40</v>
      </c>
      <c r="D271">
        <v>4.6867650000000003</v>
      </c>
      <c r="E271">
        <v>0.60524</v>
      </c>
      <c r="F271" t="s">
        <v>44</v>
      </c>
      <c r="G271">
        <v>-315.3039</v>
      </c>
      <c r="H271">
        <v>-0.05</v>
      </c>
      <c r="I271">
        <v>360.7697</v>
      </c>
      <c r="J271">
        <v>-341.38029999999998</v>
      </c>
      <c r="K271">
        <v>1.1095649999999999</v>
      </c>
      <c r="L271">
        <v>367.00689999999997</v>
      </c>
      <c r="M271">
        <v>0.99978750000000005</v>
      </c>
      <c r="N271">
        <v>0</v>
      </c>
      <c r="O271">
        <v>1.8710609999999999E-2</v>
      </c>
      <c r="P271">
        <v>0.99028170000000004</v>
      </c>
      <c r="Q271">
        <v>0.1323164</v>
      </c>
      <c r="R271">
        <v>4.2830399999999998E-2</v>
      </c>
      <c r="S271">
        <v>3.0781860000000001</v>
      </c>
      <c r="T271">
        <v>-0.1349667</v>
      </c>
      <c r="U271">
        <v>-0.72506709999999996</v>
      </c>
      <c r="V271">
        <v>-2.4425240000000001E-2</v>
      </c>
      <c r="W271">
        <v>0.14087</v>
      </c>
      <c r="X271">
        <v>0.98972680000000002</v>
      </c>
      <c r="Y271">
        <v>0.24720590000000001</v>
      </c>
      <c r="Z271">
        <v>-6.1532710000000001E-3</v>
      </c>
      <c r="AA271">
        <v>0.96894340000000001</v>
      </c>
      <c r="AB271">
        <v>47</v>
      </c>
      <c r="AC271">
        <v>26.0763999999999</v>
      </c>
      <c r="AD271">
        <v>-1.159565</v>
      </c>
      <c r="AE271">
        <v>-6.2371999999999703</v>
      </c>
      <c r="AF271">
        <v>6.7114785508627497</v>
      </c>
      <c r="AG271">
        <v>-1.159565</v>
      </c>
      <c r="AH271">
        <v>25.906672894341298</v>
      </c>
      <c r="AI271">
        <v>92.4810134566805</v>
      </c>
      <c r="AJ271">
        <v>75.476044409099202</v>
      </c>
      <c r="AK271">
        <v>26.787016179155</v>
      </c>
      <c r="AL271">
        <v>81.901807844547506</v>
      </c>
      <c r="AM271">
        <v>91.413702406463599</v>
      </c>
      <c r="AN271">
        <v>1.0000000439436401</v>
      </c>
    </row>
    <row r="272" spans="1:40" x14ac:dyDescent="0.3">
      <c r="A272" t="str">
        <f>"20200111150728878"</f>
        <v>20200111150728878</v>
      </c>
      <c r="B272" t="str">
        <f>"1578726448871136"</f>
        <v>1578726448871136</v>
      </c>
      <c r="C272" t="s">
        <v>40</v>
      </c>
      <c r="D272">
        <v>4.8818029999999997</v>
      </c>
      <c r="E272">
        <v>0.52037770000000005</v>
      </c>
      <c r="F272" t="s">
        <v>44</v>
      </c>
      <c r="G272">
        <v>-315.3288</v>
      </c>
      <c r="H272">
        <v>-0.05</v>
      </c>
      <c r="I272">
        <v>360.97890000000001</v>
      </c>
      <c r="J272">
        <v>-341.07130000000001</v>
      </c>
      <c r="K272">
        <v>1.109416</v>
      </c>
      <c r="L272">
        <v>367.01249999999999</v>
      </c>
      <c r="M272">
        <v>0.99979249999999997</v>
      </c>
      <c r="N272">
        <v>0</v>
      </c>
      <c r="O272">
        <v>1.8432919999999998E-2</v>
      </c>
      <c r="P272">
        <v>0.99028490000000002</v>
      </c>
      <c r="Q272">
        <v>0.1323463</v>
      </c>
      <c r="R272">
        <v>4.2665439999999999E-2</v>
      </c>
      <c r="S272">
        <v>3.0785520000000002</v>
      </c>
      <c r="T272">
        <v>-0.13702790000000001</v>
      </c>
      <c r="U272">
        <v>-0.71234129999999996</v>
      </c>
      <c r="V272">
        <v>-2.4484530000000001E-2</v>
      </c>
      <c r="W272">
        <v>0.14092099999999999</v>
      </c>
      <c r="X272">
        <v>0.98971799999999999</v>
      </c>
      <c r="Y272">
        <v>0.24310689999999999</v>
      </c>
      <c r="Z272">
        <v>-6.147118E-3</v>
      </c>
      <c r="AA272">
        <v>0.96997999999999995</v>
      </c>
      <c r="AB272">
        <v>47</v>
      </c>
      <c r="AC272">
        <v>25.7425</v>
      </c>
      <c r="AD272">
        <v>-1.159416</v>
      </c>
      <c r="AE272">
        <v>-6.0335999999999697</v>
      </c>
      <c r="AF272">
        <v>6.4946137542822102</v>
      </c>
      <c r="AG272">
        <v>-1.159416</v>
      </c>
      <c r="AH272">
        <v>25.577722163820901</v>
      </c>
      <c r="AI272">
        <v>92.515668289236103</v>
      </c>
      <c r="AJ272">
        <v>75.752735978120697</v>
      </c>
      <c r="AK272">
        <v>26.414846665615599</v>
      </c>
      <c r="AL272">
        <v>81.898855713723606</v>
      </c>
      <c r="AM272">
        <v>91.417145235175397</v>
      </c>
      <c r="AN272">
        <v>0.99999996998715901</v>
      </c>
    </row>
    <row r="273" spans="1:40" x14ac:dyDescent="0.3">
      <c r="A273" t="str">
        <f>"20200111150728890"</f>
        <v>20200111150728890</v>
      </c>
      <c r="B273" t="str">
        <f>"1578726448881872"</f>
        <v>1578726448881872</v>
      </c>
      <c r="C273" t="s">
        <v>40</v>
      </c>
      <c r="D273">
        <v>4.9098940000000004</v>
      </c>
      <c r="E273">
        <v>0.51677980000000001</v>
      </c>
      <c r="F273" t="s">
        <v>43</v>
      </c>
      <c r="G273">
        <v>-324.03960000000001</v>
      </c>
      <c r="H273" s="1">
        <v>-3.0375609999999999E-6</v>
      </c>
      <c r="I273">
        <v>366.8075</v>
      </c>
      <c r="J273">
        <v>-340.82729999999998</v>
      </c>
      <c r="K273">
        <v>1.1093029999999999</v>
      </c>
      <c r="L273">
        <v>367.01679999999999</v>
      </c>
      <c r="M273">
        <v>0.99979759999999995</v>
      </c>
      <c r="N273">
        <v>0</v>
      </c>
      <c r="O273">
        <v>1.8146430000000002E-2</v>
      </c>
      <c r="P273">
        <v>0.99037019999999998</v>
      </c>
      <c r="Q273">
        <v>0.1318801</v>
      </c>
      <c r="R273">
        <v>4.2126129999999998E-2</v>
      </c>
      <c r="S273">
        <v>3.0576479999999999</v>
      </c>
      <c r="T273">
        <v>-0.19917029999999999</v>
      </c>
      <c r="U273">
        <v>-3.6804200000000002E-2</v>
      </c>
      <c r="V273">
        <v>-2.4189240000000001E-2</v>
      </c>
      <c r="W273">
        <v>0.14047200000000001</v>
      </c>
      <c r="X273">
        <v>0.98978909999999998</v>
      </c>
      <c r="Y273">
        <v>3.0077530000000002E-2</v>
      </c>
      <c r="Z273">
        <v>-2.1592930000000001E-3</v>
      </c>
      <c r="AA273">
        <v>0.99954520000000002</v>
      </c>
      <c r="AB273">
        <v>47</v>
      </c>
      <c r="AC273">
        <v>16.787699999999901</v>
      </c>
      <c r="AD273">
        <v>-1.109306037561</v>
      </c>
      <c r="AE273">
        <v>-0.209299999999984</v>
      </c>
      <c r="AF273">
        <v>0.51168001637397098</v>
      </c>
      <c r="AG273">
        <v>-1.109306037561</v>
      </c>
      <c r="AH273">
        <v>16.7081945461941</v>
      </c>
      <c r="AI273">
        <v>93.796685400303005</v>
      </c>
      <c r="AJ273">
        <v>88.245893931751496</v>
      </c>
      <c r="AK273">
        <v>16.752795030012098</v>
      </c>
      <c r="AL273">
        <v>81.924840091302599</v>
      </c>
      <c r="AM273">
        <v>91.399960396371199</v>
      </c>
      <c r="AN273">
        <v>0.99999998229729303</v>
      </c>
    </row>
    <row r="274" spans="1:40" x14ac:dyDescent="0.3">
      <c r="A274" t="str">
        <f>"20200111150728902"</f>
        <v>20200111150728902</v>
      </c>
      <c r="B274" t="str">
        <f>"1578726448891631"</f>
        <v>1578726448891631</v>
      </c>
      <c r="C274" t="s">
        <v>40</v>
      </c>
      <c r="D274">
        <v>4.9045969999999999</v>
      </c>
      <c r="E274">
        <v>0.51545289999999999</v>
      </c>
      <c r="F274" t="s">
        <v>41</v>
      </c>
      <c r="G274">
        <v>-339.91460000000001</v>
      </c>
      <c r="H274">
        <v>1.042157</v>
      </c>
      <c r="I274">
        <v>367.01400000000001</v>
      </c>
      <c r="J274">
        <v>-340.57909999999998</v>
      </c>
      <c r="K274">
        <v>1.109191</v>
      </c>
      <c r="L274">
        <v>367.02120000000002</v>
      </c>
      <c r="M274">
        <v>0.9998032</v>
      </c>
      <c r="N274">
        <v>0</v>
      </c>
      <c r="O274">
        <v>1.783887E-2</v>
      </c>
      <c r="P274">
        <v>0.99040130000000004</v>
      </c>
      <c r="Q274">
        <v>0.13192760000000001</v>
      </c>
      <c r="R274">
        <v>4.1236330000000002E-2</v>
      </c>
      <c r="S274">
        <v>3.0595400000000001</v>
      </c>
      <c r="T274">
        <v>-0.22510160000000001</v>
      </c>
      <c r="U274">
        <v>-9.1552730000000002E-3</v>
      </c>
      <c r="V274">
        <v>-2.356602E-2</v>
      </c>
      <c r="W274">
        <v>0.14053669999999999</v>
      </c>
      <c r="X274">
        <v>0.98979499999999998</v>
      </c>
      <c r="Y274">
        <v>2.0727099999999998E-2</v>
      </c>
      <c r="Z274">
        <v>-2.0721580000000002E-3</v>
      </c>
      <c r="AA274">
        <v>0.99978299999999998</v>
      </c>
      <c r="AB274">
        <v>47</v>
      </c>
      <c r="AC274">
        <v>0.664499999999975</v>
      </c>
      <c r="AD274">
        <v>-6.7033999999999996E-2</v>
      </c>
      <c r="AE274">
        <v>-7.2000000000116398E-3</v>
      </c>
      <c r="AF274">
        <v>1.8861309458377402E-2</v>
      </c>
      <c r="AG274">
        <v>-6.7033999999999996E-2</v>
      </c>
      <c r="AH274">
        <v>0.65757475590618097</v>
      </c>
      <c r="AI274">
        <v>95.818320156791998</v>
      </c>
      <c r="AJ274">
        <v>88.357027547436601</v>
      </c>
      <c r="AK274">
        <v>0.66125174158981104</v>
      </c>
      <c r="AL274">
        <v>81.921096313939898</v>
      </c>
      <c r="AM274">
        <v>91.363897006880805</v>
      </c>
      <c r="AN274">
        <v>1.00000003168526</v>
      </c>
    </row>
    <row r="275" spans="1:40" x14ac:dyDescent="0.3">
      <c r="A275" t="str">
        <f>"20200111150728915"</f>
        <v>20200111150728915</v>
      </c>
      <c r="B275" t="str">
        <f>"1578726448911154"</f>
        <v>1578726448911154</v>
      </c>
      <c r="C275" t="s">
        <v>40</v>
      </c>
      <c r="D275">
        <v>4.8142399999999999</v>
      </c>
      <c r="E275">
        <v>0.51389200000000002</v>
      </c>
      <c r="F275" t="s">
        <v>41</v>
      </c>
      <c r="G275">
        <v>-339.49950000000001</v>
      </c>
      <c r="H275">
        <v>1.028467</v>
      </c>
      <c r="I275">
        <v>367.02080000000001</v>
      </c>
      <c r="J275">
        <v>-340.30689999999998</v>
      </c>
      <c r="K275">
        <v>1.1090770000000001</v>
      </c>
      <c r="L275">
        <v>367.0258</v>
      </c>
      <c r="M275">
        <v>0.99980990000000003</v>
      </c>
      <c r="N275">
        <v>0</v>
      </c>
      <c r="O275">
        <v>1.7456619999999999E-2</v>
      </c>
      <c r="P275">
        <v>0.99047260000000004</v>
      </c>
      <c r="Q275">
        <v>0.13168560000000001</v>
      </c>
      <c r="R275">
        <v>4.0291609999999999E-2</v>
      </c>
      <c r="S275">
        <v>3.0596009999999998</v>
      </c>
      <c r="T275">
        <v>-0.22883329999999999</v>
      </c>
      <c r="U275">
        <v>-5.7983399999999999E-4</v>
      </c>
      <c r="V275">
        <v>-2.2959790000000001E-2</v>
      </c>
      <c r="W275">
        <v>0.14031189999999999</v>
      </c>
      <c r="X275">
        <v>0.98984110000000003</v>
      </c>
      <c r="Y275">
        <v>1.754899E-2</v>
      </c>
      <c r="Z275">
        <v>-1.9591389999999999E-3</v>
      </c>
      <c r="AA275">
        <v>0.99984410000000001</v>
      </c>
      <c r="AB275">
        <v>47</v>
      </c>
      <c r="AC275">
        <v>0.80739999999997203</v>
      </c>
      <c r="AD275">
        <v>-8.0610000000000001E-2</v>
      </c>
      <c r="AE275">
        <v>-4.9999999999954499E-3</v>
      </c>
      <c r="AF275">
        <v>1.8905802165733902E-2</v>
      </c>
      <c r="AG275">
        <v>-8.0610000000000001E-2</v>
      </c>
      <c r="AH275">
        <v>0.79922346087780805</v>
      </c>
      <c r="AI275">
        <v>95.757798418913495</v>
      </c>
      <c r="AJ275">
        <v>88.644908780549898</v>
      </c>
      <c r="AK275">
        <v>0.80350080390316403</v>
      </c>
      <c r="AL275">
        <v>81.934104985197905</v>
      </c>
      <c r="AM275">
        <v>91.3287619765822</v>
      </c>
      <c r="AN275">
        <v>0.99999999224383196</v>
      </c>
    </row>
    <row r="276" spans="1:40" x14ac:dyDescent="0.3">
      <c r="A276" t="str">
        <f>"20200111150728930"</f>
        <v>20200111150728930</v>
      </c>
      <c r="B276" t="str">
        <f>"1578726448921888"</f>
        <v>1578726448921888</v>
      </c>
      <c r="C276" t="s">
        <v>40</v>
      </c>
      <c r="D276">
        <v>4.8050649999999999</v>
      </c>
      <c r="E276">
        <v>0.51384779999999997</v>
      </c>
      <c r="F276" t="s">
        <v>41</v>
      </c>
      <c r="G276">
        <v>-339.48989999999998</v>
      </c>
      <c r="H276">
        <v>1.04355</v>
      </c>
      <c r="I276">
        <v>367.02800000000002</v>
      </c>
      <c r="J276">
        <v>-339.97710000000001</v>
      </c>
      <c r="K276">
        <v>1.108959</v>
      </c>
      <c r="L276">
        <v>367.03129999999999</v>
      </c>
      <c r="M276">
        <v>0.99981799999999998</v>
      </c>
      <c r="N276">
        <v>0</v>
      </c>
      <c r="O276">
        <v>1.6952459999999999E-2</v>
      </c>
      <c r="P276">
        <v>0.99056359999999999</v>
      </c>
      <c r="Q276">
        <v>0.1315344</v>
      </c>
      <c r="R276">
        <v>3.850087E-2</v>
      </c>
      <c r="S276">
        <v>3.0611269999999999</v>
      </c>
      <c r="T276">
        <v>-0.2456468</v>
      </c>
      <c r="U276">
        <v>8.8500980000000007E-3</v>
      </c>
      <c r="V276">
        <v>-2.162387E-2</v>
      </c>
      <c r="W276">
        <v>0.14021420000000001</v>
      </c>
      <c r="X276">
        <v>0.98988500000000001</v>
      </c>
      <c r="Y276">
        <v>1.396296E-2</v>
      </c>
      <c r="Z276">
        <v>-1.9175399999999999E-3</v>
      </c>
      <c r="AA276">
        <v>0.99990069999999998</v>
      </c>
      <c r="AB276">
        <v>47</v>
      </c>
      <c r="AC276">
        <v>0.487200000000029</v>
      </c>
      <c r="AD276">
        <v>-6.5408999999999995E-2</v>
      </c>
      <c r="AE276">
        <v>-3.2999999999674301E-3</v>
      </c>
      <c r="AF276">
        <v>1.13544332341135E-2</v>
      </c>
      <c r="AG276">
        <v>-6.5408999999999995E-2</v>
      </c>
      <c r="AH276">
        <v>0.47845065389577501</v>
      </c>
      <c r="AI276">
        <v>97.782484963868498</v>
      </c>
      <c r="AJ276">
        <v>88.640530619561702</v>
      </c>
      <c r="AK276">
        <v>0.48303445906929099</v>
      </c>
      <c r="AL276">
        <v>81.939758439925996</v>
      </c>
      <c r="AM276">
        <v>91.251417557458296</v>
      </c>
      <c r="AN276">
        <v>0.99999996343020703</v>
      </c>
    </row>
    <row r="277" spans="1:40" x14ac:dyDescent="0.3">
      <c r="A277" t="str">
        <f>"20200111150728944"</f>
        <v>20200111150728944</v>
      </c>
      <c r="B277" t="str">
        <f>"1578726448931649"</f>
        <v>1578726448931649</v>
      </c>
      <c r="C277" t="s">
        <v>40</v>
      </c>
      <c r="D277">
        <v>4.8304839999999896</v>
      </c>
      <c r="E277">
        <v>0.51348039999999995</v>
      </c>
      <c r="F277" t="s">
        <v>41</v>
      </c>
      <c r="G277">
        <v>-339.07350000000002</v>
      </c>
      <c r="H277">
        <v>1.0346919999999999</v>
      </c>
      <c r="I277">
        <v>367.03219999999999</v>
      </c>
      <c r="J277">
        <v>-339.71660000000003</v>
      </c>
      <c r="K277">
        <v>1.1088800000000001</v>
      </c>
      <c r="L277">
        <v>367.03550000000001</v>
      </c>
      <c r="M277">
        <v>0.9998245</v>
      </c>
      <c r="N277">
        <v>0</v>
      </c>
      <c r="O277">
        <v>1.6532249999999998E-2</v>
      </c>
      <c r="P277">
        <v>0.99065360000000002</v>
      </c>
      <c r="Q277">
        <v>0.13124459999999999</v>
      </c>
      <c r="R277">
        <v>3.7156830000000002E-2</v>
      </c>
      <c r="S277">
        <v>3.06189</v>
      </c>
      <c r="T277">
        <v>-0.25172109999999998</v>
      </c>
      <c r="U277">
        <v>3.326416E-3</v>
      </c>
      <c r="V277">
        <v>-2.0662989999999999E-2</v>
      </c>
      <c r="W277">
        <v>0.14000079999999901</v>
      </c>
      <c r="X277">
        <v>0.98993580000000003</v>
      </c>
      <c r="Y277">
        <v>1.5339119999999999E-2</v>
      </c>
      <c r="Z277">
        <v>-1.9863070000000001E-3</v>
      </c>
      <c r="AA277">
        <v>0.9998804</v>
      </c>
      <c r="AB277">
        <v>47</v>
      </c>
      <c r="AC277">
        <v>0.643100000000004</v>
      </c>
      <c r="AD277">
        <v>-7.4187999999999907E-2</v>
      </c>
      <c r="AE277">
        <v>-3.30000000002428E-3</v>
      </c>
      <c r="AF277">
        <v>1.3748887437404199E-2</v>
      </c>
      <c r="AG277">
        <v>-7.4187999999999907E-2</v>
      </c>
      <c r="AH277">
        <v>0.63451370633773496</v>
      </c>
      <c r="AI277">
        <v>96.667252292006097</v>
      </c>
      <c r="AJ277">
        <v>88.758687225083904</v>
      </c>
      <c r="AK277">
        <v>0.63898398632533504</v>
      </c>
      <c r="AL277">
        <v>81.952107748870503</v>
      </c>
      <c r="AM277">
        <v>91.195764642570794</v>
      </c>
      <c r="AN277">
        <v>1.000000035639</v>
      </c>
    </row>
    <row r="278" spans="1:40" x14ac:dyDescent="0.3">
      <c r="A278" t="str">
        <f>"20200111150728955"</f>
        <v>20200111150728955</v>
      </c>
      <c r="B278" t="str">
        <f>"1578726448951168"</f>
        <v>1578726448951168</v>
      </c>
      <c r="C278" t="s">
        <v>40</v>
      </c>
      <c r="D278">
        <v>4.8116159999999999</v>
      </c>
      <c r="E278">
        <v>0.51307659999999999</v>
      </c>
      <c r="F278" t="s">
        <v>41</v>
      </c>
      <c r="G278">
        <v>-338.65750000000003</v>
      </c>
      <c r="H278">
        <v>1.0201709999999999</v>
      </c>
      <c r="I278">
        <v>367.03570000000002</v>
      </c>
      <c r="J278">
        <v>-339.4572</v>
      </c>
      <c r="K278">
        <v>1.1088209999999901</v>
      </c>
      <c r="L278">
        <v>367.03960000000001</v>
      </c>
      <c r="M278">
        <v>0.99983049999999996</v>
      </c>
      <c r="N278">
        <v>0</v>
      </c>
      <c r="O278">
        <v>1.609203E-2</v>
      </c>
      <c r="P278">
        <v>0.9907492</v>
      </c>
      <c r="Q278">
        <v>0.13086329999999999</v>
      </c>
      <c r="R278">
        <v>3.5927779999999999E-2</v>
      </c>
      <c r="S278">
        <v>3.0622560000000001</v>
      </c>
      <c r="T278">
        <v>-0.25669310000000001</v>
      </c>
      <c r="U278">
        <v>1.6784669999999999E-3</v>
      </c>
      <c r="V278">
        <v>-1.9839059999999999E-2</v>
      </c>
      <c r="W278">
        <v>0.13974679999999901</v>
      </c>
      <c r="X278">
        <v>0.98998850000000005</v>
      </c>
      <c r="Y278">
        <v>1.5434059999999999E-2</v>
      </c>
      <c r="Z278">
        <v>-1.9923060000000001E-3</v>
      </c>
      <c r="AA278">
        <v>0.99987890000000001</v>
      </c>
      <c r="AB278">
        <v>47</v>
      </c>
      <c r="AC278">
        <v>0.79969999999997299</v>
      </c>
      <c r="AD278">
        <v>-8.8649999999999896E-2</v>
      </c>
      <c r="AE278">
        <v>-3.8999999999873498E-3</v>
      </c>
      <c r="AF278">
        <v>1.6565246990986202E-2</v>
      </c>
      <c r="AG278">
        <v>-8.8649999999999896E-2</v>
      </c>
      <c r="AH278">
        <v>0.78982801171746597</v>
      </c>
      <c r="AI278">
        <v>96.402658039538096</v>
      </c>
      <c r="AJ278">
        <v>88.798498411296094</v>
      </c>
      <c r="AK278">
        <v>0.79496007321213202</v>
      </c>
      <c r="AL278">
        <v>81.966805021057695</v>
      </c>
      <c r="AM278">
        <v>91.1480358436595</v>
      </c>
      <c r="AN278">
        <v>0.999999993272086</v>
      </c>
    </row>
    <row r="279" spans="1:40" x14ac:dyDescent="0.3">
      <c r="A279" t="str">
        <f>"20200111150728967"</f>
        <v>20200111150728967</v>
      </c>
      <c r="B279" t="str">
        <f>"1578726448960928"</f>
        <v>1578726448960928</v>
      </c>
      <c r="C279" t="s">
        <v>40</v>
      </c>
      <c r="D279">
        <v>4.808446</v>
      </c>
      <c r="E279">
        <v>0.5128182</v>
      </c>
      <c r="F279" t="s">
        <v>41</v>
      </c>
      <c r="G279">
        <v>-338.64749999999998</v>
      </c>
      <c r="H279">
        <v>1.039337</v>
      </c>
      <c r="I279">
        <v>367.03949999999998</v>
      </c>
      <c r="J279">
        <v>-339.21089999999998</v>
      </c>
      <c r="K279">
        <v>1.1087849999999999</v>
      </c>
      <c r="L279">
        <v>367.04329999999999</v>
      </c>
      <c r="M279">
        <v>0.99983580000000005</v>
      </c>
      <c r="N279">
        <v>0</v>
      </c>
      <c r="O279">
        <v>1.5662590000000001E-2</v>
      </c>
      <c r="P279">
        <v>0.99088030000000005</v>
      </c>
      <c r="Q279">
        <v>0.1301998</v>
      </c>
      <c r="R279">
        <v>3.4703959999999999E-2</v>
      </c>
      <c r="S279">
        <v>3.0626829999999998</v>
      </c>
      <c r="T279">
        <v>-0.26308169999999997</v>
      </c>
      <c r="U279">
        <v>1.2512210000000001E-3</v>
      </c>
      <c r="V279">
        <v>-1.9014240000000002E-2</v>
      </c>
      <c r="W279">
        <v>0.13926279999999999</v>
      </c>
      <c r="X279">
        <v>0.99007290000000003</v>
      </c>
      <c r="Y279">
        <v>1.514131E-2</v>
      </c>
      <c r="Z279">
        <v>-1.9920599999999999E-3</v>
      </c>
      <c r="AA279">
        <v>0.99988339999999998</v>
      </c>
      <c r="AB279">
        <v>47</v>
      </c>
      <c r="AC279">
        <v>0.56340000000000101</v>
      </c>
      <c r="AD279">
        <v>-6.9447999999999899E-2</v>
      </c>
      <c r="AE279">
        <v>-3.8000000000124601E-3</v>
      </c>
      <c r="AF279">
        <v>1.2435264748167399E-2</v>
      </c>
      <c r="AG279">
        <v>-6.9447999999999899E-2</v>
      </c>
      <c r="AH279">
        <v>0.55484122439056305</v>
      </c>
      <c r="AI279">
        <v>97.132683774015703</v>
      </c>
      <c r="AJ279">
        <v>88.716085079918599</v>
      </c>
      <c r="AK279">
        <v>0.55930889926459804</v>
      </c>
      <c r="AL279">
        <v>81.994810147817603</v>
      </c>
      <c r="AM279">
        <v>91.100223826184205</v>
      </c>
      <c r="AN279">
        <v>1.00000000805051</v>
      </c>
    </row>
    <row r="280" spans="1:40" x14ac:dyDescent="0.3">
      <c r="A280" t="str">
        <f>"20200111150728979"</f>
        <v>20200111150728979</v>
      </c>
      <c r="B280" t="str">
        <f>"1578726448971665"</f>
        <v>1578726448971665</v>
      </c>
      <c r="C280" t="s">
        <v>40</v>
      </c>
      <c r="D280">
        <v>4.7476629999999904</v>
      </c>
      <c r="E280">
        <v>0.51266829999999997</v>
      </c>
      <c r="F280" t="s">
        <v>41</v>
      </c>
      <c r="G280">
        <v>-338.233</v>
      </c>
      <c r="H280">
        <v>1.023854</v>
      </c>
      <c r="I280">
        <v>367.04270000000002</v>
      </c>
      <c r="J280">
        <v>-338.94799999999998</v>
      </c>
      <c r="K280">
        <v>1.1087549999999999</v>
      </c>
      <c r="L280">
        <v>367.04719999999998</v>
      </c>
      <c r="M280">
        <v>0.99984090000000003</v>
      </c>
      <c r="N280">
        <v>0</v>
      </c>
      <c r="O280">
        <v>1.5198039999999999E-2</v>
      </c>
      <c r="P280">
        <v>0.99098220000000004</v>
      </c>
      <c r="Q280">
        <v>0.12971549999999901</v>
      </c>
      <c r="R280">
        <v>3.3586520000000002E-2</v>
      </c>
      <c r="S280">
        <v>3.0626220000000002</v>
      </c>
      <c r="T280">
        <v>-0.26620280000000002</v>
      </c>
      <c r="U280">
        <v>-8.2397459999999998E-4</v>
      </c>
      <c r="V280">
        <v>-1.8329910000000001E-2</v>
      </c>
      <c r="W280">
        <v>0.1389975</v>
      </c>
      <c r="X280">
        <v>0.99012310000000003</v>
      </c>
      <c r="Y280">
        <v>1.535253E-2</v>
      </c>
      <c r="Z280">
        <v>-1.984511E-3</v>
      </c>
      <c r="AA280">
        <v>0.9998802</v>
      </c>
      <c r="AB280">
        <v>47</v>
      </c>
      <c r="AC280">
        <v>0.71500000000003106</v>
      </c>
      <c r="AD280">
        <v>-8.4900999999999893E-2</v>
      </c>
      <c r="AE280">
        <v>-4.4999999999504299E-3</v>
      </c>
      <c r="AF280">
        <v>1.51529078123119E-2</v>
      </c>
      <c r="AG280">
        <v>-8.4900999999999893E-2</v>
      </c>
      <c r="AH280">
        <v>0.70491030457237502</v>
      </c>
      <c r="AI280">
        <v>96.866181754315306</v>
      </c>
      <c r="AJ280">
        <v>88.768546907798296</v>
      </c>
      <c r="AK280">
        <v>0.71016640860328495</v>
      </c>
      <c r="AL280">
        <v>82.010160120417893</v>
      </c>
      <c r="AM280">
        <v>91.060581788128204</v>
      </c>
      <c r="AN280">
        <v>1.0000000218802301</v>
      </c>
    </row>
    <row r="281" spans="1:40" x14ac:dyDescent="0.3">
      <c r="A281" t="str">
        <f>"20200111150728991"</f>
        <v>20200111150728991</v>
      </c>
      <c r="B281" t="str">
        <f>"1578726448981424"</f>
        <v>1578726448981424</v>
      </c>
      <c r="C281" t="s">
        <v>40</v>
      </c>
      <c r="D281">
        <v>4.7541500000000001</v>
      </c>
      <c r="E281">
        <v>0.51258579999999998</v>
      </c>
      <c r="F281" t="s">
        <v>41</v>
      </c>
      <c r="G281">
        <v>-337.81760000000003</v>
      </c>
      <c r="H281">
        <v>1.0079769999999999</v>
      </c>
      <c r="I281">
        <v>367.04570000000001</v>
      </c>
      <c r="J281">
        <v>-338.6979</v>
      </c>
      <c r="K281">
        <v>1.1087070000000001</v>
      </c>
      <c r="L281">
        <v>367.05079999999998</v>
      </c>
      <c r="M281">
        <v>0.99984669999999998</v>
      </c>
      <c r="N281">
        <v>0</v>
      </c>
      <c r="O281">
        <v>1.473694E-2</v>
      </c>
      <c r="P281">
        <v>0.99105670000000001</v>
      </c>
      <c r="Q281">
        <v>0.1293137</v>
      </c>
      <c r="R281">
        <v>3.2934239999999997E-2</v>
      </c>
      <c r="S281">
        <v>3.0631710000000001</v>
      </c>
      <c r="T281">
        <v>-0.27326820000000002</v>
      </c>
      <c r="U281">
        <v>-3.2348630000000001E-3</v>
      </c>
      <c r="V281">
        <v>-1.8112980000000001E-2</v>
      </c>
      <c r="W281">
        <v>0.13871789999999901</v>
      </c>
      <c r="X281">
        <v>0.99016630000000005</v>
      </c>
      <c r="Y281">
        <v>1.5672760000000001E-2</v>
      </c>
      <c r="Z281">
        <v>-2.0098199999999998E-3</v>
      </c>
      <c r="AA281">
        <v>0.99987510000000002</v>
      </c>
      <c r="AB281">
        <v>47</v>
      </c>
      <c r="AC281">
        <v>0.88029999999997699</v>
      </c>
      <c r="AD281">
        <v>-0.100729999999999</v>
      </c>
      <c r="AE281">
        <v>-5.0999999999703496E-3</v>
      </c>
      <c r="AF281">
        <v>1.7839381940044599E-2</v>
      </c>
      <c r="AG281">
        <v>-0.100729999999999</v>
      </c>
      <c r="AH281">
        <v>0.86875456436987897</v>
      </c>
      <c r="AI281">
        <v>96.612393400732699</v>
      </c>
      <c r="AJ281">
        <v>88.823629009863694</v>
      </c>
      <c r="AK281">
        <v>0.87475669163573799</v>
      </c>
      <c r="AL281">
        <v>82.026336708328202</v>
      </c>
      <c r="AM281">
        <v>91.047987164001896</v>
      </c>
      <c r="AN281">
        <v>1.00000001874029</v>
      </c>
    </row>
    <row r="282" spans="1:40" x14ac:dyDescent="0.3">
      <c r="A282" t="str">
        <f>"20200111150729002"</f>
        <v>20200111150729002</v>
      </c>
      <c r="B282" t="str">
        <f>"1578726448991184"</f>
        <v>1578726448991184</v>
      </c>
      <c r="C282" t="s">
        <v>40</v>
      </c>
      <c r="D282">
        <v>4.8288339999999996</v>
      </c>
      <c r="E282">
        <v>0.51243109999999903</v>
      </c>
      <c r="F282" t="s">
        <v>41</v>
      </c>
      <c r="G282">
        <v>-337.80799999999999</v>
      </c>
      <c r="H282">
        <v>1.0276379999999901</v>
      </c>
      <c r="I282">
        <v>367.04899999999998</v>
      </c>
      <c r="J282">
        <v>-338.46460000000002</v>
      </c>
      <c r="K282">
        <v>1.1086609999999999</v>
      </c>
      <c r="L282">
        <v>367.05399999999997</v>
      </c>
      <c r="M282">
        <v>0.99985210000000002</v>
      </c>
      <c r="N282">
        <v>0</v>
      </c>
      <c r="O282">
        <v>1.4305200000000001E-2</v>
      </c>
      <c r="P282">
        <v>0.99112239999999996</v>
      </c>
      <c r="Q282">
        <v>0.12894349999999999</v>
      </c>
      <c r="R282">
        <v>3.2408819999999998E-2</v>
      </c>
      <c r="S282">
        <v>3.0636899999999998</v>
      </c>
      <c r="T282">
        <v>-0.27934520000000002</v>
      </c>
      <c r="U282">
        <v>-5.065918E-3</v>
      </c>
      <c r="V282">
        <v>-1.7996080000000001E-2</v>
      </c>
      <c r="W282">
        <v>0.13845389999999999</v>
      </c>
      <c r="X282">
        <v>0.99020529999999995</v>
      </c>
      <c r="Y282">
        <v>1.5834170000000002E-2</v>
      </c>
      <c r="Z282">
        <v>-2.0220479999999998E-3</v>
      </c>
      <c r="AA282">
        <v>0.9998726</v>
      </c>
      <c r="AB282">
        <v>47</v>
      </c>
      <c r="AC282">
        <v>0.65659999999996899</v>
      </c>
      <c r="AD282">
        <v>-8.1023000000000206E-2</v>
      </c>
      <c r="AE282">
        <v>-4.9999999999954499E-3</v>
      </c>
      <c r="AF282">
        <v>1.4176852031893301E-2</v>
      </c>
      <c r="AG282">
        <v>-8.1023000000000206E-2</v>
      </c>
      <c r="AH282">
        <v>0.64661581801583901</v>
      </c>
      <c r="AI282">
        <v>97.140419561678399</v>
      </c>
      <c r="AJ282">
        <v>88.744008958775197</v>
      </c>
      <c r="AK282">
        <v>0.65182645372125403</v>
      </c>
      <c r="AL282">
        <v>82.041609535632404</v>
      </c>
      <c r="AM282">
        <v>91.041184016153906</v>
      </c>
      <c r="AN282">
        <v>0.99999993873433102</v>
      </c>
    </row>
    <row r="283" spans="1:40" x14ac:dyDescent="0.3">
      <c r="A283" t="str">
        <f>"20200111150729014"</f>
        <v>20200111150729014</v>
      </c>
      <c r="B283" t="str">
        <f>"1578726449011679"</f>
        <v>1578726449011679</v>
      </c>
      <c r="C283" t="s">
        <v>40</v>
      </c>
      <c r="D283">
        <v>4.8156559999999997</v>
      </c>
      <c r="E283">
        <v>0.51246179999999997</v>
      </c>
      <c r="F283" t="s">
        <v>41</v>
      </c>
      <c r="G283">
        <v>-337.39249999999998</v>
      </c>
      <c r="H283">
        <v>1.011406</v>
      </c>
      <c r="I283">
        <v>367.0521</v>
      </c>
      <c r="J283">
        <v>-338.21559999999999</v>
      </c>
      <c r="K283">
        <v>1.1086100000000001</v>
      </c>
      <c r="L283">
        <v>367.0573</v>
      </c>
      <c r="M283">
        <v>0.99985760000000001</v>
      </c>
      <c r="N283">
        <v>0</v>
      </c>
      <c r="O283">
        <v>1.383874E-2</v>
      </c>
      <c r="P283">
        <v>0.9911645</v>
      </c>
      <c r="Q283">
        <v>0.12859200000000001</v>
      </c>
      <c r="R283">
        <v>3.2509040000000003E-2</v>
      </c>
      <c r="S283">
        <v>3.063202</v>
      </c>
      <c r="T283">
        <v>-0.2778757</v>
      </c>
      <c r="U283">
        <v>-5.5236819999999898E-3</v>
      </c>
      <c r="V283">
        <v>-1.8540230000000001E-2</v>
      </c>
      <c r="W283">
        <v>0.138191799999999</v>
      </c>
      <c r="X283">
        <v>0.99023190000000005</v>
      </c>
      <c r="Y283">
        <v>1.552186E-2</v>
      </c>
      <c r="Z283">
        <v>-1.9554110000000002E-3</v>
      </c>
      <c r="AA283">
        <v>0.99987760000000003</v>
      </c>
      <c r="AB283">
        <v>47</v>
      </c>
      <c r="AC283">
        <v>0.82310000000001005</v>
      </c>
      <c r="AD283">
        <v>-9.7203999999999999E-2</v>
      </c>
      <c r="AE283">
        <v>-5.2000000000020901E-3</v>
      </c>
      <c r="AF283">
        <v>1.6362510619634001E-2</v>
      </c>
      <c r="AG283">
        <v>-9.7203999999999999E-2</v>
      </c>
      <c r="AH283">
        <v>0.81163031374222705</v>
      </c>
      <c r="AI283">
        <v>96.828062408250005</v>
      </c>
      <c r="AJ283">
        <v>88.845070462770906</v>
      </c>
      <c r="AK283">
        <v>0.817594101957129</v>
      </c>
      <c r="AL283">
        <v>82.0567727272404</v>
      </c>
      <c r="AM283">
        <v>91.072630388300396</v>
      </c>
      <c r="AN283">
        <v>0.99999996474664998</v>
      </c>
    </row>
    <row r="284" spans="1:40" x14ac:dyDescent="0.3">
      <c r="A284" t="str">
        <f>"20200111150729031"</f>
        <v>20200111150729031</v>
      </c>
      <c r="B284" t="str">
        <f>"1578726449021439"</f>
        <v>1578726449021439</v>
      </c>
      <c r="C284" t="s">
        <v>40</v>
      </c>
      <c r="D284">
        <v>4.8039959999999997</v>
      </c>
      <c r="E284">
        <v>0.51238549999999905</v>
      </c>
      <c r="F284" t="s">
        <v>41</v>
      </c>
      <c r="G284">
        <v>-337.38299999999998</v>
      </c>
      <c r="H284">
        <v>1.0311490000000001</v>
      </c>
      <c r="I284">
        <v>367.05560000000003</v>
      </c>
      <c r="J284">
        <v>-337.8621</v>
      </c>
      <c r="K284">
        <v>1.1085499999999999</v>
      </c>
      <c r="L284">
        <v>367.06180000000001</v>
      </c>
      <c r="M284">
        <v>0.99986540000000002</v>
      </c>
      <c r="N284">
        <v>0</v>
      </c>
      <c r="O284">
        <v>1.3170039999999999E-2</v>
      </c>
      <c r="P284">
        <v>0.99118700000000004</v>
      </c>
      <c r="Q284">
        <v>0.1283329</v>
      </c>
      <c r="R284">
        <v>3.2854969999999997E-2</v>
      </c>
      <c r="S284">
        <v>3.0639340000000002</v>
      </c>
      <c r="T284">
        <v>-0.28501149999999997</v>
      </c>
      <c r="U284">
        <v>-6.0424800000000002E-3</v>
      </c>
      <c r="V284">
        <v>-1.9526439999999999E-2</v>
      </c>
      <c r="W284">
        <v>0.13807990000000001</v>
      </c>
      <c r="X284">
        <v>0.99022860000000001</v>
      </c>
      <c r="Y284">
        <v>1.50209E-2</v>
      </c>
      <c r="Z284">
        <v>-1.919619E-3</v>
      </c>
      <c r="AA284">
        <v>0.99988529999999998</v>
      </c>
      <c r="AB284">
        <v>47</v>
      </c>
      <c r="AC284">
        <v>0.479099999999959</v>
      </c>
      <c r="AD284">
        <v>-7.7400999999999998E-2</v>
      </c>
      <c r="AE284">
        <v>-6.1999999999784398E-3</v>
      </c>
      <c r="AF284">
        <v>1.21913882681484E-2</v>
      </c>
      <c r="AG284">
        <v>-7.7400999999999998E-2</v>
      </c>
      <c r="AH284">
        <v>0.46679545643619802</v>
      </c>
      <c r="AI284">
        <v>99.411603461365601</v>
      </c>
      <c r="AJ284">
        <v>88.503935013464002</v>
      </c>
      <c r="AK284">
        <v>0.473326042911631</v>
      </c>
      <c r="AL284">
        <v>82.063246549430104</v>
      </c>
      <c r="AM284">
        <v>91.129676141617793</v>
      </c>
      <c r="AN284">
        <v>1.00000001045052</v>
      </c>
    </row>
    <row r="285" spans="1:40" x14ac:dyDescent="0.3">
      <c r="A285" t="str">
        <f>"20200111150729043"</f>
        <v>20200111150729043</v>
      </c>
      <c r="B285" t="str">
        <f>"1578726449040959"</f>
        <v>1578726449040959</v>
      </c>
      <c r="C285" t="s">
        <v>40</v>
      </c>
      <c r="D285">
        <v>4.8347360000000004</v>
      </c>
      <c r="E285">
        <v>0.51221070000000002</v>
      </c>
      <c r="F285" t="s">
        <v>41</v>
      </c>
      <c r="G285">
        <v>-336.9624</v>
      </c>
      <c r="H285">
        <v>1.0252619999999999</v>
      </c>
      <c r="I285">
        <v>367.06020000000001</v>
      </c>
      <c r="J285">
        <v>-337.59660000000002</v>
      </c>
      <c r="K285">
        <v>1.1085199999999999</v>
      </c>
      <c r="L285">
        <v>367.06509999999997</v>
      </c>
      <c r="M285">
        <v>0.9998707</v>
      </c>
      <c r="N285">
        <v>0</v>
      </c>
      <c r="O285">
        <v>1.266435E-2</v>
      </c>
      <c r="P285">
        <v>0.99123410000000001</v>
      </c>
      <c r="Q285">
        <v>0.1279093</v>
      </c>
      <c r="R285">
        <v>3.3084269999999999E-2</v>
      </c>
      <c r="S285">
        <v>3.0635680000000001</v>
      </c>
      <c r="T285">
        <v>-0.28379169999999998</v>
      </c>
      <c r="U285">
        <v>-4.2114259999999999E-3</v>
      </c>
      <c r="V285">
        <v>-2.024169E-2</v>
      </c>
      <c r="W285">
        <v>0.13778280000000001</v>
      </c>
      <c r="X285">
        <v>0.99025560000000001</v>
      </c>
      <c r="Y285">
        <v>1.3925689999999999E-2</v>
      </c>
      <c r="Z285">
        <v>-1.814305E-3</v>
      </c>
      <c r="AA285">
        <v>0.99990140000000005</v>
      </c>
      <c r="AB285">
        <v>47</v>
      </c>
      <c r="AC285">
        <v>0.63420000000002097</v>
      </c>
      <c r="AD285">
        <v>-8.3257999999999999E-2</v>
      </c>
      <c r="AE285">
        <v>-4.8999999999637103E-3</v>
      </c>
      <c r="AF285">
        <v>1.27126486861978E-2</v>
      </c>
      <c r="AG285">
        <v>-8.3257999999999999E-2</v>
      </c>
      <c r="AH285">
        <v>0.62334466452006498</v>
      </c>
      <c r="AI285">
        <v>97.606209107962499</v>
      </c>
      <c r="AJ285">
        <v>88.831657349949396</v>
      </c>
      <c r="AK285">
        <v>0.62900880501488299</v>
      </c>
      <c r="AL285">
        <v>82.080433235213107</v>
      </c>
      <c r="AM285">
        <v>91.171012736480805</v>
      </c>
      <c r="AN285">
        <v>0.99999998966062797</v>
      </c>
    </row>
    <row r="286" spans="1:40" x14ac:dyDescent="0.3">
      <c r="A286" t="str">
        <f>"20200111150729055"</f>
        <v>20200111150729055</v>
      </c>
      <c r="B286" t="str">
        <f>"1578726449051698"</f>
        <v>1578726449051698</v>
      </c>
      <c r="C286" t="s">
        <v>40</v>
      </c>
      <c r="D286">
        <v>4.7521269999999998</v>
      </c>
      <c r="E286">
        <v>0.51179419999999998</v>
      </c>
      <c r="F286" t="s">
        <v>41</v>
      </c>
      <c r="G286">
        <v>-336.54590000000002</v>
      </c>
      <c r="H286">
        <v>1.011333</v>
      </c>
      <c r="I286">
        <v>367.06439999999998</v>
      </c>
      <c r="J286">
        <v>-337.34789999999998</v>
      </c>
      <c r="K286">
        <v>1.1084989999999999</v>
      </c>
      <c r="L286">
        <v>367.06799999999998</v>
      </c>
      <c r="M286">
        <v>0.99987510000000002</v>
      </c>
      <c r="N286">
        <v>0</v>
      </c>
      <c r="O286">
        <v>1.218822E-2</v>
      </c>
      <c r="P286">
        <v>0.99128380000000005</v>
      </c>
      <c r="Q286">
        <v>0.12746689999999999</v>
      </c>
      <c r="R286">
        <v>3.3291929999999997E-2</v>
      </c>
      <c r="S286">
        <v>3.0631710000000001</v>
      </c>
      <c r="T286">
        <v>-0.28329939999999998</v>
      </c>
      <c r="U286">
        <v>-2.0751950000000002E-3</v>
      </c>
      <c r="V286">
        <v>-2.0909790000000001E-2</v>
      </c>
      <c r="W286">
        <v>0.13747490000000001</v>
      </c>
      <c r="X286">
        <v>0.99028450000000001</v>
      </c>
      <c r="Y286">
        <v>1.275978E-2</v>
      </c>
      <c r="Z286">
        <v>-1.7136639999999999E-3</v>
      </c>
      <c r="AA286">
        <v>0.9999171</v>
      </c>
      <c r="AB286">
        <v>47</v>
      </c>
      <c r="AC286">
        <v>0.80199999999996396</v>
      </c>
      <c r="AD286">
        <v>-9.7165999999999794E-2</v>
      </c>
      <c r="AE286">
        <v>-3.6000000000626598E-3</v>
      </c>
      <c r="AF286">
        <v>1.31816969590451E-2</v>
      </c>
      <c r="AG286">
        <v>-9.7165999999999794E-2</v>
      </c>
      <c r="AH286">
        <v>0.79029645663055603</v>
      </c>
      <c r="AI286">
        <v>97.008305087039503</v>
      </c>
      <c r="AJ286">
        <v>89.044427480753896</v>
      </c>
      <c r="AK286">
        <v>0.796356376287358</v>
      </c>
      <c r="AL286">
        <v>82.098244013198098</v>
      </c>
      <c r="AM286">
        <v>91.209616751400802</v>
      </c>
      <c r="AN286">
        <v>0.99999997919405104</v>
      </c>
    </row>
    <row r="287" spans="1:40" x14ac:dyDescent="0.3">
      <c r="A287" t="str">
        <f>"20200111150729067"</f>
        <v>20200111150729067</v>
      </c>
      <c r="B287" t="str">
        <f>"1578726449061455"</f>
        <v>1578726449061455</v>
      </c>
      <c r="C287" t="s">
        <v>40</v>
      </c>
      <c r="D287">
        <v>4.8265900000000004</v>
      </c>
      <c r="E287">
        <v>0.5116579</v>
      </c>
      <c r="F287" t="s">
        <v>41</v>
      </c>
      <c r="G287">
        <v>-336.53460000000001</v>
      </c>
      <c r="H287">
        <v>1.034721</v>
      </c>
      <c r="I287">
        <v>367.0686</v>
      </c>
      <c r="J287">
        <v>-337.10239999999999</v>
      </c>
      <c r="K287">
        <v>1.108484</v>
      </c>
      <c r="L287">
        <v>367.07080000000002</v>
      </c>
      <c r="M287">
        <v>0.99987950000000003</v>
      </c>
      <c r="N287">
        <v>0</v>
      </c>
      <c r="O287">
        <v>1.171787E-2</v>
      </c>
      <c r="P287">
        <v>0.991367</v>
      </c>
      <c r="Q287">
        <v>0.1269335</v>
      </c>
      <c r="R287">
        <v>3.2858890000000002E-2</v>
      </c>
      <c r="S287">
        <v>3.0620120000000002</v>
      </c>
      <c r="T287">
        <v>-0.27770660000000003</v>
      </c>
      <c r="U287">
        <v>1.8920899999999999E-3</v>
      </c>
      <c r="V287">
        <v>-2.0932659999999999E-2</v>
      </c>
      <c r="W287">
        <v>0.13708100000000001</v>
      </c>
      <c r="X287">
        <v>0.99033859999999996</v>
      </c>
      <c r="Y287">
        <v>1.1007329999999999E-2</v>
      </c>
      <c r="Z287">
        <v>-1.5587299999999999E-3</v>
      </c>
      <c r="AA287">
        <v>0.9999382</v>
      </c>
      <c r="AB287">
        <v>47</v>
      </c>
      <c r="AC287">
        <v>0.56779999999997699</v>
      </c>
      <c r="AD287">
        <v>-7.3762999999999995E-2</v>
      </c>
      <c r="AE287">
        <v>-2.2000000000161799E-3</v>
      </c>
      <c r="AF287">
        <v>8.7066633102687394E-3</v>
      </c>
      <c r="AG287">
        <v>-7.3762999999999995E-2</v>
      </c>
      <c r="AH287">
        <v>0.55831291915276604</v>
      </c>
      <c r="AI287">
        <v>97.525292055888798</v>
      </c>
      <c r="AJ287">
        <v>89.106567999723694</v>
      </c>
      <c r="AK287">
        <v>0.56323183667818499</v>
      </c>
      <c r="AL287">
        <v>82.121028378005093</v>
      </c>
      <c r="AM287">
        <v>91.210873239968805</v>
      </c>
      <c r="AN287">
        <v>0.99999995973281597</v>
      </c>
    </row>
    <row r="288" spans="1:40" x14ac:dyDescent="0.3">
      <c r="A288" t="str">
        <f>"20200111150729079"</f>
        <v>20200111150729079</v>
      </c>
      <c r="B288" t="str">
        <f>"1578726449071216"</f>
        <v>1578726449071216</v>
      </c>
      <c r="C288" t="s">
        <v>40</v>
      </c>
      <c r="D288">
        <v>4.8311909999999996</v>
      </c>
      <c r="E288">
        <v>0.51156229999999903</v>
      </c>
      <c r="F288" t="s">
        <v>41</v>
      </c>
      <c r="G288">
        <v>-336.11900000000003</v>
      </c>
      <c r="H288">
        <v>1.019102</v>
      </c>
      <c r="I288">
        <v>367.07100000000003</v>
      </c>
      <c r="J288">
        <v>-336.83819999999997</v>
      </c>
      <c r="K288">
        <v>1.108474</v>
      </c>
      <c r="L288">
        <v>367.0736</v>
      </c>
      <c r="M288">
        <v>0.99988370000000004</v>
      </c>
      <c r="N288">
        <v>0</v>
      </c>
      <c r="O288">
        <v>1.1212430000000001E-2</v>
      </c>
      <c r="P288">
        <v>0.99147399999999997</v>
      </c>
      <c r="Q288">
        <v>0.1261863</v>
      </c>
      <c r="R288">
        <v>3.2505199999999998E-2</v>
      </c>
      <c r="S288">
        <v>3.0616759999999998</v>
      </c>
      <c r="T288">
        <v>-0.27841939999999998</v>
      </c>
      <c r="U288">
        <v>1.739502E-3</v>
      </c>
      <c r="V288">
        <v>-2.1069939999999999E-2</v>
      </c>
      <c r="W288">
        <v>0.13648669999999999</v>
      </c>
      <c r="X288">
        <v>0.99041780000000001</v>
      </c>
      <c r="Y288">
        <v>1.055509E-2</v>
      </c>
      <c r="Z288">
        <v>-1.496498E-3</v>
      </c>
      <c r="AA288">
        <v>0.99994320000000003</v>
      </c>
      <c r="AB288">
        <v>47</v>
      </c>
      <c r="AC288">
        <v>0.719199999999943</v>
      </c>
      <c r="AD288">
        <v>-8.9371999999999993E-2</v>
      </c>
      <c r="AE288">
        <v>-2.6000000000294598E-3</v>
      </c>
      <c r="AF288">
        <v>1.0502076165356301E-2</v>
      </c>
      <c r="AG288">
        <v>-8.9371999999999993E-2</v>
      </c>
      <c r="AH288">
        <v>0.708189904668172</v>
      </c>
      <c r="AI288">
        <v>97.191796319458007</v>
      </c>
      <c r="AJ288">
        <v>89.150396619277799</v>
      </c>
      <c r="AK288">
        <v>0.71388415661204996</v>
      </c>
      <c r="AL288">
        <v>82.155402585190998</v>
      </c>
      <c r="AM288">
        <v>91.218714533796103</v>
      </c>
      <c r="AN288">
        <v>0.99999999010266605</v>
      </c>
    </row>
    <row r="289" spans="1:40" x14ac:dyDescent="0.3">
      <c r="A289" t="str">
        <f>"20200111150729091"</f>
        <v>20200111150729091</v>
      </c>
      <c r="B289" t="str">
        <f>"1578726449080976"</f>
        <v>1578726449080976</v>
      </c>
      <c r="C289" t="s">
        <v>40</v>
      </c>
      <c r="D289">
        <v>4.7479490000000002</v>
      </c>
      <c r="E289">
        <v>0.51140680000000005</v>
      </c>
      <c r="F289" t="s">
        <v>41</v>
      </c>
      <c r="G289">
        <v>-336.10570000000001</v>
      </c>
      <c r="H289">
        <v>1.041282</v>
      </c>
      <c r="I289">
        <v>367.0736</v>
      </c>
      <c r="J289">
        <v>-336.59449999999998</v>
      </c>
      <c r="K289">
        <v>1.1084609999999999</v>
      </c>
      <c r="L289">
        <v>367.0761</v>
      </c>
      <c r="M289">
        <v>0.99988730000000003</v>
      </c>
      <c r="N289">
        <v>0</v>
      </c>
      <c r="O289">
        <v>1.075081E-2</v>
      </c>
      <c r="P289">
        <v>0.99151809999999996</v>
      </c>
      <c r="Q289">
        <v>0.1258705</v>
      </c>
      <c r="R289">
        <v>3.2383490000000001E-2</v>
      </c>
      <c r="S289">
        <v>3.0615230000000002</v>
      </c>
      <c r="T289">
        <v>-0.28107860000000001</v>
      </c>
      <c r="U289">
        <v>1.403809E-3</v>
      </c>
      <c r="V289">
        <v>-2.1398690000000001E-2</v>
      </c>
      <c r="W289">
        <v>0.13630909999999999</v>
      </c>
      <c r="X289">
        <v>0.99043519999999896</v>
      </c>
      <c r="Y289">
        <v>1.020476E-2</v>
      </c>
      <c r="Z289">
        <v>-1.452467E-3</v>
      </c>
      <c r="AA289">
        <v>0.99994689999999997</v>
      </c>
      <c r="AB289">
        <v>47</v>
      </c>
      <c r="AC289">
        <v>0.48879999999996898</v>
      </c>
      <c r="AD289">
        <v>-6.71790000000001E-2</v>
      </c>
      <c r="AE289">
        <v>-2.4999999999977202E-3</v>
      </c>
      <c r="AF289">
        <v>7.6113739150189602E-3</v>
      </c>
      <c r="AG289">
        <v>-6.71790000000001E-2</v>
      </c>
      <c r="AH289">
        <v>0.47968443706008401</v>
      </c>
      <c r="AI289">
        <v>97.971335209291396</v>
      </c>
      <c r="AJ289">
        <v>89.090937763213404</v>
      </c>
      <c r="AK289">
        <v>0.48442554661322701</v>
      </c>
      <c r="AL289">
        <v>82.165674234605206</v>
      </c>
      <c r="AM289">
        <v>91.237702281988604</v>
      </c>
      <c r="AN289">
        <v>0.99999998003778201</v>
      </c>
    </row>
    <row r="290" spans="1:40" x14ac:dyDescent="0.3">
      <c r="A290" t="str">
        <f>"20200111150729102"</f>
        <v>20200111150729102</v>
      </c>
      <c r="B290" t="str">
        <f>"1578726449091712"</f>
        <v>1578726449091712</v>
      </c>
      <c r="C290" t="s">
        <v>40</v>
      </c>
      <c r="D290">
        <v>4.8375620000000001</v>
      </c>
      <c r="E290">
        <v>0.5115634</v>
      </c>
      <c r="F290" t="s">
        <v>41</v>
      </c>
      <c r="G290">
        <v>-335.6934</v>
      </c>
      <c r="H290">
        <v>1.0242610000000001</v>
      </c>
      <c r="I290">
        <v>367.07679999999999</v>
      </c>
      <c r="J290">
        <v>-336.34480000000002</v>
      </c>
      <c r="K290">
        <v>1.1084540000000001</v>
      </c>
      <c r="L290">
        <v>367.07850000000002</v>
      </c>
      <c r="M290">
        <v>0.99989070000000002</v>
      </c>
      <c r="N290">
        <v>0</v>
      </c>
      <c r="O290">
        <v>1.028037E-2</v>
      </c>
      <c r="P290">
        <v>0.99153619999999998</v>
      </c>
      <c r="Q290">
        <v>0.1257836</v>
      </c>
      <c r="R290">
        <v>3.2166529999999999E-2</v>
      </c>
      <c r="S290">
        <v>3.0619510000000001</v>
      </c>
      <c r="T290">
        <v>-0.28615580000000002</v>
      </c>
      <c r="U290">
        <v>2.4108889999999998E-3</v>
      </c>
      <c r="V290">
        <v>-2.164081E-2</v>
      </c>
      <c r="W290">
        <v>0.13636019999999999</v>
      </c>
      <c r="X290">
        <v>0.99042289999999999</v>
      </c>
      <c r="Y290">
        <v>9.4078240000000004E-3</v>
      </c>
      <c r="Z290">
        <v>-1.3973569999999999E-3</v>
      </c>
      <c r="AA290">
        <v>0.99995480000000003</v>
      </c>
      <c r="AB290">
        <v>47</v>
      </c>
      <c r="AC290">
        <v>0.65140000000002296</v>
      </c>
      <c r="AD290">
        <v>-8.4192999999999907E-2</v>
      </c>
      <c r="AE290">
        <v>-1.7000000000280101E-3</v>
      </c>
      <c r="AF290">
        <v>8.2589531920055307E-3</v>
      </c>
      <c r="AG290">
        <v>-8.4192999999999907E-2</v>
      </c>
      <c r="AH290">
        <v>0.64064593228835198</v>
      </c>
      <c r="AI290">
        <v>97.486229906968205</v>
      </c>
      <c r="AJ290">
        <v>89.261406456446196</v>
      </c>
      <c r="AK290">
        <v>0.64620730583493002</v>
      </c>
      <c r="AL290">
        <v>82.162718783954702</v>
      </c>
      <c r="AM290">
        <v>91.251717635417606</v>
      </c>
      <c r="AN290">
        <v>0.999999974822952</v>
      </c>
    </row>
    <row r="291" spans="1:40" x14ac:dyDescent="0.3">
      <c r="A291" t="str">
        <f>"20200111150729115"</f>
        <v>20200111150729115</v>
      </c>
      <c r="B291" t="str">
        <f>"1578726449111231"</f>
        <v>1578726449111231</v>
      </c>
      <c r="C291" t="s">
        <v>40</v>
      </c>
      <c r="D291">
        <v>4.8219310000000002</v>
      </c>
      <c r="E291">
        <v>0.51167549999999995</v>
      </c>
      <c r="F291" t="s">
        <v>41</v>
      </c>
      <c r="G291">
        <v>-335.27850000000001</v>
      </c>
      <c r="H291">
        <v>1.0077419999999999</v>
      </c>
      <c r="I291">
        <v>367.07830000000001</v>
      </c>
      <c r="J291">
        <v>-336.08300000000003</v>
      </c>
      <c r="K291">
        <v>1.1084529999999999</v>
      </c>
      <c r="L291">
        <v>367.08089999999999</v>
      </c>
      <c r="M291">
        <v>0.99989430000000001</v>
      </c>
      <c r="N291">
        <v>0</v>
      </c>
      <c r="O291">
        <v>9.7941009999999995E-3</v>
      </c>
      <c r="P291">
        <v>0.99157759999999995</v>
      </c>
      <c r="Q291">
        <v>0.12558139999999901</v>
      </c>
      <c r="R291">
        <v>3.1677240000000002E-2</v>
      </c>
      <c r="S291">
        <v>3.0622560000000001</v>
      </c>
      <c r="T291">
        <v>-0.28936669999999998</v>
      </c>
      <c r="U291">
        <v>5.1879879999999995E-4</v>
      </c>
      <c r="V291">
        <v>-2.1626840000000001E-2</v>
      </c>
      <c r="W291">
        <v>0.136295</v>
      </c>
      <c r="X291">
        <v>0.99043219999999998</v>
      </c>
      <c r="Y291">
        <v>9.5391320000000005E-3</v>
      </c>
      <c r="Z291">
        <v>-1.373172E-3</v>
      </c>
      <c r="AA291">
        <v>0.9999536</v>
      </c>
      <c r="AB291">
        <v>47</v>
      </c>
      <c r="AC291">
        <v>0.80450000000001798</v>
      </c>
      <c r="AD291">
        <v>-0.10071099999999999</v>
      </c>
      <c r="AE291">
        <v>-2.5999999999726199E-3</v>
      </c>
      <c r="AF291">
        <v>1.03179910533355E-2</v>
      </c>
      <c r="AG291">
        <v>-0.10071099999999999</v>
      </c>
      <c r="AH291">
        <v>0.79202411939626804</v>
      </c>
      <c r="AI291">
        <v>97.246031963660499</v>
      </c>
      <c r="AJ291">
        <v>89.253628916127198</v>
      </c>
      <c r="AK291">
        <v>0.79846814098360297</v>
      </c>
      <c r="AL291">
        <v>82.166489833793705</v>
      </c>
      <c r="AM291">
        <v>91.250898116823294</v>
      </c>
      <c r="AN291">
        <v>0.99999999501511205</v>
      </c>
    </row>
    <row r="292" spans="1:40" x14ac:dyDescent="0.3">
      <c r="A292" t="str">
        <f>"20200111150729133"</f>
        <v>20200111150729133</v>
      </c>
      <c r="B292" t="str">
        <f>"1578726449120992"</f>
        <v>1578726449120992</v>
      </c>
      <c r="C292" t="s">
        <v>40</v>
      </c>
      <c r="D292">
        <v>5.3395049999999999</v>
      </c>
      <c r="E292">
        <v>0.51167549999999995</v>
      </c>
      <c r="F292" t="s">
        <v>41</v>
      </c>
      <c r="G292">
        <v>-335.26710000000003</v>
      </c>
      <c r="H292">
        <v>1.0312059999999901</v>
      </c>
      <c r="I292">
        <v>367.08</v>
      </c>
      <c r="J292">
        <v>-335.7115</v>
      </c>
      <c r="K292">
        <v>1.1084510000000001</v>
      </c>
      <c r="L292">
        <v>367.08420000000001</v>
      </c>
      <c r="M292">
        <v>0.99989870000000003</v>
      </c>
      <c r="N292">
        <v>0</v>
      </c>
      <c r="O292">
        <v>9.1152070000000002E-3</v>
      </c>
      <c r="P292">
        <v>0.99156480000000002</v>
      </c>
      <c r="Q292">
        <v>0.12580949999999999</v>
      </c>
      <c r="R292">
        <v>3.116331E-2</v>
      </c>
      <c r="S292">
        <v>3.0622560000000001</v>
      </c>
      <c r="T292">
        <v>-0.29011199999999998</v>
      </c>
      <c r="U292">
        <v>-2.0446779999999999E-3</v>
      </c>
      <c r="V292">
        <v>-2.1778619999999999E-2</v>
      </c>
      <c r="W292">
        <v>0.13670309999999999</v>
      </c>
      <c r="X292">
        <v>0.99037269999999999</v>
      </c>
      <c r="Y292">
        <v>9.69918E-3</v>
      </c>
      <c r="Z292">
        <v>-1.3200849999999999E-3</v>
      </c>
      <c r="AA292">
        <v>0.99995210000000001</v>
      </c>
      <c r="AB292">
        <v>47</v>
      </c>
      <c r="AC292">
        <v>0.44439999999997298</v>
      </c>
      <c r="AD292">
        <v>-7.7245000000000202E-2</v>
      </c>
      <c r="AE292">
        <v>-4.20000000002573E-3</v>
      </c>
      <c r="AF292">
        <v>8.0089144902165104E-3</v>
      </c>
      <c r="AG292">
        <v>-7.7245000000000202E-2</v>
      </c>
      <c r="AH292">
        <v>0.431313183841112</v>
      </c>
      <c r="AI292">
        <v>100.15189364998101</v>
      </c>
      <c r="AJ292">
        <v>88.936215522126204</v>
      </c>
      <c r="AK292">
        <v>0.43824878241869503</v>
      </c>
      <c r="AL292">
        <v>82.142887059764902</v>
      </c>
      <c r="AM292">
        <v>91.259749919898297</v>
      </c>
      <c r="AN292">
        <v>1.000000065372</v>
      </c>
    </row>
    <row r="293" spans="1:40" x14ac:dyDescent="0.3">
      <c r="A293" t="str">
        <f>"20200111150729148"</f>
        <v>20200111150729148</v>
      </c>
      <c r="B293" t="str">
        <f>"1578726449141487"</f>
        <v>1578726449141487</v>
      </c>
      <c r="C293" t="s">
        <v>40</v>
      </c>
      <c r="D293">
        <v>4.7619619999999996</v>
      </c>
      <c r="E293">
        <v>0.51174929999999996</v>
      </c>
      <c r="F293" t="s">
        <v>41</v>
      </c>
      <c r="G293">
        <v>-334.84640000000002</v>
      </c>
      <c r="H293">
        <v>1.0266919999999999</v>
      </c>
      <c r="I293">
        <v>367.08319999999998</v>
      </c>
      <c r="J293">
        <v>-335.40710000000001</v>
      </c>
      <c r="K293">
        <v>1.108452</v>
      </c>
      <c r="L293">
        <v>367.08659999999998</v>
      </c>
      <c r="M293">
        <v>0.99990199999999996</v>
      </c>
      <c r="N293">
        <v>0</v>
      </c>
      <c r="O293">
        <v>8.5682750000000002E-3</v>
      </c>
      <c r="P293">
        <v>0.99156739999999999</v>
      </c>
      <c r="Q293">
        <v>0.12597179999999999</v>
      </c>
      <c r="R293">
        <v>3.0413039999999999E-2</v>
      </c>
      <c r="S293">
        <v>3.0623170000000002</v>
      </c>
      <c r="T293">
        <v>-0.28943039999999998</v>
      </c>
      <c r="U293">
        <v>-3.6621090000000002E-3</v>
      </c>
      <c r="V293">
        <v>-2.156568E-2</v>
      </c>
      <c r="W293">
        <v>0.13700209999999999</v>
      </c>
      <c r="X293">
        <v>0.99033599999999999</v>
      </c>
      <c r="Y293">
        <v>9.6832749999999999E-3</v>
      </c>
      <c r="Z293">
        <v>-1.264643E-3</v>
      </c>
      <c r="AA293">
        <v>0.99995230000000002</v>
      </c>
      <c r="AB293">
        <v>47</v>
      </c>
      <c r="AC293">
        <v>0.56069999999999698</v>
      </c>
      <c r="AD293">
        <v>-8.1759999999999999E-2</v>
      </c>
      <c r="AE293">
        <v>-3.3999999999991802E-3</v>
      </c>
      <c r="AF293">
        <v>8.0335909991070004E-3</v>
      </c>
      <c r="AG293">
        <v>-8.1759999999999999E-2</v>
      </c>
      <c r="AH293">
        <v>0.54897789778644701</v>
      </c>
      <c r="AI293">
        <v>98.469978763010005</v>
      </c>
      <c r="AJ293">
        <v>89.161609222890505</v>
      </c>
      <c r="AK293">
        <v>0.55509095510769002</v>
      </c>
      <c r="AL293">
        <v>82.125592577018807</v>
      </c>
      <c r="AM293">
        <v>91.247482865739798</v>
      </c>
      <c r="AN293">
        <v>1.00000002342713</v>
      </c>
    </row>
    <row r="294" spans="1:40" x14ac:dyDescent="0.3">
      <c r="A294" t="str">
        <f>"20200111150729161"</f>
        <v>20200111150729161</v>
      </c>
      <c r="B294" t="str">
        <f>"1578726449151248"</f>
        <v>1578726449151248</v>
      </c>
      <c r="C294" t="s">
        <v>40</v>
      </c>
      <c r="D294">
        <v>4.7742610000000001</v>
      </c>
      <c r="E294">
        <v>0.51174350000000002</v>
      </c>
      <c r="F294" t="s">
        <v>41</v>
      </c>
      <c r="G294">
        <v>-334.4289</v>
      </c>
      <c r="H294">
        <v>1.0157050000000001</v>
      </c>
      <c r="I294">
        <v>367.0847</v>
      </c>
      <c r="J294">
        <v>-335.10860000000002</v>
      </c>
      <c r="K294">
        <v>1.108455</v>
      </c>
      <c r="L294">
        <v>367.08890000000002</v>
      </c>
      <c r="M294">
        <v>0.99990509999999999</v>
      </c>
      <c r="N294">
        <v>0</v>
      </c>
      <c r="O294">
        <v>8.0380940000000008E-3</v>
      </c>
      <c r="P294">
        <v>0.99159660000000005</v>
      </c>
      <c r="Q294">
        <v>0.12599969999999999</v>
      </c>
      <c r="R294">
        <v>2.9335670000000001E-2</v>
      </c>
      <c r="S294">
        <v>3.062592</v>
      </c>
      <c r="T294">
        <v>-0.29045389999999999</v>
      </c>
      <c r="U294">
        <v>-5.7678219999999997E-3</v>
      </c>
      <c r="V294">
        <v>-2.100989E-2</v>
      </c>
      <c r="W294">
        <v>0.13715469999999999</v>
      </c>
      <c r="X294">
        <v>0.99032679999999995</v>
      </c>
      <c r="Y294">
        <v>9.8416030000000009E-3</v>
      </c>
      <c r="Z294">
        <v>-1.226303E-3</v>
      </c>
      <c r="AA294">
        <v>0.99995080000000003</v>
      </c>
      <c r="AB294">
        <v>47</v>
      </c>
      <c r="AC294">
        <v>0.67970000000002495</v>
      </c>
      <c r="AD294">
        <v>-9.2750000000000096E-2</v>
      </c>
      <c r="AE294">
        <v>-4.20000000002573E-3</v>
      </c>
      <c r="AF294">
        <v>9.4870510952580304E-3</v>
      </c>
      <c r="AG294">
        <v>-9.2750000000000096E-2</v>
      </c>
      <c r="AH294">
        <v>0.66722071183392195</v>
      </c>
      <c r="AI294">
        <v>97.913151100992394</v>
      </c>
      <c r="AJ294">
        <v>89.185379963523701</v>
      </c>
      <c r="AK294">
        <v>0.67370323209752303</v>
      </c>
      <c r="AL294">
        <v>82.116765725635901</v>
      </c>
      <c r="AM294">
        <v>91.215353835381094</v>
      </c>
      <c r="AN294">
        <v>0.99999999900407099</v>
      </c>
    </row>
    <row r="295" spans="1:40" x14ac:dyDescent="0.3">
      <c r="A295" t="str">
        <f>"20200111150729176"</f>
        <v>20200111150729176</v>
      </c>
      <c r="B295" t="str">
        <f>"1578726449171743"</f>
        <v>1578726449171743</v>
      </c>
      <c r="C295" t="s">
        <v>40</v>
      </c>
      <c r="D295">
        <v>4.7139670000000002</v>
      </c>
      <c r="E295">
        <v>0.51143279999999902</v>
      </c>
      <c r="F295" t="s">
        <v>41</v>
      </c>
      <c r="G295">
        <v>-334.01229999999998</v>
      </c>
      <c r="H295">
        <v>1.00336</v>
      </c>
      <c r="I295">
        <v>367.08539999999999</v>
      </c>
      <c r="J295">
        <v>-334.7792</v>
      </c>
      <c r="K295">
        <v>1.10846</v>
      </c>
      <c r="L295">
        <v>367.09120000000001</v>
      </c>
      <c r="M295">
        <v>0.99990800000000002</v>
      </c>
      <c r="N295">
        <v>0</v>
      </c>
      <c r="O295">
        <v>7.4627909999999999E-3</v>
      </c>
      <c r="P295">
        <v>0.9916469</v>
      </c>
      <c r="Q295">
        <v>0.1258958</v>
      </c>
      <c r="R295">
        <v>2.8050309999999998E-2</v>
      </c>
      <c r="S295">
        <v>3.0630489999999999</v>
      </c>
      <c r="T295">
        <v>-0.29369959999999901</v>
      </c>
      <c r="U295">
        <v>-9.0942379999999993E-3</v>
      </c>
      <c r="V295">
        <v>-2.0293930000000002E-2</v>
      </c>
      <c r="W295">
        <v>0.13717679999999999</v>
      </c>
      <c r="X295">
        <v>0.99033870000000002</v>
      </c>
      <c r="Y295">
        <v>1.0350460000000001E-2</v>
      </c>
      <c r="Z295">
        <v>-1.209061E-3</v>
      </c>
      <c r="AA295">
        <v>0.99994570000000005</v>
      </c>
      <c r="AB295">
        <v>47</v>
      </c>
      <c r="AC295">
        <v>0.76690000000002101</v>
      </c>
      <c r="AD295">
        <v>-0.105099999999999</v>
      </c>
      <c r="AE295">
        <v>-5.8000000000220098E-3</v>
      </c>
      <c r="AF295">
        <v>1.13109958742202E-2</v>
      </c>
      <c r="AG295">
        <v>-0.105099999999999</v>
      </c>
      <c r="AH295">
        <v>0.75269941436965004</v>
      </c>
      <c r="AI295">
        <v>97.9479749072743</v>
      </c>
      <c r="AJ295">
        <v>89.139067285305998</v>
      </c>
      <c r="AK295">
        <v>0.76008575635916298</v>
      </c>
      <c r="AL295">
        <v>82.115487647438997</v>
      </c>
      <c r="AM295">
        <v>91.173935569187606</v>
      </c>
      <c r="AN295">
        <v>1.0000000293853799</v>
      </c>
    </row>
    <row r="296" spans="1:40" x14ac:dyDescent="0.3">
      <c r="A296" t="str">
        <f>"20200111150729188"</f>
        <v>20200111150729188</v>
      </c>
      <c r="B296" t="str">
        <f>"1578726449181503"</f>
        <v>1578726449181503</v>
      </c>
      <c r="C296" t="s">
        <v>40</v>
      </c>
      <c r="D296">
        <v>4.5492379999999999</v>
      </c>
      <c r="E296">
        <v>0.51060439999999996</v>
      </c>
      <c r="F296" t="s">
        <v>41</v>
      </c>
      <c r="G296">
        <v>-333.99799999999999</v>
      </c>
      <c r="H296">
        <v>1.0326439999999999</v>
      </c>
      <c r="I296">
        <v>367.0883</v>
      </c>
      <c r="J296">
        <v>-334.5299</v>
      </c>
      <c r="K296">
        <v>1.1084689999999999</v>
      </c>
      <c r="L296">
        <v>367.09269999999998</v>
      </c>
      <c r="M296">
        <v>0.99991019999999997</v>
      </c>
      <c r="N296">
        <v>0</v>
      </c>
      <c r="O296">
        <v>7.0326499999999997E-3</v>
      </c>
      <c r="P296">
        <v>0.99167340000000004</v>
      </c>
      <c r="Q296">
        <v>0.1258753</v>
      </c>
      <c r="R296">
        <v>2.7198300000000002E-2</v>
      </c>
      <c r="S296">
        <v>3.0632630000000001</v>
      </c>
      <c r="T296">
        <v>-0.29744229999999999</v>
      </c>
      <c r="U296">
        <v>-1.055908E-2</v>
      </c>
      <c r="V296">
        <v>-1.986779E-2</v>
      </c>
      <c r="W296">
        <v>0.13724439999999999</v>
      </c>
      <c r="X296">
        <v>0.99033800000000005</v>
      </c>
      <c r="Y296">
        <v>1.0397979999999999E-2</v>
      </c>
      <c r="Z296">
        <v>-1.184942E-3</v>
      </c>
      <c r="AA296">
        <v>0.99994519999999998</v>
      </c>
      <c r="AB296">
        <v>47</v>
      </c>
      <c r="AC296">
        <v>0.53189999999994997</v>
      </c>
      <c r="AD296">
        <v>-7.5825000000000004E-2</v>
      </c>
      <c r="AE296">
        <v>-4.3999999999755303E-3</v>
      </c>
      <c r="AF296">
        <v>7.9786702794549698E-3</v>
      </c>
      <c r="AG296">
        <v>-7.5825000000000004E-2</v>
      </c>
      <c r="AH296">
        <v>0.52126354490113203</v>
      </c>
      <c r="AI296">
        <v>98.275458737699196</v>
      </c>
      <c r="AJ296">
        <v>89.123076144868705</v>
      </c>
      <c r="AK296">
        <v>0.52680999710267695</v>
      </c>
      <c r="AL296">
        <v>82.1115776680072</v>
      </c>
      <c r="AM296">
        <v>91.149292298791195</v>
      </c>
      <c r="AN296">
        <v>1.0000000543274199</v>
      </c>
    </row>
    <row r="297" spans="1:40" x14ac:dyDescent="0.3">
      <c r="A297" t="str">
        <f>"20200111150729201"</f>
        <v>20200111150729201</v>
      </c>
      <c r="B297" t="str">
        <f>"1578726449191264"</f>
        <v>1578726449191264</v>
      </c>
      <c r="C297" t="s">
        <v>40</v>
      </c>
      <c r="D297">
        <v>4.5978309999999896</v>
      </c>
      <c r="E297">
        <v>0.51030929999999997</v>
      </c>
      <c r="F297" t="s">
        <v>41</v>
      </c>
      <c r="G297">
        <v>-333.58429999999998</v>
      </c>
      <c r="H297">
        <v>1.014202</v>
      </c>
      <c r="I297">
        <v>367.09039999999999</v>
      </c>
      <c r="J297">
        <v>-334.27850000000001</v>
      </c>
      <c r="K297">
        <v>1.108474</v>
      </c>
      <c r="L297">
        <v>367.09429999999998</v>
      </c>
      <c r="M297">
        <v>0.99991220000000003</v>
      </c>
      <c r="N297">
        <v>0</v>
      </c>
      <c r="O297">
        <v>6.6011050000000003E-3</v>
      </c>
      <c r="P297">
        <v>0.99170409999999998</v>
      </c>
      <c r="Q297">
        <v>0.12580910000000001</v>
      </c>
      <c r="R297">
        <v>2.636693E-2</v>
      </c>
      <c r="S297">
        <v>3.0641780000000001</v>
      </c>
      <c r="T297">
        <v>-0.30562739999999999</v>
      </c>
      <c r="U297">
        <v>-6.5917969999999999E-3</v>
      </c>
      <c r="V297">
        <v>-1.9464450000000001E-2</v>
      </c>
      <c r="W297">
        <v>0.1372642</v>
      </c>
      <c r="X297">
        <v>0.99034319999999998</v>
      </c>
      <c r="Y297">
        <v>8.676909E-3</v>
      </c>
      <c r="Z297">
        <v>-1.088473E-3</v>
      </c>
      <c r="AA297">
        <v>0.99996169999999995</v>
      </c>
      <c r="AB297">
        <v>47</v>
      </c>
      <c r="AC297">
        <v>0.69420000000002302</v>
      </c>
      <c r="AD297">
        <v>-9.4271999999999898E-2</v>
      </c>
      <c r="AE297">
        <v>-3.8999999999873498E-3</v>
      </c>
      <c r="AF297">
        <v>8.3291082284789094E-3</v>
      </c>
      <c r="AG297">
        <v>-9.4271999999999898E-2</v>
      </c>
      <c r="AH297">
        <v>0.68158998270427296</v>
      </c>
      <c r="AI297">
        <v>97.874145785522899</v>
      </c>
      <c r="AJ297">
        <v>89.299873812577701</v>
      </c>
      <c r="AK297">
        <v>0.68812897668292705</v>
      </c>
      <c r="AL297">
        <v>82.110431858461496</v>
      </c>
      <c r="AM297">
        <v>91.125960442994895</v>
      </c>
      <c r="AN297">
        <v>0.99999998960084102</v>
      </c>
    </row>
    <row r="298" spans="1:40" x14ac:dyDescent="0.3">
      <c r="A298" t="str">
        <f>"20200111150729211"</f>
        <v>20200111150729211</v>
      </c>
      <c r="B298" t="str">
        <f>"1578726449201025"</f>
        <v>1578726449201025</v>
      </c>
      <c r="C298" t="s">
        <v>40</v>
      </c>
      <c r="D298">
        <v>4.6035649999999997</v>
      </c>
      <c r="E298">
        <v>0.50994600000000001</v>
      </c>
      <c r="F298" t="s">
        <v>41</v>
      </c>
      <c r="G298">
        <v>-333.1694</v>
      </c>
      <c r="H298">
        <v>0.99847160000000001</v>
      </c>
      <c r="I298">
        <v>367.09160000000003</v>
      </c>
      <c r="J298">
        <v>-334.0326</v>
      </c>
      <c r="K298">
        <v>1.1084780000000001</v>
      </c>
      <c r="L298">
        <v>367.09559999999999</v>
      </c>
      <c r="M298">
        <v>0.99991390000000002</v>
      </c>
      <c r="N298">
        <v>0</v>
      </c>
      <c r="O298">
        <v>6.1843879999999999E-3</v>
      </c>
      <c r="P298">
        <v>0.99172979999999999</v>
      </c>
      <c r="Q298">
        <v>0.1257413</v>
      </c>
      <c r="R298">
        <v>2.571654E-2</v>
      </c>
      <c r="S298">
        <v>3.063812</v>
      </c>
      <c r="T298">
        <v>-0.30395689999999997</v>
      </c>
      <c r="U298">
        <v>-6.7138669999999897E-3</v>
      </c>
      <c r="V298">
        <v>-1.922784E-2</v>
      </c>
      <c r="W298">
        <v>0.137271799999999</v>
      </c>
      <c r="X298">
        <v>0.99034679999999997</v>
      </c>
      <c r="Y298">
        <v>8.3049539999999998E-3</v>
      </c>
      <c r="Z298">
        <v>-1.0230339999999999E-3</v>
      </c>
      <c r="AA298">
        <v>0.99996499999999999</v>
      </c>
      <c r="AB298">
        <v>47</v>
      </c>
      <c r="AC298">
        <v>0.86320000000000596</v>
      </c>
      <c r="AD298">
        <v>-0.1100064</v>
      </c>
      <c r="AE298">
        <v>-3.9999999999622499E-3</v>
      </c>
      <c r="AF298">
        <v>9.1894027985184104E-3</v>
      </c>
      <c r="AG298">
        <v>-0.1100064</v>
      </c>
      <c r="AH298">
        <v>0.84936450962930099</v>
      </c>
      <c r="AI298">
        <v>97.379220086799194</v>
      </c>
      <c r="AJ298">
        <v>89.3801325007733</v>
      </c>
      <c r="AK298">
        <v>0.85650798208923695</v>
      </c>
      <c r="AL298">
        <v>82.109992495215096</v>
      </c>
      <c r="AM298">
        <v>91.112272676864904</v>
      </c>
      <c r="AN298">
        <v>1.00000002058827</v>
      </c>
    </row>
    <row r="299" spans="1:40" x14ac:dyDescent="0.3">
      <c r="A299" t="str">
        <f>"20200111150729223"</f>
        <v>20200111150729223</v>
      </c>
      <c r="B299" t="str">
        <f>"1578726449211760"</f>
        <v>1578726449211760</v>
      </c>
      <c r="C299" t="s">
        <v>40</v>
      </c>
      <c r="D299">
        <v>5.160253</v>
      </c>
      <c r="E299">
        <v>0.50910540000000004</v>
      </c>
      <c r="F299" t="s">
        <v>41</v>
      </c>
      <c r="G299">
        <v>-333.15730000000002</v>
      </c>
      <c r="H299">
        <v>1.023339</v>
      </c>
      <c r="I299">
        <v>367.09359999999998</v>
      </c>
      <c r="J299">
        <v>-333.80489999999998</v>
      </c>
      <c r="K299">
        <v>1.108484</v>
      </c>
      <c r="L299">
        <v>367.09679999999997</v>
      </c>
      <c r="M299">
        <v>0.99991529999999995</v>
      </c>
      <c r="N299">
        <v>0</v>
      </c>
      <c r="O299">
        <v>5.7997369999999897E-3</v>
      </c>
      <c r="P299">
        <v>0.991761</v>
      </c>
      <c r="Q299">
        <v>0.1256671</v>
      </c>
      <c r="R299">
        <v>2.4854129999999999E-2</v>
      </c>
      <c r="S299">
        <v>3.0629879999999998</v>
      </c>
      <c r="T299">
        <v>-0.29809330000000001</v>
      </c>
      <c r="U299">
        <v>-6.1950679999999998E-3</v>
      </c>
      <c r="V299">
        <v>-1.87476E-2</v>
      </c>
      <c r="W299">
        <v>0.1372652</v>
      </c>
      <c r="X299">
        <v>0.99035689999999998</v>
      </c>
      <c r="Y299">
        <v>7.7585800000000002E-3</v>
      </c>
      <c r="Z299">
        <v>-9.3978919999999997E-4</v>
      </c>
      <c r="AA299">
        <v>0.99996949999999996</v>
      </c>
      <c r="AB299">
        <v>47</v>
      </c>
      <c r="AC299">
        <v>0.64759999999995399</v>
      </c>
      <c r="AD299">
        <v>-8.5144999999999998E-2</v>
      </c>
      <c r="AE299">
        <v>-3.19999999999254E-3</v>
      </c>
      <c r="AF299">
        <v>6.8379108312504001E-3</v>
      </c>
      <c r="AG299">
        <v>-8.5144999999999998E-2</v>
      </c>
      <c r="AH299">
        <v>0.63656686404829299</v>
      </c>
      <c r="AI299">
        <v>97.618033779982795</v>
      </c>
      <c r="AJ299">
        <v>89.384560545773098</v>
      </c>
      <c r="AK299">
        <v>0.64227237248212299</v>
      </c>
      <c r="AL299">
        <v>82.110374085875307</v>
      </c>
      <c r="AM299">
        <v>91.084487900494196</v>
      </c>
      <c r="AN299">
        <v>0.999999998507205</v>
      </c>
    </row>
    <row r="300" spans="1:40" x14ac:dyDescent="0.3">
      <c r="A300" t="str">
        <f>"20200111150729235"</f>
        <v>20200111150729235</v>
      </c>
      <c r="B300" t="str">
        <f>"1578726449231281"</f>
        <v>1578726449231281</v>
      </c>
      <c r="C300" t="s">
        <v>40</v>
      </c>
      <c r="D300">
        <v>4.301018</v>
      </c>
      <c r="E300">
        <v>0.50815679999999996</v>
      </c>
      <c r="F300" t="s">
        <v>41</v>
      </c>
      <c r="G300">
        <v>-332.74279999999999</v>
      </c>
      <c r="H300">
        <v>1.007177</v>
      </c>
      <c r="I300">
        <v>367.09570000000002</v>
      </c>
      <c r="J300">
        <v>-333.54500000000002</v>
      </c>
      <c r="K300">
        <v>1.1084889999999901</v>
      </c>
      <c r="L300">
        <v>367.09800000000001</v>
      </c>
      <c r="M300">
        <v>0.99991699999999994</v>
      </c>
      <c r="N300">
        <v>0</v>
      </c>
      <c r="O300">
        <v>5.3636999999999999E-3</v>
      </c>
      <c r="P300">
        <v>0.99179119999999998</v>
      </c>
      <c r="Q300">
        <v>0.12549679999999999</v>
      </c>
      <c r="R300">
        <v>2.4516309999999999E-2</v>
      </c>
      <c r="S300">
        <v>3.0620120000000002</v>
      </c>
      <c r="T300">
        <v>-0.29230790000000001</v>
      </c>
      <c r="U300">
        <v>-2.0446779999999999E-3</v>
      </c>
      <c r="V300">
        <v>-1.884371E-2</v>
      </c>
      <c r="W300">
        <v>0.13716739999999999</v>
      </c>
      <c r="X300">
        <v>0.99036860000000004</v>
      </c>
      <c r="Y300">
        <v>5.9802400000000004E-3</v>
      </c>
      <c r="Z300">
        <v>-7.9570279999999997E-4</v>
      </c>
      <c r="AA300">
        <v>0.99998180000000003</v>
      </c>
      <c r="AB300">
        <v>47</v>
      </c>
      <c r="AC300">
        <v>0.802200000000027</v>
      </c>
      <c r="AD300">
        <v>-0.101311999999999</v>
      </c>
      <c r="AE300">
        <v>-2.29999999999108E-3</v>
      </c>
      <c r="AF300">
        <v>6.4993593800716804E-3</v>
      </c>
      <c r="AG300">
        <v>-0.101311999999999</v>
      </c>
      <c r="AH300">
        <v>0.78958250667928698</v>
      </c>
      <c r="AI300">
        <v>97.3114737169238</v>
      </c>
      <c r="AJ300">
        <v>89.528386902213896</v>
      </c>
      <c r="AK300">
        <v>0.79608221803422896</v>
      </c>
      <c r="AL300">
        <v>82.116030915659906</v>
      </c>
      <c r="AM300">
        <v>91.090033340031596</v>
      </c>
      <c r="AN300">
        <v>0.99999997244764105</v>
      </c>
    </row>
    <row r="301" spans="1:40" x14ac:dyDescent="0.3">
      <c r="A301" t="str">
        <f>"20200111150729247"</f>
        <v>20200111150729247</v>
      </c>
      <c r="B301" t="str">
        <f>"1578726449241040"</f>
        <v>1578726449241040</v>
      </c>
      <c r="C301" t="s">
        <v>40</v>
      </c>
      <c r="D301">
        <v>5.9982949999999997</v>
      </c>
      <c r="E301">
        <v>0.50770499999999996</v>
      </c>
      <c r="F301" t="s">
        <v>41</v>
      </c>
      <c r="G301">
        <v>-332.73110000000003</v>
      </c>
      <c r="H301">
        <v>1.0309980000000001</v>
      </c>
      <c r="I301">
        <v>367.09879999999998</v>
      </c>
      <c r="J301">
        <v>-333.28960000000001</v>
      </c>
      <c r="K301">
        <v>1.108492</v>
      </c>
      <c r="L301">
        <v>367.09910000000002</v>
      </c>
      <c r="M301">
        <v>0.99991850000000004</v>
      </c>
      <c r="N301">
        <v>0</v>
      </c>
      <c r="O301">
        <v>4.9377229999999998E-3</v>
      </c>
      <c r="P301">
        <v>0.99180559999999995</v>
      </c>
      <c r="Q301">
        <v>0.12544549999999999</v>
      </c>
      <c r="R301">
        <v>2.419406E-2</v>
      </c>
      <c r="S301">
        <v>3.0616460000000001</v>
      </c>
      <c r="T301">
        <v>-0.29184080000000001</v>
      </c>
      <c r="U301">
        <v>4.3640140000000003E-3</v>
      </c>
      <c r="V301">
        <v>-1.894473E-2</v>
      </c>
      <c r="W301">
        <v>0.13718250000000001</v>
      </c>
      <c r="X301">
        <v>0.99036460000000004</v>
      </c>
      <c r="Y301">
        <v>3.4745639999999999E-3</v>
      </c>
      <c r="Z301">
        <v>-6.3486339999999997E-4</v>
      </c>
      <c r="AA301">
        <v>0.99999369999999999</v>
      </c>
      <c r="AB301">
        <v>47</v>
      </c>
      <c r="AC301">
        <v>0.55849999999998001</v>
      </c>
      <c r="AD301">
        <v>-7.7494000000000104E-2</v>
      </c>
      <c r="AE301">
        <v>-3.0000000003838003E-4</v>
      </c>
      <c r="AF301">
        <v>3.0001451515331199E-3</v>
      </c>
      <c r="AG301">
        <v>-7.7494000000000104E-2</v>
      </c>
      <c r="AH301">
        <v>0.54794238656472105</v>
      </c>
      <c r="AI301">
        <v>98.049680513037799</v>
      </c>
      <c r="AJ301">
        <v>89.686291950373999</v>
      </c>
      <c r="AK301">
        <v>0.55340327059132199</v>
      </c>
      <c r="AL301">
        <v>82.115157640103007</v>
      </c>
      <c r="AM301">
        <v>91.0958799472442</v>
      </c>
      <c r="AN301">
        <v>0.99999999101709103</v>
      </c>
    </row>
    <row r="302" spans="1:40" x14ac:dyDescent="0.3">
      <c r="A302" t="str">
        <f>"20200111150729259"</f>
        <v>20200111150729259</v>
      </c>
      <c r="B302" t="str">
        <f>"1578726449251776"</f>
        <v>1578726449251776</v>
      </c>
      <c r="C302" t="s">
        <v>40</v>
      </c>
      <c r="D302">
        <v>6.4044540000000003</v>
      </c>
      <c r="E302">
        <v>0.5077739</v>
      </c>
      <c r="F302" t="s">
        <v>41</v>
      </c>
      <c r="G302">
        <v>-332.31540000000001</v>
      </c>
      <c r="H302">
        <v>1.017209</v>
      </c>
      <c r="I302">
        <v>367.10090000000002</v>
      </c>
      <c r="J302">
        <v>-333.03030000000001</v>
      </c>
      <c r="K302">
        <v>1.1084969999999901</v>
      </c>
      <c r="L302">
        <v>367.1001</v>
      </c>
      <c r="M302">
        <v>0.99991960000000002</v>
      </c>
      <c r="N302">
        <v>0</v>
      </c>
      <c r="O302">
        <v>4.5071099999999999E-3</v>
      </c>
      <c r="P302">
        <v>0.99184919999999999</v>
      </c>
      <c r="Q302">
        <v>0.1251486</v>
      </c>
      <c r="R302">
        <v>2.3940059999999999E-2</v>
      </c>
      <c r="S302">
        <v>3.0609440000000001</v>
      </c>
      <c r="T302">
        <v>-0.28704550000000001</v>
      </c>
      <c r="U302">
        <v>6.7138669999999897E-3</v>
      </c>
      <c r="V302">
        <v>-1.9120089999999999E-2</v>
      </c>
      <c r="W302">
        <v>0.13695009999999999</v>
      </c>
      <c r="X302">
        <v>0.99039339999999998</v>
      </c>
      <c r="Y302">
        <v>2.284248E-3</v>
      </c>
      <c r="Z302">
        <v>-5.2863499999999996E-4</v>
      </c>
      <c r="AA302">
        <v>0.99999729999999998</v>
      </c>
      <c r="AB302">
        <v>47</v>
      </c>
      <c r="AC302">
        <v>0.71489999999999998</v>
      </c>
      <c r="AD302">
        <v>-9.12879999999998E-2</v>
      </c>
      <c r="AE302">
        <v>8.0000000002655703E-4</v>
      </c>
      <c r="AF302">
        <v>2.38350301279955E-3</v>
      </c>
      <c r="AG302">
        <v>-9.12879999999998E-2</v>
      </c>
      <c r="AH302">
        <v>0.70342656561748595</v>
      </c>
      <c r="AI302">
        <v>97.394257962057395</v>
      </c>
      <c r="AJ302">
        <v>89.805858710604895</v>
      </c>
      <c r="AK302">
        <v>0.70932934046677099</v>
      </c>
      <c r="AL302">
        <v>82.128600099911694</v>
      </c>
      <c r="AM302">
        <v>91.105989187829095</v>
      </c>
      <c r="AN302">
        <v>0.99999999724758903</v>
      </c>
    </row>
    <row r="303" spans="1:40" x14ac:dyDescent="0.3">
      <c r="A303" t="str">
        <f>"20200111150729270"</f>
        <v>20200111150729270</v>
      </c>
      <c r="B303" t="str">
        <f>"1578726449261535"</f>
        <v>1578726449261535</v>
      </c>
      <c r="C303" t="s">
        <v>40</v>
      </c>
      <c r="D303">
        <v>5.0067760000000003</v>
      </c>
      <c r="E303">
        <v>0.50892550000000003</v>
      </c>
      <c r="F303" t="s">
        <v>41</v>
      </c>
      <c r="G303">
        <v>-331.899</v>
      </c>
      <c r="H303">
        <v>1.0050220000000001</v>
      </c>
      <c r="I303">
        <v>367.1019</v>
      </c>
      <c r="J303">
        <v>-332.79500000000002</v>
      </c>
      <c r="K303">
        <v>1.1085050000000001</v>
      </c>
      <c r="L303">
        <v>367.10090000000002</v>
      </c>
      <c r="M303">
        <v>0.99992049999999999</v>
      </c>
      <c r="N303">
        <v>0</v>
      </c>
      <c r="O303">
        <v>4.1180009999999996E-3</v>
      </c>
      <c r="P303">
        <v>0.99188730000000003</v>
      </c>
      <c r="Q303">
        <v>0.1248216</v>
      </c>
      <c r="R303">
        <v>2.406879E-2</v>
      </c>
      <c r="S303">
        <v>3.0598139999999998</v>
      </c>
      <c r="T303">
        <v>-0.28008270000000002</v>
      </c>
      <c r="U303">
        <v>5.6762699999999998E-3</v>
      </c>
      <c r="V303">
        <v>-1.963604E-2</v>
      </c>
      <c r="W303">
        <v>0.13668559999999999</v>
      </c>
      <c r="X303">
        <v>0.99041990000000002</v>
      </c>
      <c r="Y303">
        <v>2.2366349999999998E-3</v>
      </c>
      <c r="Z303">
        <v>-4.7833609999999998E-4</v>
      </c>
      <c r="AA303">
        <v>0.99999740000000004</v>
      </c>
      <c r="AB303">
        <v>47</v>
      </c>
      <c r="AC303">
        <v>0.89600000000001501</v>
      </c>
      <c r="AD303">
        <v>-0.10348300000000001</v>
      </c>
      <c r="AE303">
        <v>9.9999999997635292E-4</v>
      </c>
      <c r="AF303">
        <v>2.65459001239193E-3</v>
      </c>
      <c r="AG303">
        <v>-0.10348300000000001</v>
      </c>
      <c r="AH303">
        <v>0.88420219613695294</v>
      </c>
      <c r="AI303">
        <v>96.675240217289598</v>
      </c>
      <c r="AJ303">
        <v>89.827984653576294</v>
      </c>
      <c r="AK303">
        <v>0.89024114811131005</v>
      </c>
      <c r="AL303">
        <v>82.143899137599803</v>
      </c>
      <c r="AM303">
        <v>91.135795882104503</v>
      </c>
      <c r="AN303">
        <v>1.0000000528151201</v>
      </c>
    </row>
    <row r="304" spans="1:40" x14ac:dyDescent="0.3">
      <c r="A304" t="str">
        <f>"20200111150729282"</f>
        <v>20200111150729282</v>
      </c>
      <c r="B304" t="str">
        <f>"1578726449271296"</f>
        <v>1578726449271296</v>
      </c>
      <c r="C304" t="s">
        <v>40</v>
      </c>
      <c r="D304">
        <v>4.6723210000000002</v>
      </c>
      <c r="E304">
        <v>0.50938679999999903</v>
      </c>
      <c r="F304" t="s">
        <v>41</v>
      </c>
      <c r="G304">
        <v>-331.88889999999998</v>
      </c>
      <c r="H304">
        <v>1.02593</v>
      </c>
      <c r="I304">
        <v>367.09960000000001</v>
      </c>
      <c r="J304">
        <v>-332.56319999999999</v>
      </c>
      <c r="K304">
        <v>1.1084879999999999</v>
      </c>
      <c r="L304">
        <v>367.10169999999999</v>
      </c>
      <c r="M304">
        <v>0.99992270000000005</v>
      </c>
      <c r="N304">
        <v>0</v>
      </c>
      <c r="O304">
        <v>3.7374280000000001E-3</v>
      </c>
      <c r="P304">
        <v>0.99187890000000001</v>
      </c>
      <c r="Q304">
        <v>0.124876399999999</v>
      </c>
      <c r="R304">
        <v>2.412688E-2</v>
      </c>
      <c r="S304">
        <v>3.0597840000000001</v>
      </c>
      <c r="T304">
        <v>-0.27912969999999998</v>
      </c>
      <c r="U304">
        <v>-3.112793E-3</v>
      </c>
      <c r="V304">
        <v>-2.0074769999999999E-2</v>
      </c>
      <c r="W304">
        <v>0.1366889</v>
      </c>
      <c r="X304">
        <v>0.99041060000000003</v>
      </c>
      <c r="Y304">
        <v>4.7198869999999999E-3</v>
      </c>
      <c r="Z304">
        <v>-5.5510559999999995E-4</v>
      </c>
      <c r="AA304">
        <v>0.99998869999999895</v>
      </c>
      <c r="AB304">
        <v>47</v>
      </c>
      <c r="AC304">
        <v>0.674300000000016</v>
      </c>
      <c r="AD304">
        <v>-8.2557999999999895E-2</v>
      </c>
      <c r="AE304">
        <v>-2.0999999999844398E-3</v>
      </c>
      <c r="AF304">
        <v>4.5520736959443102E-3</v>
      </c>
      <c r="AG304">
        <v>-8.2557999999999895E-2</v>
      </c>
      <c r="AH304">
        <v>0.66432900760617997</v>
      </c>
      <c r="AI304">
        <v>97.083821393482495</v>
      </c>
      <c r="AJ304">
        <v>89.607407585646698</v>
      </c>
      <c r="AK304">
        <v>0.66945468486369197</v>
      </c>
      <c r="AL304">
        <v>82.143707885623002</v>
      </c>
      <c r="AM304">
        <v>91.161177111070899</v>
      </c>
      <c r="AN304">
        <v>1.0000000041830599</v>
      </c>
    </row>
    <row r="305" spans="1:40" x14ac:dyDescent="0.3">
      <c r="A305" t="str">
        <f>"20200111150729292"</f>
        <v>20200111150729292</v>
      </c>
      <c r="B305" t="str">
        <f>"1578726449281056"</f>
        <v>1578726449281056</v>
      </c>
      <c r="C305" t="s">
        <v>40</v>
      </c>
      <c r="D305">
        <v>5.5776560000000002</v>
      </c>
      <c r="E305">
        <v>0.50881549999999998</v>
      </c>
      <c r="F305" t="s">
        <v>41</v>
      </c>
      <c r="G305">
        <v>-331.4717</v>
      </c>
      <c r="H305">
        <v>1.0086710000000001</v>
      </c>
      <c r="I305">
        <v>367.09899999999999</v>
      </c>
      <c r="J305">
        <v>-332.31939999999997</v>
      </c>
      <c r="K305">
        <v>1.108363</v>
      </c>
      <c r="L305">
        <v>367.10230000000001</v>
      </c>
      <c r="M305">
        <v>0.99992999999999999</v>
      </c>
      <c r="N305">
        <v>0</v>
      </c>
      <c r="O305">
        <v>3.3463479999999999E-3</v>
      </c>
      <c r="P305">
        <v>0.99182119999999996</v>
      </c>
      <c r="Q305">
        <v>0.1253543</v>
      </c>
      <c r="R305">
        <v>2.4033289999999999E-2</v>
      </c>
      <c r="S305">
        <v>3.0599980000000002</v>
      </c>
      <c r="T305">
        <v>-0.27992800000000001</v>
      </c>
      <c r="U305">
        <v>-6.9580079999999999E-3</v>
      </c>
      <c r="V305">
        <v>-2.0378489999999999E-2</v>
      </c>
      <c r="W305">
        <v>0.13666529999999999</v>
      </c>
      <c r="X305">
        <v>0.99040760000000005</v>
      </c>
      <c r="Y305">
        <v>5.5831120000000003E-3</v>
      </c>
      <c r="Z305">
        <v>-5.6034339999999996E-4</v>
      </c>
      <c r="AA305">
        <v>0.99998430000000005</v>
      </c>
      <c r="AB305">
        <v>47</v>
      </c>
      <c r="AC305">
        <v>0.84769999999997403</v>
      </c>
      <c r="AD305">
        <v>-9.96920000000001E-2</v>
      </c>
      <c r="AE305">
        <v>-3.30000000002428E-3</v>
      </c>
      <c r="AF305">
        <v>6.05314695124757E-3</v>
      </c>
      <c r="AG305">
        <v>-9.96920000000001E-2</v>
      </c>
      <c r="AH305">
        <v>0.836120463984519</v>
      </c>
      <c r="AI305">
        <v>96.799193170650696</v>
      </c>
      <c r="AJ305">
        <v>89.585210828918207</v>
      </c>
      <c r="AK305">
        <v>0.84206446650223898</v>
      </c>
      <c r="AL305">
        <v>82.145072452071503</v>
      </c>
      <c r="AM305">
        <v>91.178743718648803</v>
      </c>
      <c r="AN305">
        <v>0.99999995060826297</v>
      </c>
    </row>
    <row r="306" spans="1:40" x14ac:dyDescent="0.3">
      <c r="A306" t="str">
        <f>"20200111150729304"</f>
        <v>20200111150729304</v>
      </c>
      <c r="B306" t="str">
        <f>"1578726449301552"</f>
        <v>1578726449301552</v>
      </c>
      <c r="C306" t="s">
        <v>40</v>
      </c>
      <c r="D306">
        <v>4.7201909999999998</v>
      </c>
      <c r="E306">
        <v>0.50964100000000001</v>
      </c>
      <c r="F306" t="s">
        <v>41</v>
      </c>
      <c r="G306">
        <v>-331.45949999999999</v>
      </c>
      <c r="H306">
        <v>1.03308</v>
      </c>
      <c r="I306">
        <v>367.10149999999999</v>
      </c>
      <c r="J306">
        <v>-332.08589999999998</v>
      </c>
      <c r="K306">
        <v>1.1082350000000001</v>
      </c>
      <c r="L306">
        <v>367.10289999999998</v>
      </c>
      <c r="M306">
        <v>0.99993750000000003</v>
      </c>
      <c r="N306">
        <v>0</v>
      </c>
      <c r="O306">
        <v>2.9804779999999999E-3</v>
      </c>
      <c r="P306">
        <v>0.99174700000000005</v>
      </c>
      <c r="Q306">
        <v>0.1259141</v>
      </c>
      <c r="R306">
        <v>2.4169199999999998E-2</v>
      </c>
      <c r="S306">
        <v>3.058624</v>
      </c>
      <c r="T306">
        <v>-0.26792329999999998</v>
      </c>
      <c r="U306">
        <v>-2.380371E-3</v>
      </c>
      <c r="V306">
        <v>-2.088665E-2</v>
      </c>
      <c r="W306">
        <v>0.1366667</v>
      </c>
      <c r="X306">
        <v>0.99039690000000002</v>
      </c>
      <c r="Y306">
        <v>3.7331869999999998E-3</v>
      </c>
      <c r="Z306">
        <v>-4.2378780000000002E-4</v>
      </c>
      <c r="AA306">
        <v>0.99999300000000002</v>
      </c>
      <c r="AB306">
        <v>47</v>
      </c>
      <c r="AC306">
        <v>0.62639999999998897</v>
      </c>
      <c r="AD306">
        <v>-7.5155E-2</v>
      </c>
      <c r="AE306">
        <v>-1.39999999998963E-3</v>
      </c>
      <c r="AF306">
        <v>3.2207116239738902E-3</v>
      </c>
      <c r="AG306">
        <v>-7.5155E-2</v>
      </c>
      <c r="AH306">
        <v>0.61750410523719002</v>
      </c>
      <c r="AI306">
        <v>96.9391150257498</v>
      </c>
      <c r="AJ306">
        <v>89.701165533586504</v>
      </c>
      <c r="AK306">
        <v>0.62206910146152306</v>
      </c>
      <c r="AL306">
        <v>82.144992100107899</v>
      </c>
      <c r="AM306">
        <v>91.2081414289148</v>
      </c>
      <c r="AN306">
        <v>1.00000002928336</v>
      </c>
    </row>
    <row r="307" spans="1:40" x14ac:dyDescent="0.3">
      <c r="A307" t="str">
        <f>"20200111150729315"</f>
        <v>20200111150729315</v>
      </c>
      <c r="B307" t="str">
        <f>"1578726449311311"</f>
        <v>1578726449311311</v>
      </c>
      <c r="C307" t="s">
        <v>40</v>
      </c>
      <c r="D307">
        <v>6.4170819999999997</v>
      </c>
      <c r="E307">
        <v>0.5107718</v>
      </c>
      <c r="F307" t="s">
        <v>41</v>
      </c>
      <c r="G307">
        <v>-331.03949999999998</v>
      </c>
      <c r="H307">
        <v>1.0165599999999999</v>
      </c>
      <c r="I307">
        <v>367.09949999999998</v>
      </c>
      <c r="J307">
        <v>-331.8381</v>
      </c>
      <c r="K307">
        <v>1.1080859999999999</v>
      </c>
      <c r="L307">
        <v>367.1035</v>
      </c>
      <c r="M307">
        <v>0.9999458</v>
      </c>
      <c r="N307">
        <v>0</v>
      </c>
      <c r="O307">
        <v>2.603714E-3</v>
      </c>
      <c r="P307">
        <v>0.99166880000000002</v>
      </c>
      <c r="Q307">
        <v>0.12651609999999999</v>
      </c>
      <c r="R307">
        <v>2.422852E-2</v>
      </c>
      <c r="S307">
        <v>3.0592039999999998</v>
      </c>
      <c r="T307">
        <v>-0.268200299999999</v>
      </c>
      <c r="U307">
        <v>-8.9111329999999999E-3</v>
      </c>
      <c r="V307">
        <v>-2.1330869999999998E-2</v>
      </c>
      <c r="W307">
        <v>0.13656470000000001</v>
      </c>
      <c r="X307">
        <v>0.99040139999999999</v>
      </c>
      <c r="Y307">
        <v>5.4856779999999999E-3</v>
      </c>
      <c r="Z307">
        <v>-4.678455E-4</v>
      </c>
      <c r="AA307">
        <v>0.99998489999999995</v>
      </c>
      <c r="AB307">
        <v>48</v>
      </c>
      <c r="AC307">
        <v>0.79860000000002096</v>
      </c>
      <c r="AD307">
        <v>-9.1525999999999996E-2</v>
      </c>
      <c r="AE307">
        <v>-4.0000000000190898E-3</v>
      </c>
      <c r="AF307">
        <v>6.00060211498896E-3</v>
      </c>
      <c r="AG307">
        <v>-9.1525999999999996E-2</v>
      </c>
      <c r="AH307">
        <v>0.78823368109771197</v>
      </c>
      <c r="AI307">
        <v>96.623066787380594</v>
      </c>
      <c r="AJ307">
        <v>89.563831713166906</v>
      </c>
      <c r="AK307">
        <v>0.79355236243022498</v>
      </c>
      <c r="AL307">
        <v>82.150890783948995</v>
      </c>
      <c r="AM307">
        <v>91.233822874055306</v>
      </c>
      <c r="AN307">
        <v>0.99999992821149997</v>
      </c>
    </row>
    <row r="308" spans="1:40" x14ac:dyDescent="0.3">
      <c r="A308" t="str">
        <f>"20200111150729328"</f>
        <v>20200111150729328</v>
      </c>
      <c r="B308" t="str">
        <f>"1578726449321072"</f>
        <v>1578726449321072</v>
      </c>
      <c r="C308" t="s">
        <v>40</v>
      </c>
      <c r="D308">
        <v>4.7545070000000003</v>
      </c>
      <c r="E308">
        <v>0.51098859999999902</v>
      </c>
      <c r="F308" t="s">
        <v>41</v>
      </c>
      <c r="G308">
        <v>-331.02659999999997</v>
      </c>
      <c r="H308">
        <v>1.0392980000000001</v>
      </c>
      <c r="I308">
        <v>367.0985</v>
      </c>
      <c r="J308">
        <v>-331.5677</v>
      </c>
      <c r="K308">
        <v>1.107947</v>
      </c>
      <c r="L308">
        <v>367.10399999999998</v>
      </c>
      <c r="M308">
        <v>0.99995429999999996</v>
      </c>
      <c r="N308">
        <v>0</v>
      </c>
      <c r="O308">
        <v>2.194054E-3</v>
      </c>
      <c r="P308">
        <v>0.99159059999999999</v>
      </c>
      <c r="Q308">
        <v>0.1271079</v>
      </c>
      <c r="R308">
        <v>2.4326489999999999E-2</v>
      </c>
      <c r="S308">
        <v>3.058716</v>
      </c>
      <c r="T308">
        <v>-0.2595674</v>
      </c>
      <c r="U308">
        <v>-1.7700199999999999E-2</v>
      </c>
      <c r="V308">
        <v>-2.1848059999999999E-2</v>
      </c>
      <c r="W308">
        <v>0.13638749999999999</v>
      </c>
      <c r="X308">
        <v>0.99041460000000003</v>
      </c>
      <c r="Y308">
        <v>7.9443689999999997E-3</v>
      </c>
      <c r="Z308">
        <v>-5.2234160000000005E-4</v>
      </c>
      <c r="AA308">
        <v>0.99996830000000003</v>
      </c>
      <c r="AB308">
        <v>48</v>
      </c>
      <c r="AC308">
        <v>0.541100000000028</v>
      </c>
      <c r="AD308">
        <v>-6.8648999999999905E-2</v>
      </c>
      <c r="AE308">
        <v>-5.5000000000404699E-3</v>
      </c>
      <c r="AF308">
        <v>6.58131991999373E-3</v>
      </c>
      <c r="AG308">
        <v>-6.8648999999999905E-2</v>
      </c>
      <c r="AH308">
        <v>0.53251622478305505</v>
      </c>
      <c r="AI308">
        <v>97.345181248448299</v>
      </c>
      <c r="AJ308">
        <v>89.291922686248896</v>
      </c>
      <c r="AK308">
        <v>0.53696324700121401</v>
      </c>
      <c r="AL308">
        <v>82.161139929433403</v>
      </c>
      <c r="AM308">
        <v>91.263711819708206</v>
      </c>
      <c r="AN308">
        <v>0.99999998388758604</v>
      </c>
    </row>
    <row r="309" spans="1:40" x14ac:dyDescent="0.3">
      <c r="A309" t="str">
        <f>"20200111150729344"</f>
        <v>20200111150729344</v>
      </c>
      <c r="B309" t="str">
        <f>"1578726449341567"</f>
        <v>1578726449341567</v>
      </c>
      <c r="C309" t="s">
        <v>40</v>
      </c>
      <c r="D309">
        <v>4.6827239999999897</v>
      </c>
      <c r="E309">
        <v>0.51188219999999995</v>
      </c>
      <c r="F309" t="s">
        <v>41</v>
      </c>
      <c r="G309">
        <v>-330.60379999999998</v>
      </c>
      <c r="H309">
        <v>1.026985</v>
      </c>
      <c r="I309">
        <v>367.0976</v>
      </c>
      <c r="J309">
        <v>-331.22840000000002</v>
      </c>
      <c r="K309">
        <v>1.1077950000000001</v>
      </c>
      <c r="L309">
        <v>367.1046</v>
      </c>
      <c r="M309">
        <v>0.99996350000000001</v>
      </c>
      <c r="N309">
        <v>0</v>
      </c>
      <c r="O309">
        <v>1.682919E-3</v>
      </c>
      <c r="P309">
        <v>0.99146489999999998</v>
      </c>
      <c r="Q309">
        <v>0.12800300000000001</v>
      </c>
      <c r="R309">
        <v>2.4743339999999999E-2</v>
      </c>
      <c r="S309">
        <v>3.0588679999999999</v>
      </c>
      <c r="T309">
        <v>-0.25711149999999999</v>
      </c>
      <c r="U309">
        <v>-1.9470210000000002E-2</v>
      </c>
      <c r="V309">
        <v>-2.278608E-2</v>
      </c>
      <c r="W309">
        <v>0.13635120000000001</v>
      </c>
      <c r="X309">
        <v>0.99039849999999996</v>
      </c>
      <c r="Y309">
        <v>8.0137819999999901E-3</v>
      </c>
      <c r="Z309">
        <v>-4.774124E-4</v>
      </c>
      <c r="AA309">
        <v>0.99996779999999996</v>
      </c>
      <c r="AB309">
        <v>48</v>
      </c>
      <c r="AC309">
        <v>0.62460000000004301</v>
      </c>
      <c r="AD309">
        <v>-8.0810000000000007E-2</v>
      </c>
      <c r="AE309">
        <v>-7.0000000000049996E-3</v>
      </c>
      <c r="AF309">
        <v>7.9186456047080495E-3</v>
      </c>
      <c r="AG309">
        <v>-8.0810000000000007E-2</v>
      </c>
      <c r="AH309">
        <v>0.61430583762094704</v>
      </c>
      <c r="AI309">
        <v>97.493434618957295</v>
      </c>
      <c r="AJ309">
        <v>89.261475607466494</v>
      </c>
      <c r="AK309">
        <v>0.61964879018956098</v>
      </c>
      <c r="AL309">
        <v>82.163239679685702</v>
      </c>
      <c r="AM309">
        <v>91.317970430772505</v>
      </c>
      <c r="AN309">
        <v>1.0000000219927201</v>
      </c>
    </row>
    <row r="310" spans="1:40" x14ac:dyDescent="0.3">
      <c r="A310" t="str">
        <f>"20200111150729356"</f>
        <v>20200111150729356</v>
      </c>
      <c r="B310" t="str">
        <f>"1578726449351328"</f>
        <v>1578726449351328</v>
      </c>
      <c r="C310" t="s">
        <v>40</v>
      </c>
      <c r="D310">
        <v>5.5538379999999998</v>
      </c>
      <c r="E310">
        <v>0.51188219999999995</v>
      </c>
      <c r="F310" t="s">
        <v>41</v>
      </c>
      <c r="G310">
        <v>-330.17450000000002</v>
      </c>
      <c r="H310">
        <v>1.0196369999999999</v>
      </c>
      <c r="I310">
        <v>367.09559999999999</v>
      </c>
      <c r="J310">
        <v>-330.9572</v>
      </c>
      <c r="K310">
        <v>1.1076969999999999</v>
      </c>
      <c r="L310">
        <v>367.10500000000002</v>
      </c>
      <c r="M310">
        <v>0.99996969999999996</v>
      </c>
      <c r="N310">
        <v>0</v>
      </c>
      <c r="O310">
        <v>1.2771659999999999E-3</v>
      </c>
      <c r="P310">
        <v>0.99142509999999995</v>
      </c>
      <c r="Q310">
        <v>0.12830339999999901</v>
      </c>
      <c r="R310">
        <v>2.4793539999999999E-2</v>
      </c>
      <c r="S310">
        <v>3.0595089999999998</v>
      </c>
      <c r="T310">
        <v>-0.25601800000000002</v>
      </c>
      <c r="U310">
        <v>-2.5695800000000001E-2</v>
      </c>
      <c r="V310">
        <v>-2.3247759999999999E-2</v>
      </c>
      <c r="W310">
        <v>0.13597089999999901</v>
      </c>
      <c r="X310">
        <v>0.99043999999999999</v>
      </c>
      <c r="Y310">
        <v>9.6373799999999992E-3</v>
      </c>
      <c r="Z310">
        <v>-5.0920230000000004E-4</v>
      </c>
      <c r="AA310">
        <v>0.99995339999999999</v>
      </c>
      <c r="AB310">
        <v>48</v>
      </c>
      <c r="AC310">
        <v>0.78269999999997697</v>
      </c>
      <c r="AD310">
        <v>-8.8059999999999805E-2</v>
      </c>
      <c r="AE310">
        <v>-9.4000000000278305E-3</v>
      </c>
      <c r="AF310">
        <v>1.02696842397021E-2</v>
      </c>
      <c r="AG310">
        <v>-8.8059999999999805E-2</v>
      </c>
      <c r="AH310">
        <v>0.77290529544623199</v>
      </c>
      <c r="AI310">
        <v>96.499326201020395</v>
      </c>
      <c r="AJ310">
        <v>89.238748985697001</v>
      </c>
      <c r="AK310">
        <v>0.77797340940626702</v>
      </c>
      <c r="AL310">
        <v>82.1852336863044</v>
      </c>
      <c r="AM310">
        <v>91.344608450772995</v>
      </c>
      <c r="AN310">
        <v>0.99999996879591302</v>
      </c>
    </row>
    <row r="311" spans="1:40" x14ac:dyDescent="0.3">
      <c r="A311" t="str">
        <f>"20200111150729367"</f>
        <v>20200111150729367</v>
      </c>
      <c r="B311" t="str">
        <f>"1578726449361087"</f>
        <v>1578726449361087</v>
      </c>
      <c r="C311" t="s">
        <v>40</v>
      </c>
      <c r="D311">
        <v>4.2891349999999999</v>
      </c>
      <c r="E311">
        <v>0.55294849999999995</v>
      </c>
      <c r="F311" t="s">
        <v>41</v>
      </c>
      <c r="G311">
        <v>-330.1619</v>
      </c>
      <c r="H311">
        <v>1.0414219999999901</v>
      </c>
      <c r="I311">
        <v>367.09820000000002</v>
      </c>
      <c r="J311">
        <v>-330.71190000000001</v>
      </c>
      <c r="K311">
        <v>1.1076379999999999</v>
      </c>
      <c r="L311">
        <v>367.1053</v>
      </c>
      <c r="M311">
        <v>0.99997389999999997</v>
      </c>
      <c r="N311">
        <v>0</v>
      </c>
      <c r="O311">
        <v>9.1792049999999997E-4</v>
      </c>
      <c r="P311">
        <v>0.99137909999999996</v>
      </c>
      <c r="Q311">
        <v>0.1286264</v>
      </c>
      <c r="R311">
        <v>2.4961540000000001E-2</v>
      </c>
      <c r="S311">
        <v>3.0595699999999999</v>
      </c>
      <c r="T311">
        <v>-0.25504399999999999</v>
      </c>
      <c r="U311">
        <v>-2.5634770000000001E-2</v>
      </c>
      <c r="V311">
        <v>-2.377493E-2</v>
      </c>
      <c r="W311">
        <v>0.13579469999999999</v>
      </c>
      <c r="X311">
        <v>0.99045170000000005</v>
      </c>
      <c r="Y311">
        <v>9.2608629999999994E-3</v>
      </c>
      <c r="Z311">
        <v>-4.617008E-4</v>
      </c>
      <c r="AA311">
        <v>0.99995699999999998</v>
      </c>
      <c r="AB311">
        <v>48</v>
      </c>
      <c r="AC311">
        <v>0.55000000000001104</v>
      </c>
      <c r="AD311">
        <v>-6.6215999999999997E-2</v>
      </c>
      <c r="AE311">
        <v>-7.0999999999799002E-3</v>
      </c>
      <c r="AF311">
        <v>7.49623091634185E-3</v>
      </c>
      <c r="AG311">
        <v>-6.6215999999999997E-2</v>
      </c>
      <c r="AH311">
        <v>0.54213661049588502</v>
      </c>
      <c r="AI311">
        <v>96.962897093227795</v>
      </c>
      <c r="AJ311">
        <v>89.207810326413494</v>
      </c>
      <c r="AK311">
        <v>0.54621685855886704</v>
      </c>
      <c r="AL311">
        <v>82.195424031596005</v>
      </c>
      <c r="AM311">
        <v>91.375071196946706</v>
      </c>
      <c r="AN311">
        <v>1.00000000893874</v>
      </c>
    </row>
    <row r="312" spans="1:40" x14ac:dyDescent="0.3">
      <c r="A312" t="str">
        <f>"20200111150729379"</f>
        <v>20200111150729379</v>
      </c>
      <c r="B312" t="str">
        <f>"1578726449371824"</f>
        <v>1578726449371824</v>
      </c>
      <c r="C312" t="s">
        <v>40</v>
      </c>
      <c r="D312">
        <v>4.6988059999999896</v>
      </c>
      <c r="E312">
        <v>0.53972719999999996</v>
      </c>
      <c r="F312" t="s">
        <v>49</v>
      </c>
      <c r="G312">
        <v>0</v>
      </c>
      <c r="H312">
        <v>0</v>
      </c>
      <c r="I312">
        <v>0</v>
      </c>
      <c r="J312">
        <v>-330.45</v>
      </c>
      <c r="K312">
        <v>1.1075889999999999</v>
      </c>
      <c r="L312">
        <v>367.10550000000001</v>
      </c>
      <c r="M312">
        <v>0.99997740000000002</v>
      </c>
      <c r="N312">
        <v>0</v>
      </c>
      <c r="O312">
        <v>5.3790000000000001E-4</v>
      </c>
      <c r="P312">
        <v>0.99130949999999995</v>
      </c>
      <c r="Q312">
        <v>0.12910669999999999</v>
      </c>
      <c r="R312">
        <v>2.52386E-2</v>
      </c>
      <c r="S312">
        <v>3.0165099999999998</v>
      </c>
      <c r="T312">
        <v>0.14156079999999999</v>
      </c>
      <c r="U312">
        <v>-0.34954829999999998</v>
      </c>
      <c r="V312">
        <v>-2.4429989999999999E-2</v>
      </c>
      <c r="W312">
        <v>0.13579279999999999</v>
      </c>
      <c r="X312">
        <v>0.99043599999999998</v>
      </c>
      <c r="Y312">
        <v>0.11551640000000001</v>
      </c>
      <c r="Z312">
        <v>2.7251520000000002E-3</v>
      </c>
      <c r="AA312">
        <v>0.99330180000000001</v>
      </c>
      <c r="AB312">
        <v>48</v>
      </c>
      <c r="AC312">
        <v>3.0165099999999998</v>
      </c>
      <c r="AD312">
        <v>0.14156079999999999</v>
      </c>
      <c r="AE312">
        <v>-0.34954829999999998</v>
      </c>
      <c r="AF312">
        <v>0.35040938502949098</v>
      </c>
      <c r="AG312">
        <v>0.14156079999999999</v>
      </c>
      <c r="AH312">
        <v>3.00978092288265</v>
      </c>
      <c r="AI312">
        <v>87.325198531629596</v>
      </c>
      <c r="AJ312">
        <v>83.359317747526802</v>
      </c>
      <c r="AK312">
        <v>3.03341513824958</v>
      </c>
      <c r="AL312">
        <v>82.195533758878199</v>
      </c>
      <c r="AM312">
        <v>91.412965153566006</v>
      </c>
      <c r="AN312">
        <v>0.99999998951961999</v>
      </c>
    </row>
    <row r="313" spans="1:40" x14ac:dyDescent="0.3">
      <c r="A313" t="str">
        <f>"20200111150729391"</f>
        <v>20200111150729391</v>
      </c>
      <c r="B313" t="str">
        <f>"1578726449381583"</f>
        <v>1578726449381583</v>
      </c>
      <c r="C313" t="s">
        <v>40</v>
      </c>
      <c r="D313">
        <v>4.2716479999999999</v>
      </c>
      <c r="E313">
        <v>0.53655249999999999</v>
      </c>
      <c r="F313" t="s">
        <v>42</v>
      </c>
      <c r="G313">
        <v>-168.84350000000001</v>
      </c>
      <c r="H313">
        <v>11.716989999999999</v>
      </c>
      <c r="I313">
        <v>354.05889999999999</v>
      </c>
      <c r="J313">
        <v>-330.20159999999998</v>
      </c>
      <c r="K313">
        <v>1.1075900000000001</v>
      </c>
      <c r="L313">
        <v>367.10559999999998</v>
      </c>
      <c r="M313">
        <v>0.99997919999999996</v>
      </c>
      <c r="N313">
        <v>0</v>
      </c>
      <c r="O313">
        <v>1.9685819999999999E-4</v>
      </c>
      <c r="P313">
        <v>0.9912744</v>
      </c>
      <c r="Q313">
        <v>0.1293629</v>
      </c>
      <c r="R313">
        <v>2.5303369999999999E-2</v>
      </c>
      <c r="S313">
        <v>3.0067439999999999</v>
      </c>
      <c r="T313">
        <v>0.19739319999999999</v>
      </c>
      <c r="U313">
        <v>-0.2427368</v>
      </c>
      <c r="V313">
        <v>-2.4828050000000001E-2</v>
      </c>
      <c r="W313">
        <v>0.13581170000000001</v>
      </c>
      <c r="X313">
        <v>0.99042350000000001</v>
      </c>
      <c r="Y313">
        <v>8.0492640000000004E-2</v>
      </c>
      <c r="Z313">
        <v>2.6479519999999999E-3</v>
      </c>
      <c r="AA313">
        <v>0.99675170000000002</v>
      </c>
      <c r="AB313">
        <v>49</v>
      </c>
      <c r="AC313">
        <v>161.35809999999901</v>
      </c>
      <c r="AD313">
        <v>10.609400000000001</v>
      </c>
      <c r="AE313">
        <v>-13.0466999999999</v>
      </c>
      <c r="AF313">
        <v>13.022532404014299</v>
      </c>
      <c r="AG313">
        <v>10.609400000000001</v>
      </c>
      <c r="AH313">
        <v>160.66545932062499</v>
      </c>
      <c r="AI313">
        <v>86.234323091082004</v>
      </c>
      <c r="AJ313">
        <v>85.366094277709905</v>
      </c>
      <c r="AK313">
        <v>161.54112645788001</v>
      </c>
      <c r="AL313">
        <v>82.194440665280993</v>
      </c>
      <c r="AM313">
        <v>91.435996430505298</v>
      </c>
      <c r="AN313">
        <v>0.99999997963797105</v>
      </c>
    </row>
    <row r="314" spans="1:40" x14ac:dyDescent="0.3">
      <c r="A314" t="str">
        <f>"20200111150729402"</f>
        <v>20200111150729402</v>
      </c>
      <c r="B314" t="str">
        <f>"1578726449391344"</f>
        <v>1578726449391344</v>
      </c>
      <c r="C314" t="s">
        <v>40</v>
      </c>
      <c r="D314">
        <v>4.7308839999999996</v>
      </c>
      <c r="E314">
        <v>0.53254000000000001</v>
      </c>
      <c r="F314" t="s">
        <v>42</v>
      </c>
      <c r="G314">
        <v>-168.84350000000001</v>
      </c>
      <c r="H314">
        <v>12.39161</v>
      </c>
      <c r="I314">
        <v>355.45760000000001</v>
      </c>
      <c r="J314">
        <v>-329.9622</v>
      </c>
      <c r="K314">
        <v>1.107599</v>
      </c>
      <c r="L314">
        <v>367.10550000000001</v>
      </c>
      <c r="M314">
        <v>0.99998039999999999</v>
      </c>
      <c r="N314">
        <v>0</v>
      </c>
      <c r="O314">
        <v>-1.2716520000000001E-4</v>
      </c>
      <c r="P314">
        <v>0.99122779999999999</v>
      </c>
      <c r="Q314">
        <v>0.12967909999999999</v>
      </c>
      <c r="R314">
        <v>2.551227E-2</v>
      </c>
      <c r="S314">
        <v>3.0045470000000001</v>
      </c>
      <c r="T314">
        <v>0.2101141</v>
      </c>
      <c r="U314">
        <v>-0.21688840000000001</v>
      </c>
      <c r="V314">
        <v>-2.535368E-2</v>
      </c>
      <c r="W314">
        <v>0.13594629999999999</v>
      </c>
      <c r="X314">
        <v>0.99039169999999999</v>
      </c>
      <c r="Y314">
        <v>7.1698639999999994E-2</v>
      </c>
      <c r="Z314">
        <v>2.4918459999999998E-3</v>
      </c>
      <c r="AA314">
        <v>0.99742319999999995</v>
      </c>
      <c r="AB314">
        <v>49</v>
      </c>
      <c r="AC314">
        <v>161.11869999999999</v>
      </c>
      <c r="AD314">
        <v>11.284011</v>
      </c>
      <c r="AE314">
        <v>-11.6478999999999</v>
      </c>
      <c r="AF314">
        <v>11.570950891920599</v>
      </c>
      <c r="AG314">
        <v>11.284011</v>
      </c>
      <c r="AH314">
        <v>160.337818947351</v>
      </c>
      <c r="AI314">
        <v>85.9847698778309</v>
      </c>
      <c r="AJ314">
        <v>85.872344147955502</v>
      </c>
      <c r="AK314">
        <v>161.150339725316</v>
      </c>
      <c r="AL314">
        <v>82.186656323362499</v>
      </c>
      <c r="AM314">
        <v>91.4664315688144</v>
      </c>
      <c r="AN314">
        <v>0.99999996250106005</v>
      </c>
    </row>
    <row r="315" spans="1:40" x14ac:dyDescent="0.3">
      <c r="A315" t="str">
        <f>"20200111150729414"</f>
        <v>20200111150729414</v>
      </c>
      <c r="B315" t="str">
        <f>"1578726449411839"</f>
        <v>1578726449411839</v>
      </c>
      <c r="C315" t="s">
        <v>40</v>
      </c>
      <c r="D315">
        <v>4.7416589999999896</v>
      </c>
      <c r="E315">
        <v>0.53126759999999995</v>
      </c>
      <c r="F315" t="s">
        <v>42</v>
      </c>
      <c r="G315">
        <v>-168.84350000000001</v>
      </c>
      <c r="H315">
        <v>12.16882</v>
      </c>
      <c r="I315">
        <v>357.21210000000002</v>
      </c>
      <c r="J315">
        <v>-329.68830000000003</v>
      </c>
      <c r="K315">
        <v>1.107645</v>
      </c>
      <c r="L315">
        <v>367.10539999999997</v>
      </c>
      <c r="M315">
        <v>0.9999806</v>
      </c>
      <c r="N315">
        <v>0</v>
      </c>
      <c r="O315">
        <v>-4.8214900000000002E-4</v>
      </c>
      <c r="P315">
        <v>0.99118980000000001</v>
      </c>
      <c r="Q315">
        <v>0.12999769999999999</v>
      </c>
      <c r="R315">
        <v>2.5369599999999999E-2</v>
      </c>
      <c r="S315">
        <v>3.0043030000000002</v>
      </c>
      <c r="T315">
        <v>0.20625479999999999</v>
      </c>
      <c r="U315">
        <v>-0.1844788</v>
      </c>
      <c r="V315">
        <v>-2.55558E-2</v>
      </c>
      <c r="W315">
        <v>0.13621469999999999</v>
      </c>
      <c r="X315">
        <v>0.9903497</v>
      </c>
      <c r="Y315">
        <v>6.0667020000000002E-2</v>
      </c>
      <c r="Z315">
        <v>2.0450609999999999E-3</v>
      </c>
      <c r="AA315">
        <v>0.99815600000000004</v>
      </c>
      <c r="AB315">
        <v>49</v>
      </c>
      <c r="AC315">
        <v>160.84479999999999</v>
      </c>
      <c r="AD315">
        <v>11.061175</v>
      </c>
      <c r="AE315">
        <v>-9.8932999999999502</v>
      </c>
      <c r="AF315">
        <v>9.7697173034145894</v>
      </c>
      <c r="AG315">
        <v>11.061175</v>
      </c>
      <c r="AH315">
        <v>160.09528106460999</v>
      </c>
      <c r="AI315">
        <v>86.054962409193607</v>
      </c>
      <c r="AJ315">
        <v>86.507890398432593</v>
      </c>
      <c r="AK315">
        <v>160.774052594708</v>
      </c>
      <c r="AL315">
        <v>82.171134318916302</v>
      </c>
      <c r="AM315">
        <v>91.478179480341794</v>
      </c>
      <c r="AN315">
        <v>1.0000000358498999</v>
      </c>
    </row>
    <row r="316" spans="1:40" x14ac:dyDescent="0.3">
      <c r="A316" t="str">
        <f>"20200111150729428"</f>
        <v>20200111150729428</v>
      </c>
      <c r="B316" t="str">
        <f>"1578726449421599"</f>
        <v>1578726449421599</v>
      </c>
      <c r="C316" t="s">
        <v>40</v>
      </c>
      <c r="D316">
        <v>4.3197570000000001</v>
      </c>
      <c r="E316">
        <v>0.53126759999999995</v>
      </c>
      <c r="F316" t="s">
        <v>42</v>
      </c>
      <c r="G316">
        <v>-158.19499999999999</v>
      </c>
      <c r="H316">
        <v>16.524260000000002</v>
      </c>
      <c r="I316">
        <v>357.13029999999998</v>
      </c>
      <c r="J316">
        <v>-329.40499999999997</v>
      </c>
      <c r="K316">
        <v>1.1076999999999999</v>
      </c>
      <c r="L316">
        <v>367.10520000000002</v>
      </c>
      <c r="M316">
        <v>0.99998019999999999</v>
      </c>
      <c r="N316">
        <v>0</v>
      </c>
      <c r="O316">
        <v>-8.4107270000000002E-4</v>
      </c>
      <c r="P316">
        <v>0.99116649999999995</v>
      </c>
      <c r="Q316">
        <v>0.13020519999999999</v>
      </c>
      <c r="R316">
        <v>2.5212539999999999E-2</v>
      </c>
      <c r="S316">
        <v>2.995819</v>
      </c>
      <c r="T316">
        <v>0.26931440000000001</v>
      </c>
      <c r="U316">
        <v>-0.17425539999999901</v>
      </c>
      <c r="V316">
        <v>-2.574862E-2</v>
      </c>
      <c r="W316">
        <v>0.13643859999999999</v>
      </c>
      <c r="X316">
        <v>0.99031380000000002</v>
      </c>
      <c r="Y316">
        <v>5.700264E-2</v>
      </c>
      <c r="Z316">
        <v>2.4794790000000001E-3</v>
      </c>
      <c r="AA316">
        <v>0.99837089999999995</v>
      </c>
      <c r="AB316">
        <v>49</v>
      </c>
      <c r="AC316">
        <v>171.20999999999901</v>
      </c>
      <c r="AD316">
        <v>15.41656</v>
      </c>
      <c r="AE316">
        <v>-9.9749000000000407</v>
      </c>
      <c r="AF316">
        <v>9.7520906111106598</v>
      </c>
      <c r="AG316">
        <v>15.41656</v>
      </c>
      <c r="AH316">
        <v>169.84586817018999</v>
      </c>
      <c r="AI316">
        <v>84.822073771875793</v>
      </c>
      <c r="AJ316">
        <v>86.713839269426799</v>
      </c>
      <c r="AK316">
        <v>170.82269324655499</v>
      </c>
      <c r="AL316">
        <v>82.158184241903399</v>
      </c>
      <c r="AM316">
        <v>91.489381391798403</v>
      </c>
      <c r="AN316">
        <v>0.99999995273615105</v>
      </c>
    </row>
    <row r="317" spans="1:40" x14ac:dyDescent="0.3">
      <c r="A317" t="str">
        <f>"20200111150729445"</f>
        <v>20200111150729445</v>
      </c>
      <c r="B317" t="str">
        <f>"1578726449441120"</f>
        <v>1578726449441120</v>
      </c>
      <c r="C317" t="s">
        <v>40</v>
      </c>
      <c r="D317">
        <v>6.4855489999999998</v>
      </c>
      <c r="E317">
        <v>0.50485749999999996</v>
      </c>
      <c r="F317" t="s">
        <v>42</v>
      </c>
      <c r="G317">
        <v>-158.19499999999999</v>
      </c>
      <c r="H317">
        <v>16.535729999999901</v>
      </c>
      <c r="I317">
        <v>357.12020000000001</v>
      </c>
      <c r="J317">
        <v>-329.0335</v>
      </c>
      <c r="K317">
        <v>1.107785</v>
      </c>
      <c r="L317">
        <v>367.10469999999998</v>
      </c>
      <c r="M317">
        <v>0.99997930000000002</v>
      </c>
      <c r="N317">
        <v>0</v>
      </c>
      <c r="O317">
        <v>-1.2988380000000001E-3</v>
      </c>
      <c r="P317">
        <v>0.99113070000000003</v>
      </c>
      <c r="Q317">
        <v>0.13058539999999999</v>
      </c>
      <c r="R317">
        <v>2.4658869999999999E-2</v>
      </c>
      <c r="S317">
        <v>2.9957579999999999</v>
      </c>
      <c r="T317">
        <v>0.26995429999999998</v>
      </c>
      <c r="U317">
        <v>-0.17471310000000001</v>
      </c>
      <c r="V317">
        <v>-2.5643550000000001E-2</v>
      </c>
      <c r="W317">
        <v>0.13690050000000001</v>
      </c>
      <c r="X317">
        <v>0.99025289999999999</v>
      </c>
      <c r="Y317">
        <v>5.6700830000000001E-2</v>
      </c>
      <c r="Z317">
        <v>2.4306950000000001E-3</v>
      </c>
      <c r="AA317">
        <v>0.99838819999999995</v>
      </c>
      <c r="AB317">
        <v>49</v>
      </c>
      <c r="AC317">
        <v>170.83850000000001</v>
      </c>
      <c r="AD317">
        <v>15.4279449999999</v>
      </c>
      <c r="AE317">
        <v>-9.9844999999999597</v>
      </c>
      <c r="AF317">
        <v>9.6838886009896008</v>
      </c>
      <c r="AG317">
        <v>15.4279449999999</v>
      </c>
      <c r="AH317">
        <v>169.47390371219001</v>
      </c>
      <c r="AI317">
        <v>84.806878381610304</v>
      </c>
      <c r="AJ317">
        <v>86.729624785918105</v>
      </c>
      <c r="AK317">
        <v>170.45000212616</v>
      </c>
      <c r="AL317">
        <v>82.131469585553702</v>
      </c>
      <c r="AM317">
        <v>91.483397714106601</v>
      </c>
      <c r="AN317">
        <v>1.0000000722576201</v>
      </c>
    </row>
    <row r="318" spans="1:40" x14ac:dyDescent="0.3">
      <c r="A318" t="str">
        <f>"20200111150729457"</f>
        <v>20200111150729457</v>
      </c>
      <c r="B318" t="str">
        <f>"1578726449451856"</f>
        <v>1578726449451856</v>
      </c>
      <c r="C318" t="s">
        <v>40</v>
      </c>
      <c r="D318">
        <v>4.7464820000000003</v>
      </c>
      <c r="E318">
        <v>0.51024910000000001</v>
      </c>
      <c r="F318" t="s">
        <v>41</v>
      </c>
      <c r="G318">
        <v>-328.00099999999998</v>
      </c>
      <c r="H318">
        <v>1.00806</v>
      </c>
      <c r="I318">
        <v>367.1148</v>
      </c>
      <c r="J318">
        <v>-328.7473</v>
      </c>
      <c r="K318">
        <v>1.1078509999999999</v>
      </c>
      <c r="L318">
        <v>367.10419999999999</v>
      </c>
      <c r="M318">
        <v>0.99997820000000004</v>
      </c>
      <c r="N318">
        <v>0</v>
      </c>
      <c r="O318">
        <v>-1.6401569999999999E-3</v>
      </c>
      <c r="P318">
        <v>0.99114579999999997</v>
      </c>
      <c r="Q318">
        <v>0.13058689999999901</v>
      </c>
      <c r="R318">
        <v>2.4029849999999998E-2</v>
      </c>
      <c r="S318">
        <v>3.0651549999999999</v>
      </c>
      <c r="T318">
        <v>-0.29610510000000001</v>
      </c>
      <c r="U318">
        <v>3.0120850000000001E-2</v>
      </c>
      <c r="V318">
        <v>-2.5352380000000001E-2</v>
      </c>
      <c r="W318">
        <v>0.136987</v>
      </c>
      <c r="X318">
        <v>0.99024840000000003</v>
      </c>
      <c r="Y318">
        <v>-1.1405759999999999E-2</v>
      </c>
      <c r="Z318">
        <v>7.0770329999999995E-4</v>
      </c>
      <c r="AA318">
        <v>0.99993469999999995</v>
      </c>
      <c r="AB318">
        <v>49</v>
      </c>
      <c r="AC318">
        <v>0.74630000000001895</v>
      </c>
      <c r="AD318">
        <v>-9.9790999999999894E-2</v>
      </c>
      <c r="AE318">
        <v>1.06000000000108E-2</v>
      </c>
      <c r="AF318">
        <v>-1.1616406070833101E-2</v>
      </c>
      <c r="AG318">
        <v>-9.9790999999999894E-2</v>
      </c>
      <c r="AH318">
        <v>0.73317542904787603</v>
      </c>
      <c r="AI318">
        <v>97.749822020270202</v>
      </c>
      <c r="AJ318">
        <v>90.9077163935778</v>
      </c>
      <c r="AK318">
        <v>0.74002661731220198</v>
      </c>
      <c r="AL318">
        <v>82.126466089542802</v>
      </c>
      <c r="AM318">
        <v>91.466568516418803</v>
      </c>
      <c r="AN318">
        <v>1.00000003752161</v>
      </c>
    </row>
    <row r="319" spans="1:40" x14ac:dyDescent="0.3">
      <c r="A319" t="str">
        <f>"20200111150729470"</f>
        <v>20200111150729470</v>
      </c>
      <c r="B319" t="str">
        <f>"1578726449461616"</f>
        <v>1578726449461616</v>
      </c>
      <c r="C319" t="s">
        <v>40</v>
      </c>
      <c r="D319">
        <v>9.5412009999999992</v>
      </c>
      <c r="E319">
        <v>0.51024910000000001</v>
      </c>
      <c r="F319" t="s">
        <v>41</v>
      </c>
      <c r="G319">
        <v>-327.9871</v>
      </c>
      <c r="H319">
        <v>1.036605</v>
      </c>
      <c r="I319">
        <v>367.10050000000001</v>
      </c>
      <c r="J319">
        <v>-328.47019999999998</v>
      </c>
      <c r="K319">
        <v>1.107915</v>
      </c>
      <c r="L319">
        <v>367.10359999999997</v>
      </c>
      <c r="M319">
        <v>0.999977</v>
      </c>
      <c r="N319">
        <v>0</v>
      </c>
      <c r="O319">
        <v>-1.9552630000000001E-3</v>
      </c>
      <c r="P319">
        <v>0.99117829999999996</v>
      </c>
      <c r="Q319">
        <v>0.13043350000000001</v>
      </c>
      <c r="R319">
        <v>2.3510039999999999E-2</v>
      </c>
      <c r="S319">
        <v>3.064972</v>
      </c>
      <c r="T319">
        <v>-0.2873464</v>
      </c>
      <c r="U319">
        <v>-1.4953610000000001E-2</v>
      </c>
      <c r="V319">
        <v>-2.514862E-2</v>
      </c>
      <c r="W319">
        <v>0.13692270000000001</v>
      </c>
      <c r="X319">
        <v>0.99026239999999999</v>
      </c>
      <c r="Y319">
        <v>2.9193000000000001E-3</v>
      </c>
      <c r="Z319" s="1">
        <v>4.6366199999999997E-5</v>
      </c>
      <c r="AA319">
        <v>0.99999570000000004</v>
      </c>
      <c r="AB319">
        <v>49</v>
      </c>
      <c r="AC319">
        <v>0.48309999999997899</v>
      </c>
      <c r="AD319">
        <v>-7.1309999999999901E-2</v>
      </c>
      <c r="AE319">
        <v>-3.0999999999607999E-3</v>
      </c>
      <c r="AF319">
        <v>2.1094272909094199E-3</v>
      </c>
      <c r="AG319">
        <v>-7.1309999999999901E-2</v>
      </c>
      <c r="AH319">
        <v>0.47280388730439599</v>
      </c>
      <c r="AI319">
        <v>98.576828203454099</v>
      </c>
      <c r="AJ319">
        <v>89.744375030979697</v>
      </c>
      <c r="AK319">
        <v>0.478155917702211</v>
      </c>
      <c r="AL319">
        <v>82.130184558353207</v>
      </c>
      <c r="AM319">
        <v>91.454766063621904</v>
      </c>
      <c r="AN319">
        <v>0.99999994985847496</v>
      </c>
    </row>
    <row r="320" spans="1:40" x14ac:dyDescent="0.3">
      <c r="A320" t="str">
        <f>"20200111150729602"</f>
        <v>20200111150729602</v>
      </c>
      <c r="B320" t="str">
        <f>"1578726449591462"</f>
        <v>1578726449591462</v>
      </c>
      <c r="C320" t="s">
        <v>40</v>
      </c>
      <c r="D320">
        <v>5.9846640000000004</v>
      </c>
      <c r="E320">
        <v>0.50764709999999902</v>
      </c>
      <c r="F320" t="s">
        <v>41</v>
      </c>
      <c r="G320">
        <v>-324.91989999999998</v>
      </c>
      <c r="H320">
        <v>1.022238</v>
      </c>
      <c r="I320">
        <v>367.08330000000001</v>
      </c>
      <c r="J320">
        <v>-325.58269999999999</v>
      </c>
      <c r="K320">
        <v>1.1086100000000001</v>
      </c>
      <c r="L320">
        <v>367.09399999999999</v>
      </c>
      <c r="M320">
        <v>0.99996379999999996</v>
      </c>
      <c r="N320">
        <v>0</v>
      </c>
      <c r="O320">
        <v>-3.9647889999999998E-3</v>
      </c>
      <c r="P320">
        <v>0.99130490000000004</v>
      </c>
      <c r="Q320">
        <v>0.12996489999999999</v>
      </c>
      <c r="R320">
        <v>2.0591829999999998E-2</v>
      </c>
      <c r="S320">
        <v>3.0654910000000002</v>
      </c>
      <c r="T320">
        <v>-0.2934985</v>
      </c>
      <c r="U320">
        <v>-3.80249E-2</v>
      </c>
      <c r="V320">
        <v>-2.436903E-2</v>
      </c>
      <c r="W320">
        <v>0.13747300000000001</v>
      </c>
      <c r="X320">
        <v>0.99020569999999997</v>
      </c>
      <c r="Y320">
        <v>8.418175E-3</v>
      </c>
      <c r="Z320" s="1">
        <v>-2.3327910000000001E-5</v>
      </c>
      <c r="AA320">
        <v>0.99996459999999998</v>
      </c>
      <c r="AB320">
        <v>49</v>
      </c>
      <c r="AC320">
        <v>0.66280000000000405</v>
      </c>
      <c r="AD320">
        <v>-8.6372000000000101E-2</v>
      </c>
      <c r="AE320">
        <v>-1.06999999999857E-2</v>
      </c>
      <c r="AF320">
        <v>7.9372268496923099E-3</v>
      </c>
      <c r="AG320">
        <v>-8.6372000000000101E-2</v>
      </c>
      <c r="AH320">
        <v>0.65177190884466796</v>
      </c>
      <c r="AI320">
        <v>97.548228416086303</v>
      </c>
      <c r="AJ320">
        <v>89.302291009615004</v>
      </c>
      <c r="AK320">
        <v>0.65751786524252398</v>
      </c>
      <c r="AL320">
        <v>82.098354098714395</v>
      </c>
      <c r="AM320">
        <v>91.409768487061498</v>
      </c>
      <c r="AN320">
        <v>1.0000000018323101</v>
      </c>
    </row>
    <row r="321" spans="1:40" x14ac:dyDescent="0.3">
      <c r="A321" t="str">
        <f>"20200111150729614"</f>
        <v>20200111150729614</v>
      </c>
      <c r="B321" t="str">
        <f>"1578726449611958"</f>
        <v>1578726449611958</v>
      </c>
      <c r="C321" t="s">
        <v>40</v>
      </c>
      <c r="D321">
        <v>7.2766099999999998</v>
      </c>
      <c r="E321">
        <v>0.50764709999999902</v>
      </c>
      <c r="F321" t="s">
        <v>41</v>
      </c>
      <c r="G321">
        <v>-324.49709999999999</v>
      </c>
      <c r="H321">
        <v>0.98252360000000005</v>
      </c>
      <c r="I321">
        <v>367.0924</v>
      </c>
      <c r="J321">
        <v>-325.29340000000002</v>
      </c>
      <c r="K321">
        <v>1.1086609999999999</v>
      </c>
      <c r="L321">
        <v>367.09289999999999</v>
      </c>
      <c r="M321">
        <v>0.99996280000000004</v>
      </c>
      <c r="N321">
        <v>0</v>
      </c>
      <c r="O321">
        <v>-4.0131170000000001E-3</v>
      </c>
      <c r="P321">
        <v>0.99129440000000002</v>
      </c>
      <c r="Q321">
        <v>0.13011689999999901</v>
      </c>
      <c r="R321">
        <v>2.0127269999999999E-2</v>
      </c>
      <c r="S321">
        <v>3.0732119999999998</v>
      </c>
      <c r="T321">
        <v>-0.3568807</v>
      </c>
      <c r="U321">
        <v>-4.8217770000000002E-3</v>
      </c>
      <c r="V321">
        <v>-2.3966879999999999E-2</v>
      </c>
      <c r="W321">
        <v>0.1377129</v>
      </c>
      <c r="X321">
        <v>0.99018220000000001</v>
      </c>
      <c r="Y321">
        <v>-2.4011689999999999E-3</v>
      </c>
      <c r="Z321">
        <v>6.0343240000000002E-4</v>
      </c>
      <c r="AA321">
        <v>0.99999700000000002</v>
      </c>
      <c r="AB321">
        <v>49</v>
      </c>
      <c r="AC321">
        <v>0.79630000000002998</v>
      </c>
      <c r="AD321">
        <v>-0.12613740000000001</v>
      </c>
      <c r="AE321">
        <v>-4.9999999998817603E-4</v>
      </c>
      <c r="AF321">
        <v>-2.62975656073231E-3</v>
      </c>
      <c r="AG321">
        <v>-0.12613740000000001</v>
      </c>
      <c r="AH321">
        <v>0.77680407686746</v>
      </c>
      <c r="AI321">
        <v>99.223132259278103</v>
      </c>
      <c r="AJ321">
        <v>90.193965738545998</v>
      </c>
      <c r="AK321">
        <v>0.78698293065112601</v>
      </c>
      <c r="AL321">
        <v>82.084477010871197</v>
      </c>
      <c r="AM321">
        <v>91.386545828762905</v>
      </c>
      <c r="AN321">
        <v>1.0000000216800899</v>
      </c>
    </row>
    <row r="322" spans="1:40" x14ac:dyDescent="0.3">
      <c r="A322" t="str">
        <f>"20200111150729627"</f>
        <v>20200111150729627</v>
      </c>
      <c r="B322" t="str">
        <f>"1578726449621718"</f>
        <v>1578726449621718</v>
      </c>
      <c r="C322" t="s">
        <v>40</v>
      </c>
      <c r="D322">
        <v>4.2416660000000004</v>
      </c>
      <c r="E322">
        <v>0.49101</v>
      </c>
      <c r="F322" t="s">
        <v>41</v>
      </c>
      <c r="G322">
        <v>-324.48180000000002</v>
      </c>
      <c r="H322">
        <v>1.0145420000000001</v>
      </c>
      <c r="I322">
        <v>367.09120000000001</v>
      </c>
      <c r="J322">
        <v>-325.02170000000001</v>
      </c>
      <c r="K322">
        <v>1.1086990000000001</v>
      </c>
      <c r="L322">
        <v>367.09179999999998</v>
      </c>
      <c r="M322">
        <v>0.99996220000000002</v>
      </c>
      <c r="N322">
        <v>0</v>
      </c>
      <c r="O322">
        <v>-4.0349729999999999E-3</v>
      </c>
      <c r="P322">
        <v>0.99130700000000005</v>
      </c>
      <c r="Q322">
        <v>0.13002049999999901</v>
      </c>
      <c r="R322">
        <v>2.0133310000000001E-2</v>
      </c>
      <c r="S322">
        <v>3.073242</v>
      </c>
      <c r="T322">
        <v>-0.35636050000000002</v>
      </c>
      <c r="U322">
        <v>-6.7749019999999898E-3</v>
      </c>
      <c r="V322">
        <v>-2.4008020000000001E-2</v>
      </c>
      <c r="W322">
        <v>0.1376954</v>
      </c>
      <c r="X322">
        <v>0.99018360000000005</v>
      </c>
      <c r="Y322">
        <v>-1.7915850000000001E-3</v>
      </c>
      <c r="Z322">
        <v>5.6985390000000003E-4</v>
      </c>
      <c r="AA322">
        <v>0.99999819999999995</v>
      </c>
      <c r="AB322">
        <v>49</v>
      </c>
      <c r="AC322">
        <v>0.53989999999998795</v>
      </c>
      <c r="AD322">
        <v>-9.4156999999999796E-2</v>
      </c>
      <c r="AE322">
        <v>-5.9999999996307397E-4</v>
      </c>
      <c r="AF322">
        <v>-1.53195796967725E-3</v>
      </c>
      <c r="AG322">
        <v>-9.4156999999999796E-2</v>
      </c>
      <c r="AH322">
        <v>0.52396207822572105</v>
      </c>
      <c r="AI322">
        <v>100.187388393641</v>
      </c>
      <c r="AJ322">
        <v>90.167520665304593</v>
      </c>
      <c r="AK322">
        <v>0.53235716108909203</v>
      </c>
      <c r="AL322">
        <v>82.085489038447093</v>
      </c>
      <c r="AM322">
        <v>91.388922989373</v>
      </c>
      <c r="AN322">
        <v>0.99999998495721998</v>
      </c>
    </row>
    <row r="323" spans="1:40" x14ac:dyDescent="0.3">
      <c r="A323" t="str">
        <f>"20200111150729638"</f>
        <v>20200111150729638</v>
      </c>
      <c r="B323" t="str">
        <f>"1578726449631477"</f>
        <v>1578726449631477</v>
      </c>
      <c r="C323" t="s">
        <v>40</v>
      </c>
      <c r="D323">
        <v>4.2257360000000004</v>
      </c>
      <c r="E323">
        <v>0.49867689999999998</v>
      </c>
      <c r="F323" t="s">
        <v>41</v>
      </c>
      <c r="G323">
        <v>-324.12029999999999</v>
      </c>
      <c r="H323">
        <v>0.82939839999999998</v>
      </c>
      <c r="I323">
        <v>367.1259</v>
      </c>
      <c r="J323">
        <v>-324.76679999999999</v>
      </c>
      <c r="K323">
        <v>1.108738</v>
      </c>
      <c r="L323">
        <v>367.0908</v>
      </c>
      <c r="M323">
        <v>0.99996149999999995</v>
      </c>
      <c r="N323">
        <v>0</v>
      </c>
      <c r="O323">
        <v>-4.0438339999999996E-3</v>
      </c>
      <c r="P323">
        <v>0.99132699999999996</v>
      </c>
      <c r="Q323">
        <v>0.1298388</v>
      </c>
      <c r="R323">
        <v>2.0316009999999999E-2</v>
      </c>
      <c r="S323">
        <v>3.1520079999999999</v>
      </c>
      <c r="T323">
        <v>-0.97666900000000001</v>
      </c>
      <c r="U323">
        <v>0.1200256</v>
      </c>
      <c r="V323">
        <v>-2.4212350000000001E-2</v>
      </c>
      <c r="W323">
        <v>0.13758629999999999</v>
      </c>
      <c r="X323">
        <v>0.99019380000000001</v>
      </c>
      <c r="Y323">
        <v>-4.0027880000000002E-2</v>
      </c>
      <c r="Z323">
        <v>7.28122199999999E-3</v>
      </c>
      <c r="AA323">
        <v>0.99917199999999995</v>
      </c>
      <c r="AB323">
        <v>49</v>
      </c>
      <c r="AC323">
        <v>0.64650000000000296</v>
      </c>
      <c r="AD323">
        <v>-0.27933959999999902</v>
      </c>
      <c r="AE323">
        <v>3.5099999999999902E-2</v>
      </c>
      <c r="AF323">
        <v>-3.17955679660843E-2</v>
      </c>
      <c r="AG323">
        <v>-0.27933959999999902</v>
      </c>
      <c r="AH323">
        <v>0.544919183741991</v>
      </c>
      <c r="AI323">
        <v>117.101337646665</v>
      </c>
      <c r="AJ323">
        <v>93.339373360110002</v>
      </c>
      <c r="AK323">
        <v>0.61317084656764598</v>
      </c>
      <c r="AL323">
        <v>82.091800152787599</v>
      </c>
      <c r="AM323">
        <v>91.400724869307396</v>
      </c>
      <c r="AN323">
        <v>0.99999999469932599</v>
      </c>
    </row>
    <row r="324" spans="1:40" x14ac:dyDescent="0.3">
      <c r="A324" t="str">
        <f>"20200111150729650"</f>
        <v>20200111150729650</v>
      </c>
      <c r="B324" t="str">
        <f>"1578726449641238"</f>
        <v>1578726449641238</v>
      </c>
      <c r="C324" t="s">
        <v>40</v>
      </c>
      <c r="D324">
        <v>7.2539100000000003</v>
      </c>
      <c r="E324">
        <v>0.49867689999999998</v>
      </c>
      <c r="F324" t="s">
        <v>41</v>
      </c>
      <c r="G324">
        <v>-324.09410000000003</v>
      </c>
      <c r="H324">
        <v>0.89374409999999904</v>
      </c>
      <c r="I324">
        <v>367.10289999999998</v>
      </c>
      <c r="J324">
        <v>-324.50729999999999</v>
      </c>
      <c r="K324">
        <v>1.108778</v>
      </c>
      <c r="L324">
        <v>367.08980000000003</v>
      </c>
      <c r="M324">
        <v>0.99996099999999999</v>
      </c>
      <c r="N324">
        <v>0</v>
      </c>
      <c r="O324">
        <v>-4.0214250000000003E-3</v>
      </c>
      <c r="P324">
        <v>0.99137620000000004</v>
      </c>
      <c r="Q324">
        <v>0.12947069999999999</v>
      </c>
      <c r="R324">
        <v>2.026704E-2</v>
      </c>
      <c r="S324">
        <v>3.1572269999999998</v>
      </c>
      <c r="T324">
        <v>-1.009209</v>
      </c>
      <c r="U324">
        <v>5.8013919999999997E-2</v>
      </c>
      <c r="V324">
        <v>-2.4155300000000001E-2</v>
      </c>
      <c r="W324">
        <v>0.13728499999999999</v>
      </c>
      <c r="X324">
        <v>0.99023700000000003</v>
      </c>
      <c r="Y324">
        <v>-2.1138830000000001E-2</v>
      </c>
      <c r="Z324">
        <v>4.5502470000000003E-3</v>
      </c>
      <c r="AA324">
        <v>0.99976620000000005</v>
      </c>
      <c r="AB324">
        <v>49</v>
      </c>
      <c r="AC324">
        <v>0.41319999999995999</v>
      </c>
      <c r="AD324">
        <v>-0.2150339</v>
      </c>
      <c r="AE324">
        <v>1.3099999999951701E-2</v>
      </c>
      <c r="AF324">
        <v>-1.1618220642461499E-2</v>
      </c>
      <c r="AG324">
        <v>-0.2150339</v>
      </c>
      <c r="AH324">
        <v>0.32516789810875801</v>
      </c>
      <c r="AI324">
        <v>123.459895293849</v>
      </c>
      <c r="AJ324">
        <v>92.046302713443495</v>
      </c>
      <c r="AK324">
        <v>0.39001118337885399</v>
      </c>
      <c r="AL324">
        <v>82.109228663356305</v>
      </c>
      <c r="AM324">
        <v>91.397364801999402</v>
      </c>
      <c r="AN324">
        <v>0.99999998295604497</v>
      </c>
    </row>
    <row r="325" spans="1:40" x14ac:dyDescent="0.3">
      <c r="A325" t="str">
        <f>"20200111150729662"</f>
        <v>20200111150729662</v>
      </c>
      <c r="B325" t="str">
        <f>"1578726449650998"</f>
        <v>1578726449650998</v>
      </c>
      <c r="C325" t="s">
        <v>40</v>
      </c>
      <c r="D325">
        <v>8.5146329999999999</v>
      </c>
      <c r="E325">
        <v>0.47137630000000003</v>
      </c>
      <c r="F325" t="s">
        <v>41</v>
      </c>
      <c r="G325">
        <v>-323.67349999999999</v>
      </c>
      <c r="H325">
        <v>0.84193479999999998</v>
      </c>
      <c r="I325">
        <v>367.10480000000001</v>
      </c>
      <c r="J325">
        <v>-324.25560000000002</v>
      </c>
      <c r="K325">
        <v>1.1088180000000001</v>
      </c>
      <c r="L325">
        <v>367.08879999999999</v>
      </c>
      <c r="M325">
        <v>0.99996050000000003</v>
      </c>
      <c r="N325">
        <v>0</v>
      </c>
      <c r="O325">
        <v>-3.9922150000000003E-3</v>
      </c>
      <c r="P325">
        <v>0.99140729999999999</v>
      </c>
      <c r="Q325">
        <v>0.12920419999999999</v>
      </c>
      <c r="R325">
        <v>2.0442149999999999E-2</v>
      </c>
      <c r="S325">
        <v>3.1568909999999999</v>
      </c>
      <c r="T325">
        <v>-1.0104229999999901</v>
      </c>
      <c r="U325">
        <v>5.7220460000000001E-2</v>
      </c>
      <c r="V325">
        <v>-2.431417E-2</v>
      </c>
      <c r="W325">
        <v>0.13708190000000001</v>
      </c>
      <c r="X325">
        <v>0.99026130000000001</v>
      </c>
      <c r="Y325">
        <v>-2.0871959999999998E-2</v>
      </c>
      <c r="Z325">
        <v>4.5051470000000001E-3</v>
      </c>
      <c r="AA325">
        <v>0.99977199999999999</v>
      </c>
      <c r="AB325">
        <v>49</v>
      </c>
      <c r="AC325">
        <v>0.58210000000002504</v>
      </c>
      <c r="AD325">
        <v>-0.26688319999999999</v>
      </c>
      <c r="AE325">
        <v>1.6000000000019499E-2</v>
      </c>
      <c r="AF325">
        <v>-1.51430428961731E-2</v>
      </c>
      <c r="AG325">
        <v>-0.26688319999999999</v>
      </c>
      <c r="AH325">
        <v>0.48099853372112999</v>
      </c>
      <c r="AI325">
        <v>119.011771171099</v>
      </c>
      <c r="AJ325">
        <v>91.803219564226296</v>
      </c>
      <c r="AK325">
        <v>0.55028678307976198</v>
      </c>
      <c r="AL325">
        <v>82.120976911011795</v>
      </c>
      <c r="AM325">
        <v>91.406517123122796</v>
      </c>
      <c r="AN325">
        <v>1.00000003422404</v>
      </c>
    </row>
    <row r="326" spans="1:40" x14ac:dyDescent="0.3">
      <c r="A326" t="str">
        <f>"20200111150729673"</f>
        <v>20200111150729673</v>
      </c>
      <c r="B326" t="str">
        <f>"1578726449661734"</f>
        <v>1578726449661734</v>
      </c>
      <c r="C326" t="s">
        <v>40</v>
      </c>
      <c r="D326">
        <v>8.5305440000000008</v>
      </c>
      <c r="E326">
        <v>0.47137630000000003</v>
      </c>
      <c r="F326" t="s">
        <v>41</v>
      </c>
      <c r="G326">
        <v>-323.21379999999999</v>
      </c>
      <c r="H326">
        <v>0.86933859999999996</v>
      </c>
      <c r="I326">
        <v>367.18169999999998</v>
      </c>
      <c r="J326">
        <v>-324.00549999999998</v>
      </c>
      <c r="K326">
        <v>1.108854</v>
      </c>
      <c r="L326">
        <v>367.08780000000002</v>
      </c>
      <c r="M326">
        <v>0.99996030000000002</v>
      </c>
      <c r="N326">
        <v>0</v>
      </c>
      <c r="O326">
        <v>-3.9418810000000004E-3</v>
      </c>
      <c r="P326">
        <v>0.99141290000000004</v>
      </c>
      <c r="Q326">
        <v>0.12908549999999999</v>
      </c>
      <c r="R326">
        <v>2.0908380000000001E-2</v>
      </c>
      <c r="S326">
        <v>3.1135250000000001</v>
      </c>
      <c r="T326">
        <v>-0.71575769999999905</v>
      </c>
      <c r="U326">
        <v>0.27832030000000002</v>
      </c>
      <c r="V326">
        <v>-2.474407E-2</v>
      </c>
      <c r="W326">
        <v>0.1370219</v>
      </c>
      <c r="X326">
        <v>0.99025890000000005</v>
      </c>
      <c r="Y326">
        <v>-9.0516609999999997E-2</v>
      </c>
      <c r="Z326">
        <v>1.114354E-2</v>
      </c>
      <c r="AA326">
        <v>0.99583259999999996</v>
      </c>
      <c r="AB326">
        <v>49</v>
      </c>
      <c r="AC326">
        <v>0.79169999999999097</v>
      </c>
      <c r="AD326">
        <v>-0.23951539999999999</v>
      </c>
      <c r="AE326">
        <v>9.3899999999962305E-2</v>
      </c>
      <c r="AF326">
        <v>-8.8988371982418699E-2</v>
      </c>
      <c r="AG326">
        <v>-0.23951539999999999</v>
      </c>
      <c r="AH326">
        <v>0.72581419419308402</v>
      </c>
      <c r="AI326">
        <v>108.13583882877199</v>
      </c>
      <c r="AJ326">
        <v>96.989858486629899</v>
      </c>
      <c r="AK326">
        <v>0.76947566672208501</v>
      </c>
      <c r="AL326">
        <v>82.124446972423897</v>
      </c>
      <c r="AM326">
        <v>91.431379031031</v>
      </c>
      <c r="AN326">
        <v>0.99999997955449205</v>
      </c>
    </row>
    <row r="327" spans="1:40" x14ac:dyDescent="0.3">
      <c r="A327" t="str">
        <f>"20200111150729691"</f>
        <v>20200111150729691</v>
      </c>
      <c r="B327" t="str">
        <f>"1578726449681253"</f>
        <v>1578726449681253</v>
      </c>
      <c r="C327" t="s">
        <v>40</v>
      </c>
      <c r="D327">
        <v>8.9902239999999995</v>
      </c>
      <c r="E327">
        <v>0.47746260000000001</v>
      </c>
      <c r="F327" t="s">
        <v>41</v>
      </c>
      <c r="G327">
        <v>-323.19290000000001</v>
      </c>
      <c r="H327">
        <v>0.92197910000000005</v>
      </c>
      <c r="I327">
        <v>367.16070000000002</v>
      </c>
      <c r="J327">
        <v>-323.63200000000001</v>
      </c>
      <c r="K327">
        <v>1.1089</v>
      </c>
      <c r="L327">
        <v>367.08640000000003</v>
      </c>
      <c r="M327">
        <v>0.99996010000000002</v>
      </c>
      <c r="N327">
        <v>0</v>
      </c>
      <c r="O327">
        <v>-3.8464039999999999E-3</v>
      </c>
      <c r="P327">
        <v>0.99145859999999997</v>
      </c>
      <c r="Q327">
        <v>0.1285704</v>
      </c>
      <c r="R327">
        <v>2.1905069999999999E-2</v>
      </c>
      <c r="S327">
        <v>3.1133419999999998</v>
      </c>
      <c r="T327">
        <v>-0.716078199999999</v>
      </c>
      <c r="U327">
        <v>0.28018189999999998</v>
      </c>
      <c r="V327">
        <v>-2.566591E-2</v>
      </c>
      <c r="W327">
        <v>0.13659019999999999</v>
      </c>
      <c r="X327">
        <v>0.99029509999999998</v>
      </c>
      <c r="Y327">
        <v>-9.1004959999999996E-2</v>
      </c>
      <c r="Z327">
        <v>1.118245E-2</v>
      </c>
      <c r="AA327">
        <v>0.99578770000000005</v>
      </c>
      <c r="AB327">
        <v>49</v>
      </c>
      <c r="AC327">
        <v>0.43909999999999599</v>
      </c>
      <c r="AD327">
        <v>-0.1869209</v>
      </c>
      <c r="AE327">
        <v>7.4299999999993802E-2</v>
      </c>
      <c r="AF327">
        <v>-6.4606768274794696E-2</v>
      </c>
      <c r="AG327">
        <v>-0.1869209</v>
      </c>
      <c r="AH327">
        <v>0.37308503414405098</v>
      </c>
      <c r="AI327">
        <v>116.27403100431999</v>
      </c>
      <c r="AJ327">
        <v>99.824423634638805</v>
      </c>
      <c r="AK327">
        <v>0.42226283292043398</v>
      </c>
      <c r="AL327">
        <v>82.149416514931204</v>
      </c>
      <c r="AM327">
        <v>91.484627350591595</v>
      </c>
      <c r="AN327">
        <v>1.00000000337808</v>
      </c>
    </row>
    <row r="328" spans="1:40" x14ac:dyDescent="0.3">
      <c r="A328" t="str">
        <f>"20200111150729701"</f>
        <v>20200111150729701</v>
      </c>
      <c r="B328" t="str">
        <f>"1578726449691015"</f>
        <v>1578726449691015</v>
      </c>
      <c r="C328" t="s">
        <v>40</v>
      </c>
      <c r="D328">
        <v>4.7123269999999904</v>
      </c>
      <c r="E328">
        <v>0.47746260000000001</v>
      </c>
      <c r="F328" t="s">
        <v>44</v>
      </c>
      <c r="G328">
        <v>-307.28440000000001</v>
      </c>
      <c r="H328">
        <v>-0.05</v>
      </c>
      <c r="I328">
        <v>368.36989999999997</v>
      </c>
      <c r="J328">
        <v>-323.37369999999999</v>
      </c>
      <c r="K328">
        <v>1.1089359999999999</v>
      </c>
      <c r="L328">
        <v>367.08539999999999</v>
      </c>
      <c r="M328">
        <v>0.99995970000000001</v>
      </c>
      <c r="N328">
        <v>0</v>
      </c>
      <c r="O328">
        <v>-3.7687570000000002E-3</v>
      </c>
      <c r="P328">
        <v>0.99144350000000003</v>
      </c>
      <c r="Q328">
        <v>0.12854469999999901</v>
      </c>
      <c r="R328">
        <v>2.271656E-2</v>
      </c>
      <c r="S328">
        <v>3.048584</v>
      </c>
      <c r="T328">
        <v>-0.21611739999999999</v>
      </c>
      <c r="U328">
        <v>0.23934939999999999</v>
      </c>
      <c r="V328">
        <v>-2.6413300000000001E-2</v>
      </c>
      <c r="W328">
        <v>0.13661989999999999</v>
      </c>
      <c r="X328">
        <v>0.99027129999999997</v>
      </c>
      <c r="Y328">
        <v>-8.1814070000000003E-2</v>
      </c>
      <c r="Z328">
        <v>3.1583219999999999E-3</v>
      </c>
      <c r="AA328">
        <v>0.99664260000000005</v>
      </c>
      <c r="AB328">
        <v>50</v>
      </c>
      <c r="AC328">
        <v>16.089299999999898</v>
      </c>
      <c r="AD328">
        <v>-1.158936</v>
      </c>
      <c r="AE328">
        <v>1.28449999999998</v>
      </c>
      <c r="AF328">
        <v>-1.3382300763416899</v>
      </c>
      <c r="AG328">
        <v>-1.158936</v>
      </c>
      <c r="AH328">
        <v>16.001844333142401</v>
      </c>
      <c r="AI328">
        <v>94.128062257487201</v>
      </c>
      <c r="AJ328">
        <v>94.780506987515196</v>
      </c>
      <c r="AK328">
        <v>16.0994724898501</v>
      </c>
      <c r="AL328">
        <v>82.147698333291302</v>
      </c>
      <c r="AM328">
        <v>91.527876124895897</v>
      </c>
      <c r="AN328">
        <v>0.99999995354829296</v>
      </c>
    </row>
    <row r="329" spans="1:40" x14ac:dyDescent="0.3">
      <c r="A329" t="str">
        <f>"20200111150729714"</f>
        <v>20200111150729714</v>
      </c>
      <c r="B329" t="str">
        <f>"1578726449711510"</f>
        <v>1578726449711510</v>
      </c>
      <c r="C329" t="s">
        <v>40</v>
      </c>
      <c r="D329">
        <v>5.1322769999999904</v>
      </c>
      <c r="E329">
        <v>0.53286389999999995</v>
      </c>
      <c r="F329" t="s">
        <v>44</v>
      </c>
      <c r="G329">
        <v>-307.03870000000001</v>
      </c>
      <c r="H329">
        <v>-0.05</v>
      </c>
      <c r="I329">
        <v>368.3802</v>
      </c>
      <c r="J329">
        <v>-323.09269999999998</v>
      </c>
      <c r="K329">
        <v>1.1089739999999999</v>
      </c>
      <c r="L329">
        <v>367.08440000000002</v>
      </c>
      <c r="M329">
        <v>0.99995970000000001</v>
      </c>
      <c r="N329">
        <v>0</v>
      </c>
      <c r="O329">
        <v>-3.6698859999999998E-3</v>
      </c>
      <c r="P329">
        <v>0.99146440000000002</v>
      </c>
      <c r="Q329">
        <v>0.1282587</v>
      </c>
      <c r="R329">
        <v>2.341157E-2</v>
      </c>
      <c r="S329">
        <v>3.0484010000000001</v>
      </c>
      <c r="T329">
        <v>-0.2162781</v>
      </c>
      <c r="U329">
        <v>0.2416382</v>
      </c>
      <c r="V329">
        <v>-2.702423E-2</v>
      </c>
      <c r="W329">
        <v>0.13639079999999901</v>
      </c>
      <c r="X329">
        <v>0.99028640000000001</v>
      </c>
      <c r="Y329">
        <v>-8.2462170000000001E-2</v>
      </c>
      <c r="Z329">
        <v>3.1766920000000001E-3</v>
      </c>
      <c r="AA329">
        <v>0.99658910000000001</v>
      </c>
      <c r="AB329">
        <v>50</v>
      </c>
      <c r="AC329">
        <v>16.053999999999899</v>
      </c>
      <c r="AD329">
        <v>-1.1589739999999999</v>
      </c>
      <c r="AE329">
        <v>1.2957999999999801</v>
      </c>
      <c r="AF329">
        <v>-1.34773107184998</v>
      </c>
      <c r="AG329">
        <v>-1.1589739999999999</v>
      </c>
      <c r="AH329">
        <v>15.966462210769301</v>
      </c>
      <c r="AI329">
        <v>94.137045180557294</v>
      </c>
      <c r="AJ329">
        <v>94.824906341706495</v>
      </c>
      <c r="AK329">
        <v>16.065102405606702</v>
      </c>
      <c r="AL329">
        <v>82.160948855204097</v>
      </c>
      <c r="AM329">
        <v>91.563174182610695</v>
      </c>
      <c r="AN329">
        <v>0.99999995667834496</v>
      </c>
    </row>
    <row r="330" spans="1:40" x14ac:dyDescent="0.3">
      <c r="A330" t="str">
        <f>"20200111150729726"</f>
        <v>20200111150729726</v>
      </c>
      <c r="B330" t="str">
        <f>"1578726449721269"</f>
        <v>1578726449721269</v>
      </c>
      <c r="C330" t="s">
        <v>40</v>
      </c>
      <c r="D330">
        <v>5.1424279999999998</v>
      </c>
      <c r="E330">
        <v>0.53604980000000002</v>
      </c>
      <c r="F330" t="s">
        <v>42</v>
      </c>
      <c r="G330">
        <v>-158.19499999999999</v>
      </c>
      <c r="H330">
        <v>3.9699770000000001</v>
      </c>
      <c r="I330">
        <v>356.42450000000002</v>
      </c>
      <c r="J330">
        <v>-322.84230000000002</v>
      </c>
      <c r="K330">
        <v>1.1090100000000001</v>
      </c>
      <c r="L330">
        <v>367.08350000000002</v>
      </c>
      <c r="M330">
        <v>0.99995959999999995</v>
      </c>
      <c r="N330">
        <v>0</v>
      </c>
      <c r="O330">
        <v>-3.5749800000000002E-3</v>
      </c>
      <c r="P330">
        <v>0.99146400000000001</v>
      </c>
      <c r="Q330">
        <v>0.12812499999999999</v>
      </c>
      <c r="R330">
        <v>2.4150680000000001E-2</v>
      </c>
      <c r="S330">
        <v>3.0236510000000001</v>
      </c>
      <c r="T330">
        <v>5.2462460000000002E-2</v>
      </c>
      <c r="U330">
        <v>-0.1954651</v>
      </c>
      <c r="V330">
        <v>-2.7680920000000001E-2</v>
      </c>
      <c r="W330">
        <v>0.1363058</v>
      </c>
      <c r="X330">
        <v>0.99028000000000005</v>
      </c>
      <c r="Y330">
        <v>6.093407E-2</v>
      </c>
      <c r="Z330">
        <v>4.660744E-4</v>
      </c>
      <c r="AA330">
        <v>0.99814170000000002</v>
      </c>
      <c r="AB330">
        <v>50</v>
      </c>
      <c r="AC330">
        <v>164.6473</v>
      </c>
      <c r="AD330">
        <v>2.860967</v>
      </c>
      <c r="AE330">
        <v>-10.658999999999899</v>
      </c>
      <c r="AF330">
        <v>10.067274060814</v>
      </c>
      <c r="AG330">
        <v>2.860967</v>
      </c>
      <c r="AH330">
        <v>164.63485289332499</v>
      </c>
      <c r="AI330">
        <v>89.006289892167501</v>
      </c>
      <c r="AJ330">
        <v>86.500771422136197</v>
      </c>
      <c r="AK330">
        <v>164.96717833071301</v>
      </c>
      <c r="AL330">
        <v>82.165865181785506</v>
      </c>
      <c r="AM330">
        <v>91.601150189316002</v>
      </c>
      <c r="AN330">
        <v>0.99999999142284302</v>
      </c>
    </row>
    <row r="331" spans="1:40" x14ac:dyDescent="0.3">
      <c r="A331" t="str">
        <f>"20200111150729737"</f>
        <v>20200111150729737</v>
      </c>
      <c r="B331" t="str">
        <f>"1578726449731029"</f>
        <v>1578726449731029</v>
      </c>
      <c r="C331" t="s">
        <v>40</v>
      </c>
      <c r="D331">
        <v>5.1461629999999996</v>
      </c>
      <c r="E331">
        <v>0.53978440000000005</v>
      </c>
      <c r="F331" t="s">
        <v>42</v>
      </c>
      <c r="G331">
        <v>-169.2955</v>
      </c>
      <c r="H331">
        <v>6.236256</v>
      </c>
      <c r="I331">
        <v>355.97949999999997</v>
      </c>
      <c r="J331">
        <v>-322.57530000000003</v>
      </c>
      <c r="K331">
        <v>1.1090409999999999</v>
      </c>
      <c r="L331">
        <v>367.08260000000001</v>
      </c>
      <c r="M331">
        <v>0.99995959999999995</v>
      </c>
      <c r="N331">
        <v>0</v>
      </c>
      <c r="O331">
        <v>-3.4681569999999999E-3</v>
      </c>
      <c r="P331">
        <v>0.99147439999999998</v>
      </c>
      <c r="Q331">
        <v>0.1279341</v>
      </c>
      <c r="R331">
        <v>2.4729910000000001E-2</v>
      </c>
      <c r="S331">
        <v>3.0181269999999998</v>
      </c>
      <c r="T331">
        <v>0.1007832</v>
      </c>
      <c r="U331">
        <v>-0.2182617</v>
      </c>
      <c r="V331">
        <v>-2.8165470000000001E-2</v>
      </c>
      <c r="W331">
        <v>0.13616600000000001</v>
      </c>
      <c r="X331">
        <v>0.99028559999999999</v>
      </c>
      <c r="Y331">
        <v>6.8632769999999996E-2</v>
      </c>
      <c r="Z331">
        <v>1.028475E-3</v>
      </c>
      <c r="AA331">
        <v>0.99764140000000001</v>
      </c>
      <c r="AB331">
        <v>50</v>
      </c>
      <c r="AC331">
        <v>153.27979999999999</v>
      </c>
      <c r="AD331">
        <v>5.1272149999999996</v>
      </c>
      <c r="AE331">
        <v>-11.1031</v>
      </c>
      <c r="AF331">
        <v>10.559662941846801</v>
      </c>
      <c r="AG331">
        <v>5.1272149999999996</v>
      </c>
      <c r="AH331">
        <v>153.14692429376601</v>
      </c>
      <c r="AI331">
        <v>88.087045945063593</v>
      </c>
      <c r="AJ331">
        <v>86.055630676956696</v>
      </c>
      <c r="AK331">
        <v>153.59614329709601</v>
      </c>
      <c r="AL331">
        <v>82.173950752222794</v>
      </c>
      <c r="AM331">
        <v>91.629153880078405</v>
      </c>
      <c r="AN331">
        <v>1.0000000214118401</v>
      </c>
    </row>
    <row r="332" spans="1:40" x14ac:dyDescent="0.3">
      <c r="A332" t="str">
        <f>"20200111150729749"</f>
        <v>20200111150729749</v>
      </c>
      <c r="B332" t="str">
        <f>"1578726449741766"</f>
        <v>1578726449741766</v>
      </c>
      <c r="C332" t="s">
        <v>40</v>
      </c>
      <c r="D332">
        <v>4.7170209999999999</v>
      </c>
      <c r="E332">
        <v>0.53737119999999905</v>
      </c>
      <c r="F332" t="s">
        <v>42</v>
      </c>
      <c r="G332">
        <v>-170.08879999999999</v>
      </c>
      <c r="H332">
        <v>7.4173819999999999</v>
      </c>
      <c r="I332">
        <v>354.64120000000003</v>
      </c>
      <c r="J332">
        <v>-322.31229999999999</v>
      </c>
      <c r="K332">
        <v>1.1090690000000001</v>
      </c>
      <c r="L332">
        <v>367.08179999999999</v>
      </c>
      <c r="M332">
        <v>0.9999595</v>
      </c>
      <c r="N332">
        <v>0</v>
      </c>
      <c r="O332">
        <v>-3.3542149999999998E-3</v>
      </c>
      <c r="P332">
        <v>0.99145479999999997</v>
      </c>
      <c r="Q332">
        <v>0.1279796</v>
      </c>
      <c r="R332">
        <v>2.5273199999999999E-2</v>
      </c>
      <c r="S332">
        <v>3.0158390000000002</v>
      </c>
      <c r="T332">
        <v>0.1247663</v>
      </c>
      <c r="U332">
        <v>-0.24606320000000001</v>
      </c>
      <c r="V332">
        <v>-2.860613E-2</v>
      </c>
      <c r="W332">
        <v>0.13626050000000001</v>
      </c>
      <c r="X332">
        <v>0.99025989999999997</v>
      </c>
      <c r="Y332">
        <v>7.7913060000000006E-2</v>
      </c>
      <c r="Z332">
        <v>1.469812E-3</v>
      </c>
      <c r="AA332">
        <v>0.99695909999999999</v>
      </c>
      <c r="AB332">
        <v>50</v>
      </c>
      <c r="AC332">
        <v>152.2235</v>
      </c>
      <c r="AD332">
        <v>6.3083130000000001</v>
      </c>
      <c r="AE332">
        <v>-12.4405999999999</v>
      </c>
      <c r="AF332">
        <v>11.9096044012508</v>
      </c>
      <c r="AG332">
        <v>6.3083130000000001</v>
      </c>
      <c r="AH332">
        <v>152.005057093771</v>
      </c>
      <c r="AI332">
        <v>87.630802471071803</v>
      </c>
      <c r="AJ332">
        <v>85.520024755006801</v>
      </c>
      <c r="AK332">
        <v>152.601346232531</v>
      </c>
      <c r="AL332">
        <v>82.168484814527005</v>
      </c>
      <c r="AM332">
        <v>91.654671499957502</v>
      </c>
      <c r="AN332">
        <v>0.99999995204091696</v>
      </c>
    </row>
    <row r="333" spans="1:40" x14ac:dyDescent="0.3">
      <c r="A333" t="str">
        <f>"20200111150729762"</f>
        <v>20200111150729762</v>
      </c>
      <c r="B333" t="str">
        <f>"1578726449751525"</f>
        <v>1578726449751525</v>
      </c>
      <c r="C333" t="s">
        <v>40</v>
      </c>
      <c r="D333">
        <v>5.1421549999999998</v>
      </c>
      <c r="E333">
        <v>0.53832829999999998</v>
      </c>
      <c r="F333" t="s">
        <v>42</v>
      </c>
      <c r="G333">
        <v>-168.84350000000001</v>
      </c>
      <c r="H333">
        <v>8.5946269999999991</v>
      </c>
      <c r="I333">
        <v>355.63060000000002</v>
      </c>
      <c r="J333">
        <v>-322.03570000000002</v>
      </c>
      <c r="K333">
        <v>1.1090990000000001</v>
      </c>
      <c r="L333">
        <v>367.08089999999999</v>
      </c>
      <c r="M333">
        <v>0.99995940000000005</v>
      </c>
      <c r="N333">
        <v>0</v>
      </c>
      <c r="O333">
        <v>-3.2312249999999999E-3</v>
      </c>
      <c r="P333">
        <v>0.99147399999999997</v>
      </c>
      <c r="Q333">
        <v>0.1278369</v>
      </c>
      <c r="R333">
        <v>2.5234039999999999E-2</v>
      </c>
      <c r="S333">
        <v>3.0126650000000001</v>
      </c>
      <c r="T333">
        <v>0.14694670000000001</v>
      </c>
      <c r="U333">
        <v>-0.22479250000000001</v>
      </c>
      <c r="V333">
        <v>-2.8454920000000002E-2</v>
      </c>
      <c r="W333">
        <v>0.13617029999999999</v>
      </c>
      <c r="X333">
        <v>0.99027670000000001</v>
      </c>
      <c r="Y333">
        <v>7.1105970000000004E-2</v>
      </c>
      <c r="Z333">
        <v>1.573416E-3</v>
      </c>
      <c r="AA333">
        <v>0.99746749999999995</v>
      </c>
      <c r="AB333">
        <v>50</v>
      </c>
      <c r="AC333">
        <v>153.19220000000001</v>
      </c>
      <c r="AD333">
        <v>7.4855279999999897</v>
      </c>
      <c r="AE333">
        <v>-11.450299999999899</v>
      </c>
      <c r="AF333">
        <v>10.929273883823001</v>
      </c>
      <c r="AG333">
        <v>7.4855279999999897</v>
      </c>
      <c r="AH333">
        <v>152.86543787934599</v>
      </c>
      <c r="AI333">
        <v>87.203701045566504</v>
      </c>
      <c r="AJ333">
        <v>85.910537039156907</v>
      </c>
      <c r="AK333">
        <v>153.43834023838599</v>
      </c>
      <c r="AL333">
        <v>82.173701799471502</v>
      </c>
      <c r="AM333">
        <v>91.645901938419797</v>
      </c>
      <c r="AN333">
        <v>0.99999998781859301</v>
      </c>
    </row>
    <row r="334" spans="1:40" x14ac:dyDescent="0.3">
      <c r="A334" t="str">
        <f>"20200111150729772"</f>
        <v>20200111150729772</v>
      </c>
      <c r="B334" t="str">
        <f>"1578726449771046"</f>
        <v>1578726449771046</v>
      </c>
      <c r="C334" t="s">
        <v>40</v>
      </c>
      <c r="D334">
        <v>5.0086769999999996</v>
      </c>
      <c r="E334">
        <v>0.53909510000000005</v>
      </c>
      <c r="F334" t="s">
        <v>42</v>
      </c>
      <c r="G334">
        <v>-168.84350000000001</v>
      </c>
      <c r="H334">
        <v>8.9214669999999998</v>
      </c>
      <c r="I334">
        <v>355.25470000000001</v>
      </c>
      <c r="J334">
        <v>-321.77870000000001</v>
      </c>
      <c r="K334">
        <v>1.1091230000000001</v>
      </c>
      <c r="L334">
        <v>367.08</v>
      </c>
      <c r="M334">
        <v>0.9999593</v>
      </c>
      <c r="N334">
        <v>0</v>
      </c>
      <c r="O334">
        <v>-3.1118550000000002E-3</v>
      </c>
      <c r="P334">
        <v>0.99146469999999998</v>
      </c>
      <c r="Q334">
        <v>0.12789990000000001</v>
      </c>
      <c r="R334">
        <v>2.5290239999999999E-2</v>
      </c>
      <c r="S334">
        <v>3.0119020000000001</v>
      </c>
      <c r="T334">
        <v>0.15360009999999999</v>
      </c>
      <c r="U334">
        <v>-0.23251340000000001</v>
      </c>
      <c r="V334">
        <v>-2.840206E-2</v>
      </c>
      <c r="W334">
        <v>0.13628409999999999</v>
      </c>
      <c r="X334">
        <v>0.99026259999999999</v>
      </c>
      <c r="Y334">
        <v>7.3774809999999996E-2</v>
      </c>
      <c r="Z334">
        <v>1.718804E-3</v>
      </c>
      <c r="AA334">
        <v>0.99727339999999998</v>
      </c>
      <c r="AB334">
        <v>50</v>
      </c>
      <c r="AC334">
        <v>152.93520000000001</v>
      </c>
      <c r="AD334">
        <v>7.8123439999999897</v>
      </c>
      <c r="AE334">
        <v>-11.825299999999899</v>
      </c>
      <c r="AF334">
        <v>11.319950297544301</v>
      </c>
      <c r="AG334">
        <v>7.8123439999999897</v>
      </c>
      <c r="AH334">
        <v>152.575488575793</v>
      </c>
      <c r="AI334">
        <v>87.076856254318699</v>
      </c>
      <c r="AJ334">
        <v>85.756859461008304</v>
      </c>
      <c r="AK334">
        <v>153.194169953217</v>
      </c>
      <c r="AL334">
        <v>82.167120475970094</v>
      </c>
      <c r="AM334">
        <v>91.642869443363907</v>
      </c>
      <c r="AN334">
        <v>1.0000000249419001</v>
      </c>
    </row>
    <row r="335" spans="1:40" x14ac:dyDescent="0.3">
      <c r="A335" t="str">
        <f>"20200111150729784"</f>
        <v>20200111150729784</v>
      </c>
      <c r="B335" t="str">
        <f>"1578726449781781"</f>
        <v>1578726449781781</v>
      </c>
      <c r="C335" t="s">
        <v>40</v>
      </c>
      <c r="D335">
        <v>4.2499900000000004</v>
      </c>
      <c r="E335">
        <v>0.53694500000000001</v>
      </c>
      <c r="F335" t="s">
        <v>42</v>
      </c>
      <c r="G335">
        <v>-169.2955</v>
      </c>
      <c r="H335">
        <v>4.6345650000000003</v>
      </c>
      <c r="I335">
        <v>355.02530000000002</v>
      </c>
      <c r="J335">
        <v>-321.53680000000003</v>
      </c>
      <c r="K335">
        <v>1.1091439999999999</v>
      </c>
      <c r="L335">
        <v>367.07929999999999</v>
      </c>
      <c r="M335">
        <v>0.9999593</v>
      </c>
      <c r="N335">
        <v>0</v>
      </c>
      <c r="O335">
        <v>-2.997043E-3</v>
      </c>
      <c r="P335">
        <v>0.99146630000000002</v>
      </c>
      <c r="Q335">
        <v>0.12795200000000001</v>
      </c>
      <c r="R335">
        <v>2.4962829999999998E-2</v>
      </c>
      <c r="S335">
        <v>3.0229490000000001</v>
      </c>
      <c r="T335">
        <v>6.9892880000000004E-2</v>
      </c>
      <c r="U335">
        <v>-0.23898320000000001</v>
      </c>
      <c r="V335">
        <v>-2.7968179999999999E-2</v>
      </c>
      <c r="W335">
        <v>0.1363866</v>
      </c>
      <c r="X335">
        <v>0.99026080000000005</v>
      </c>
      <c r="Y335">
        <v>7.5802900000000006E-2</v>
      </c>
      <c r="Z335">
        <v>8.0565179999999995E-4</v>
      </c>
      <c r="AA335">
        <v>0.99712250000000002</v>
      </c>
      <c r="AB335">
        <v>50</v>
      </c>
      <c r="AC335">
        <v>152.2413</v>
      </c>
      <c r="AD335">
        <v>3.5254209999999899</v>
      </c>
      <c r="AE335">
        <v>-12.053999999999901</v>
      </c>
      <c r="AF335">
        <v>11.5914785566132</v>
      </c>
      <c r="AG335">
        <v>3.5254209999999899</v>
      </c>
      <c r="AH335">
        <v>152.19563934443801</v>
      </c>
      <c r="AI335">
        <v>88.676882983235004</v>
      </c>
      <c r="AJ335">
        <v>85.644664261849002</v>
      </c>
      <c r="AK335">
        <v>152.67712207078699</v>
      </c>
      <c r="AL335">
        <v>82.161192013561603</v>
      </c>
      <c r="AM335">
        <v>91.617788763193801</v>
      </c>
      <c r="AN335">
        <v>0.99999998788435596</v>
      </c>
    </row>
    <row r="336" spans="1:40" x14ac:dyDescent="0.3">
      <c r="A336" t="str">
        <f>"20200111150729796"</f>
        <v>20200111150729796</v>
      </c>
      <c r="B336" t="str">
        <f>"1578726449791542"</f>
        <v>1578726449791542</v>
      </c>
      <c r="C336" t="s">
        <v>40</v>
      </c>
      <c r="D336">
        <v>5.1009200000000003</v>
      </c>
      <c r="E336">
        <v>0.53689540000000002</v>
      </c>
      <c r="F336" t="s">
        <v>42</v>
      </c>
      <c r="G336">
        <v>-169.2955</v>
      </c>
      <c r="H336">
        <v>5.078716</v>
      </c>
      <c r="I336">
        <v>355.85680000000002</v>
      </c>
      <c r="J336">
        <v>-321.27640000000002</v>
      </c>
      <c r="K336">
        <v>1.1091679999999999</v>
      </c>
      <c r="L336">
        <v>367.07859999999999</v>
      </c>
      <c r="M336">
        <v>0.99995909999999999</v>
      </c>
      <c r="N336">
        <v>0</v>
      </c>
      <c r="O336">
        <v>-2.870222E-3</v>
      </c>
      <c r="P336">
        <v>0.99148979999999998</v>
      </c>
      <c r="Q336">
        <v>0.12779939999999901</v>
      </c>
      <c r="R336">
        <v>2.480775E-2</v>
      </c>
      <c r="S336">
        <v>3.0213009999999998</v>
      </c>
      <c r="T336">
        <v>7.8779699999999994E-2</v>
      </c>
      <c r="U336">
        <v>-0.22271730000000001</v>
      </c>
      <c r="V336">
        <v>-2.769514E-2</v>
      </c>
      <c r="W336">
        <v>0.13629160000000001</v>
      </c>
      <c r="X336">
        <v>0.99028159999999998</v>
      </c>
      <c r="Y336">
        <v>7.0630440000000003E-2</v>
      </c>
      <c r="Z336">
        <v>8.4470559999999897E-4</v>
      </c>
      <c r="AA336">
        <v>0.99750220000000001</v>
      </c>
      <c r="AB336">
        <v>50</v>
      </c>
      <c r="AC336">
        <v>151.98089999999999</v>
      </c>
      <c r="AD336">
        <v>3.9695480000000001</v>
      </c>
      <c r="AE336">
        <v>-11.221799999999901</v>
      </c>
      <c r="AF336">
        <v>10.7782059112045</v>
      </c>
      <c r="AG336">
        <v>3.9695480000000001</v>
      </c>
      <c r="AH336">
        <v>151.90941530804599</v>
      </c>
      <c r="AI336">
        <v>88.506895276477195</v>
      </c>
      <c r="AJ336">
        <v>85.941577679207199</v>
      </c>
      <c r="AK336">
        <v>152.34302574526001</v>
      </c>
      <c r="AL336">
        <v>82.1666867829056</v>
      </c>
      <c r="AM336">
        <v>91.601969702724602</v>
      </c>
      <c r="AN336">
        <v>1.00000003415436</v>
      </c>
    </row>
    <row r="337" spans="1:40" x14ac:dyDescent="0.3">
      <c r="A337" t="str">
        <f>"20200111150729808"</f>
        <v>20200111150729808</v>
      </c>
      <c r="B337" t="str">
        <f>"1578726449801302"</f>
        <v>1578726449801302</v>
      </c>
      <c r="C337" t="s">
        <v>40</v>
      </c>
      <c r="D337">
        <v>5.0765699999999896</v>
      </c>
      <c r="E337">
        <v>0.53699949999999996</v>
      </c>
      <c r="F337" t="s">
        <v>42</v>
      </c>
      <c r="G337">
        <v>-169.2955</v>
      </c>
      <c r="H337">
        <v>3.6711580000000001</v>
      </c>
      <c r="I337">
        <v>355.87099999999998</v>
      </c>
      <c r="J337">
        <v>-321.01589999999999</v>
      </c>
      <c r="K337">
        <v>1.1091169999999999</v>
      </c>
      <c r="L337">
        <v>367.0779</v>
      </c>
      <c r="M337">
        <v>0.99996130000000005</v>
      </c>
      <c r="N337">
        <v>0</v>
      </c>
      <c r="O337">
        <v>-2.7367089999999999E-3</v>
      </c>
      <c r="P337">
        <v>0.99150550000000004</v>
      </c>
      <c r="Q337">
        <v>0.1277083</v>
      </c>
      <c r="R337">
        <v>2.4647780000000001E-2</v>
      </c>
      <c r="S337">
        <v>3.0247190000000002</v>
      </c>
      <c r="T337">
        <v>5.0990340000000002E-2</v>
      </c>
      <c r="U337">
        <v>-0.223053</v>
      </c>
      <c r="V337">
        <v>-2.7408180000000001E-2</v>
      </c>
      <c r="W337">
        <v>0.1360082</v>
      </c>
      <c r="X337">
        <v>0.99032849999999994</v>
      </c>
      <c r="Y337">
        <v>7.0804400000000003E-2</v>
      </c>
      <c r="Z337">
        <v>5.4988490000000003E-4</v>
      </c>
      <c r="AA337">
        <v>0.99748999999999999</v>
      </c>
      <c r="AB337">
        <v>50</v>
      </c>
      <c r="AC337">
        <v>151.72039999999899</v>
      </c>
      <c r="AD337">
        <v>2.5620409999999998</v>
      </c>
      <c r="AE337">
        <v>-11.206899999999999</v>
      </c>
      <c r="AF337">
        <v>10.7885691881574</v>
      </c>
      <c r="AG337">
        <v>2.5620409999999998</v>
      </c>
      <c r="AH337">
        <v>151.70747718305699</v>
      </c>
      <c r="AI337">
        <v>89.034915705828993</v>
      </c>
      <c r="AJ337">
        <v>85.932299340477599</v>
      </c>
      <c r="AK337">
        <v>152.11218199888299</v>
      </c>
      <c r="AL337">
        <v>82.183076667966006</v>
      </c>
      <c r="AM337">
        <v>91.585304551546102</v>
      </c>
      <c r="AN337">
        <v>0.99999998835520099</v>
      </c>
    </row>
    <row r="338" spans="1:40" x14ac:dyDescent="0.3">
      <c r="A338" t="str">
        <f>"20200111150730621"</f>
        <v>20200111150730621</v>
      </c>
      <c r="B338" t="str">
        <f>"1578726450611367"</f>
        <v>1578726450611367</v>
      </c>
      <c r="C338" t="s">
        <v>40</v>
      </c>
      <c r="D338">
        <v>5.1439339999999998</v>
      </c>
      <c r="E338">
        <v>0.53620419999999902</v>
      </c>
      <c r="F338" t="s">
        <v>42</v>
      </c>
      <c r="G338">
        <v>-169.2955</v>
      </c>
      <c r="H338">
        <v>2.691954</v>
      </c>
      <c r="I338">
        <v>355.80880000000002</v>
      </c>
      <c r="J338">
        <v>-302.6336</v>
      </c>
      <c r="K338">
        <v>1.0596049999999999</v>
      </c>
      <c r="L338">
        <v>367.11160000000001</v>
      </c>
      <c r="M338">
        <v>0.99991200000000002</v>
      </c>
      <c r="N338">
        <v>0</v>
      </c>
      <c r="O338">
        <v>5.3769119999999898E-3</v>
      </c>
      <c r="P338">
        <v>0.99991609999999997</v>
      </c>
      <c r="Q338">
        <v>1.051322E-2</v>
      </c>
      <c r="R338">
        <v>-7.5719119999999897E-3</v>
      </c>
      <c r="S338">
        <v>3.0272830000000002</v>
      </c>
      <c r="T338">
        <v>3.1584139999999997E-2</v>
      </c>
      <c r="U338">
        <v>-0.22485350000000001</v>
      </c>
      <c r="V338">
        <v>1.293654E-2</v>
      </c>
      <c r="W338">
        <v>2.264623E-2</v>
      </c>
      <c r="X338">
        <v>0.99965979999999999</v>
      </c>
      <c r="Y338">
        <v>7.9428520000000002E-2</v>
      </c>
      <c r="Z338">
        <v>4.6979049999999999E-4</v>
      </c>
      <c r="AA338">
        <v>0.99684050000000002</v>
      </c>
      <c r="AB338">
        <v>51</v>
      </c>
      <c r="AC338">
        <v>133.3381</v>
      </c>
      <c r="AD338">
        <v>1.632349</v>
      </c>
      <c r="AE338">
        <v>-11.3027999999999</v>
      </c>
      <c r="AF338">
        <v>12.0178482698857</v>
      </c>
      <c r="AG338">
        <v>1.632349</v>
      </c>
      <c r="AH338">
        <v>133.255564931207</v>
      </c>
      <c r="AI338">
        <v>89.301012025044798</v>
      </c>
      <c r="AJ338">
        <v>84.846637834497301</v>
      </c>
      <c r="AK338">
        <v>133.80634822545201</v>
      </c>
      <c r="AL338">
        <v>88.702355615554197</v>
      </c>
      <c r="AM338">
        <v>89.258579997525104</v>
      </c>
      <c r="AN338">
        <v>0.99999996076821096</v>
      </c>
    </row>
    <row r="339" spans="1:40" x14ac:dyDescent="0.3">
      <c r="A339" t="str">
        <f>"20200111150730632"</f>
        <v>20200111150730632</v>
      </c>
      <c r="B339" t="str">
        <f>"1578726450621127"</f>
        <v>1578726450621127</v>
      </c>
      <c r="C339" t="s">
        <v>40</v>
      </c>
      <c r="D339">
        <v>5.1939399999999996</v>
      </c>
      <c r="E339">
        <v>0.48506650000000001</v>
      </c>
      <c r="F339" t="s">
        <v>41</v>
      </c>
      <c r="G339">
        <v>-301.51100000000002</v>
      </c>
      <c r="H339">
        <v>0.94219120000000001</v>
      </c>
      <c r="I339">
        <v>366.99489999999997</v>
      </c>
      <c r="J339">
        <v>-302.36630000000002</v>
      </c>
      <c r="K339">
        <v>1.059537</v>
      </c>
      <c r="L339">
        <v>367.113</v>
      </c>
      <c r="M339">
        <v>0.99991229999999998</v>
      </c>
      <c r="N339">
        <v>0</v>
      </c>
      <c r="O339">
        <v>5.4652349999999997E-3</v>
      </c>
      <c r="P339">
        <v>0.99992669999999995</v>
      </c>
      <c r="Q339">
        <v>8.6235959999999903E-3</v>
      </c>
      <c r="R339">
        <v>-8.5093189999999996E-3</v>
      </c>
      <c r="S339">
        <v>3.0011899999999998</v>
      </c>
      <c r="T339">
        <v>-0.31395339999999999</v>
      </c>
      <c r="U339">
        <v>-0.31176759999999998</v>
      </c>
      <c r="V339">
        <v>1.3963420000000001E-2</v>
      </c>
      <c r="W339">
        <v>2.0695470000000001E-2</v>
      </c>
      <c r="X339">
        <v>0.99968829999999997</v>
      </c>
      <c r="Y339">
        <v>0.108146699999999</v>
      </c>
      <c r="Z339">
        <v>-6.1949079999999998E-3</v>
      </c>
      <c r="AA339">
        <v>0.99411570000000005</v>
      </c>
      <c r="AB339">
        <v>51</v>
      </c>
      <c r="AC339">
        <v>0.85530000000005602</v>
      </c>
      <c r="AD339">
        <v>-0.1173458</v>
      </c>
      <c r="AE339">
        <v>-0.118100000000083</v>
      </c>
      <c r="AF339">
        <v>0.120546352398038</v>
      </c>
      <c r="AG339">
        <v>-0.1173458</v>
      </c>
      <c r="AH339">
        <v>0.83914175426851001</v>
      </c>
      <c r="AI339">
        <v>97.880764880165799</v>
      </c>
      <c r="AJ339">
        <v>81.825140304899904</v>
      </c>
      <c r="AK339">
        <v>0.85583897060775704</v>
      </c>
      <c r="AL339">
        <v>88.814152239633501</v>
      </c>
      <c r="AM339">
        <v>89.199757554021005</v>
      </c>
      <c r="AN339">
        <v>0.99999998836675297</v>
      </c>
    </row>
    <row r="340" spans="1:40" x14ac:dyDescent="0.3">
      <c r="A340" t="str">
        <f>"20200111150730644"</f>
        <v>20200111150730644</v>
      </c>
      <c r="B340" t="str">
        <f>"1578726450641623"</f>
        <v>1578726450641623</v>
      </c>
      <c r="C340" t="s">
        <v>40</v>
      </c>
      <c r="D340">
        <v>5.1181799999999997</v>
      </c>
      <c r="E340">
        <v>0.48631920000000001</v>
      </c>
      <c r="F340" t="s">
        <v>41</v>
      </c>
      <c r="G340">
        <v>-301.49720000000002</v>
      </c>
      <c r="H340">
        <v>0.97042870000000003</v>
      </c>
      <c r="I340">
        <v>367.14</v>
      </c>
      <c r="J340">
        <v>-302.10980000000001</v>
      </c>
      <c r="K340">
        <v>1.0594840000000001</v>
      </c>
      <c r="L340">
        <v>367.11450000000002</v>
      </c>
      <c r="M340">
        <v>0.99991260000000004</v>
      </c>
      <c r="N340">
        <v>0</v>
      </c>
      <c r="O340">
        <v>5.5495910000000004E-3</v>
      </c>
      <c r="P340">
        <v>0.99992530000000002</v>
      </c>
      <c r="Q340">
        <v>7.7225749999999998E-3</v>
      </c>
      <c r="R340">
        <v>-9.4974169999999993E-3</v>
      </c>
      <c r="S340">
        <v>3.0036930000000002</v>
      </c>
      <c r="T340">
        <v>-0.30800620000000001</v>
      </c>
      <c r="U340">
        <v>9.32312E-2</v>
      </c>
      <c r="V340">
        <v>1.503641E-2</v>
      </c>
      <c r="W340">
        <v>1.9738169999999999E-2</v>
      </c>
      <c r="X340">
        <v>0.99969209999999997</v>
      </c>
      <c r="Y340">
        <v>-2.5372289999999999E-2</v>
      </c>
      <c r="Z340">
        <v>7.2968539999999904E-4</v>
      </c>
      <c r="AA340">
        <v>0.99967779999999995</v>
      </c>
      <c r="AB340">
        <v>51</v>
      </c>
      <c r="AC340">
        <v>0.61259999999998604</v>
      </c>
      <c r="AD340">
        <v>-8.9055300000000004E-2</v>
      </c>
      <c r="AE340">
        <v>2.5499999999965401E-2</v>
      </c>
      <c r="AF340">
        <v>-2.1643086197967398E-2</v>
      </c>
      <c r="AG340">
        <v>-8.9055300000000004E-2</v>
      </c>
      <c r="AH340">
        <v>0.60007256315346102</v>
      </c>
      <c r="AI340">
        <v>98.436105702658907</v>
      </c>
      <c r="AJ340">
        <v>92.065617187190597</v>
      </c>
      <c r="AK340">
        <v>0.607030765849497</v>
      </c>
      <c r="AL340">
        <v>88.8690127085097</v>
      </c>
      <c r="AM340">
        <v>89.138276802856794</v>
      </c>
      <c r="AN340">
        <v>0.999999991891523</v>
      </c>
    </row>
    <row r="341" spans="1:40" x14ac:dyDescent="0.3">
      <c r="A341" t="str">
        <f>"20200111150730655"</f>
        <v>20200111150730655</v>
      </c>
      <c r="B341" t="str">
        <f>"1578726450651384"</f>
        <v>1578726450651384</v>
      </c>
      <c r="C341" t="s">
        <v>40</v>
      </c>
      <c r="D341">
        <v>5.2076690000000001</v>
      </c>
      <c r="E341">
        <v>0.48569869999999998</v>
      </c>
      <c r="F341" t="s">
        <v>41</v>
      </c>
      <c r="G341">
        <v>-301.05680000000001</v>
      </c>
      <c r="H341">
        <v>0.94065480000000001</v>
      </c>
      <c r="I341">
        <v>367.14280000000002</v>
      </c>
      <c r="J341">
        <v>-301.84649999999999</v>
      </c>
      <c r="K341">
        <v>1.0594349999999999</v>
      </c>
      <c r="L341">
        <v>367.11599999999999</v>
      </c>
      <c r="M341">
        <v>0.99991269999999999</v>
      </c>
      <c r="N341">
        <v>0</v>
      </c>
      <c r="O341">
        <v>5.6359560000000001E-3</v>
      </c>
      <c r="P341">
        <v>0.99991410000000003</v>
      </c>
      <c r="Q341">
        <v>7.6771000000000001E-3</v>
      </c>
      <c r="R341">
        <v>-1.0639590000000001E-2</v>
      </c>
      <c r="S341">
        <v>3.0036010000000002</v>
      </c>
      <c r="T341">
        <v>-0.33890490000000001</v>
      </c>
      <c r="U341">
        <v>8.0444340000000003E-2</v>
      </c>
      <c r="V341">
        <v>1.626493E-2</v>
      </c>
      <c r="W341">
        <v>1.9639009999999998E-2</v>
      </c>
      <c r="X341">
        <v>0.99967490000000003</v>
      </c>
      <c r="Y341">
        <v>-2.1040590000000001E-2</v>
      </c>
      <c r="Z341">
        <v>5.4924269999999896E-4</v>
      </c>
      <c r="AA341">
        <v>0.99977839999999996</v>
      </c>
      <c r="AB341">
        <v>51</v>
      </c>
      <c r="AC341">
        <v>0.78969999999998197</v>
      </c>
      <c r="AD341">
        <v>-0.1187802</v>
      </c>
      <c r="AE341">
        <v>2.6800000000036999E-2</v>
      </c>
      <c r="AF341">
        <v>-2.1854676883459701E-2</v>
      </c>
      <c r="AG341">
        <v>-0.1187802</v>
      </c>
      <c r="AH341">
        <v>0.77238441159819304</v>
      </c>
      <c r="AI341">
        <v>98.739227871237404</v>
      </c>
      <c r="AJ341">
        <v>91.620756089339594</v>
      </c>
      <c r="AK341">
        <v>0.78176981400768297</v>
      </c>
      <c r="AL341">
        <v>88.874695349911093</v>
      </c>
      <c r="AM341">
        <v>89.067867339451496</v>
      </c>
      <c r="AN341">
        <v>1.00000007217584</v>
      </c>
    </row>
    <row r="342" spans="1:40" x14ac:dyDescent="0.3">
      <c r="A342" t="str">
        <f>"20200111150730667"</f>
        <v>20200111150730667</v>
      </c>
      <c r="B342" t="str">
        <f>"1578726450661143"</f>
        <v>1578726450661143</v>
      </c>
      <c r="C342" t="s">
        <v>40</v>
      </c>
      <c r="D342">
        <v>5.1919719999999998</v>
      </c>
      <c r="E342">
        <v>0.4855217</v>
      </c>
      <c r="F342" t="s">
        <v>41</v>
      </c>
      <c r="G342">
        <v>-301.04430000000002</v>
      </c>
      <c r="H342">
        <v>0.96680299999999997</v>
      </c>
      <c r="I342">
        <v>367.13799999999998</v>
      </c>
      <c r="J342">
        <v>-301.57560000000001</v>
      </c>
      <c r="K342">
        <v>1.059388</v>
      </c>
      <c r="L342">
        <v>367.11759999999998</v>
      </c>
      <c r="M342">
        <v>0.99991289999999999</v>
      </c>
      <c r="N342">
        <v>0</v>
      </c>
      <c r="O342">
        <v>5.7235019999999897E-3</v>
      </c>
      <c r="P342">
        <v>0.99990270000000003</v>
      </c>
      <c r="Q342">
        <v>8.09427699999999E-3</v>
      </c>
      <c r="R342">
        <v>-1.137664E-2</v>
      </c>
      <c r="S342">
        <v>3.0037539999999998</v>
      </c>
      <c r="T342">
        <v>-0.34681200000000001</v>
      </c>
      <c r="U342">
        <v>8.203125E-2</v>
      </c>
      <c r="V342">
        <v>1.7089239999999999E-2</v>
      </c>
      <c r="W342">
        <v>2.0003239999999999E-2</v>
      </c>
      <c r="X342">
        <v>0.99965389999999998</v>
      </c>
      <c r="Y342">
        <v>-2.1472640000000001E-2</v>
      </c>
      <c r="Z342">
        <v>5.7672379999999996E-4</v>
      </c>
      <c r="AA342">
        <v>0.99976929999999997</v>
      </c>
      <c r="AB342">
        <v>51</v>
      </c>
      <c r="AC342">
        <v>0.531299999999987</v>
      </c>
      <c r="AD342">
        <v>-9.2584999999999903E-2</v>
      </c>
      <c r="AE342">
        <v>2.0400000000051901E-2</v>
      </c>
      <c r="AF342">
        <v>-1.6847693679506601E-2</v>
      </c>
      <c r="AG342">
        <v>-9.2584999999999903E-2</v>
      </c>
      <c r="AH342">
        <v>0.51576877965581303</v>
      </c>
      <c r="AI342">
        <v>100.171395484581</v>
      </c>
      <c r="AJ342">
        <v>91.870913225759395</v>
      </c>
      <c r="AK342">
        <v>0.52428356933530196</v>
      </c>
      <c r="AL342">
        <v>88.853822378596703</v>
      </c>
      <c r="AM342">
        <v>89.020615073919501</v>
      </c>
      <c r="AN342">
        <v>1.00000004575974</v>
      </c>
    </row>
    <row r="343" spans="1:40" x14ac:dyDescent="0.3">
      <c r="A343" t="str">
        <f>"20200111150730680"</f>
        <v>20200111150730680</v>
      </c>
      <c r="B343" t="str">
        <f>"1578726450671879"</f>
        <v>1578726450671879</v>
      </c>
      <c r="C343" t="s">
        <v>40</v>
      </c>
      <c r="D343">
        <v>5.2116040000000003</v>
      </c>
      <c r="E343">
        <v>0.48560140000000002</v>
      </c>
      <c r="F343" t="s">
        <v>41</v>
      </c>
      <c r="G343">
        <v>-300.59789999999998</v>
      </c>
      <c r="H343">
        <v>0.94893919999999998</v>
      </c>
      <c r="I343">
        <v>367.14370000000002</v>
      </c>
      <c r="J343">
        <v>-301.28469999999999</v>
      </c>
      <c r="K343">
        <v>1.059345</v>
      </c>
      <c r="L343">
        <v>367.11930000000001</v>
      </c>
      <c r="M343">
        <v>0.99991300000000005</v>
      </c>
      <c r="N343">
        <v>0</v>
      </c>
      <c r="O343">
        <v>5.8166030000000001E-3</v>
      </c>
      <c r="P343">
        <v>0.99989570000000005</v>
      </c>
      <c r="Q343">
        <v>8.4337570000000001E-3</v>
      </c>
      <c r="R343">
        <v>-1.174331E-2</v>
      </c>
      <c r="S343">
        <v>3.0039669999999998</v>
      </c>
      <c r="T343">
        <v>-0.3395997</v>
      </c>
      <c r="U343">
        <v>8.1237790000000004E-2</v>
      </c>
      <c r="V343">
        <v>1.7548729999999998E-2</v>
      </c>
      <c r="W343">
        <v>2.0287860000000001E-2</v>
      </c>
      <c r="X343">
        <v>0.99964019999999998</v>
      </c>
      <c r="Y343">
        <v>-2.112087E-2</v>
      </c>
      <c r="Z343">
        <v>5.3446229999999997E-4</v>
      </c>
      <c r="AA343">
        <v>0.99977680000000002</v>
      </c>
      <c r="AB343">
        <v>51</v>
      </c>
      <c r="AC343">
        <v>0.68680000000000496</v>
      </c>
      <c r="AD343">
        <v>-0.1104058</v>
      </c>
      <c r="AE343">
        <v>2.4400000000014101E-2</v>
      </c>
      <c r="AF343">
        <v>-1.9891090119175499E-2</v>
      </c>
      <c r="AG343">
        <v>-0.1104058</v>
      </c>
      <c r="AH343">
        <v>0.66964722211198902</v>
      </c>
      <c r="AI343">
        <v>99.358167940132802</v>
      </c>
      <c r="AJ343">
        <v>91.701404064907607</v>
      </c>
      <c r="AK343">
        <v>0.67897901162117802</v>
      </c>
      <c r="AL343">
        <v>88.837511540369903</v>
      </c>
      <c r="AM343">
        <v>88.994273243879903</v>
      </c>
      <c r="AN343">
        <v>1.0000000423220099</v>
      </c>
    </row>
    <row r="344" spans="1:40" x14ac:dyDescent="0.3">
      <c r="A344" t="str">
        <f>"20200111150730694"</f>
        <v>20200111150730694</v>
      </c>
      <c r="B344" t="str">
        <f>"1578726450691399"</f>
        <v>1578726450691399</v>
      </c>
      <c r="C344" t="s">
        <v>40</v>
      </c>
      <c r="D344">
        <v>5.1414479999999996</v>
      </c>
      <c r="E344">
        <v>0.48579800000000001</v>
      </c>
      <c r="F344" t="s">
        <v>41</v>
      </c>
      <c r="G344">
        <v>-300.15120000000002</v>
      </c>
      <c r="H344">
        <v>0.93083950000000004</v>
      </c>
      <c r="I344">
        <v>367.14909999999998</v>
      </c>
      <c r="J344">
        <v>-300.9579</v>
      </c>
      <c r="K344">
        <v>1.059294</v>
      </c>
      <c r="L344">
        <v>367.12119999999999</v>
      </c>
      <c r="M344">
        <v>0.99991300000000005</v>
      </c>
      <c r="N344">
        <v>0</v>
      </c>
      <c r="O344">
        <v>5.9190739999999999E-3</v>
      </c>
      <c r="P344">
        <v>0.99990400000000002</v>
      </c>
      <c r="Q344">
        <v>7.2614890000000003E-3</v>
      </c>
      <c r="R344">
        <v>-1.179584E-2</v>
      </c>
      <c r="S344">
        <v>3.0041199999999999</v>
      </c>
      <c r="T344">
        <v>-0.34073710000000001</v>
      </c>
      <c r="U344">
        <v>7.9528810000000005E-2</v>
      </c>
      <c r="V344">
        <v>1.770482E-2</v>
      </c>
      <c r="W344">
        <v>1.9055949999999999E-2</v>
      </c>
      <c r="X344">
        <v>0.99966160000000004</v>
      </c>
      <c r="Y344">
        <v>-2.0452990000000001E-2</v>
      </c>
      <c r="Z344">
        <v>4.8688520000000001E-4</v>
      </c>
      <c r="AA344">
        <v>0.99979070000000003</v>
      </c>
      <c r="AB344">
        <v>51</v>
      </c>
      <c r="AC344">
        <v>0.80669999999997799</v>
      </c>
      <c r="AD344">
        <v>-0.128454499999999</v>
      </c>
      <c r="AE344">
        <v>2.7899999999988202E-2</v>
      </c>
      <c r="AF344">
        <v>-2.25530974354834E-2</v>
      </c>
      <c r="AG344">
        <v>-0.128454499999999</v>
      </c>
      <c r="AH344">
        <v>0.78692195046847302</v>
      </c>
      <c r="AI344">
        <v>99.267263136007401</v>
      </c>
      <c r="AJ344">
        <v>91.641641426390507</v>
      </c>
      <c r="AK344">
        <v>0.79765616458677902</v>
      </c>
      <c r="AL344">
        <v>88.908108348427106</v>
      </c>
      <c r="AM344">
        <v>88.985351224323097</v>
      </c>
      <c r="AN344">
        <v>0.99999995219809601</v>
      </c>
    </row>
    <row r="345" spans="1:40" x14ac:dyDescent="0.3">
      <c r="A345" t="str">
        <f>"20200111150730707"</f>
        <v>20200111150730707</v>
      </c>
      <c r="B345" t="str">
        <f>"1578726450701159"</f>
        <v>1578726450701159</v>
      </c>
      <c r="C345" t="s">
        <v>40</v>
      </c>
      <c r="D345">
        <v>5.1299289999999997</v>
      </c>
      <c r="E345">
        <v>0.48607650000000002</v>
      </c>
      <c r="F345" t="s">
        <v>41</v>
      </c>
      <c r="G345">
        <v>-300.1377</v>
      </c>
      <c r="H345">
        <v>0.95934889999999995</v>
      </c>
      <c r="I345">
        <v>367.1422</v>
      </c>
      <c r="J345">
        <v>-300.69600000000003</v>
      </c>
      <c r="K345">
        <v>1.059259</v>
      </c>
      <c r="L345">
        <v>367.12279999999998</v>
      </c>
      <c r="M345">
        <v>0.9999133</v>
      </c>
      <c r="N345">
        <v>0</v>
      </c>
      <c r="O345">
        <v>5.9998400000000002E-3</v>
      </c>
      <c r="P345">
        <v>0.99990990000000002</v>
      </c>
      <c r="Q345">
        <v>6.7978149999999996E-3</v>
      </c>
      <c r="R345">
        <v>-1.158641E-2</v>
      </c>
      <c r="S345">
        <v>3.003876</v>
      </c>
      <c r="T345">
        <v>-0.36622480000000002</v>
      </c>
      <c r="U345">
        <v>7.7514650000000004E-2</v>
      </c>
      <c r="V345">
        <v>1.7576359999999999E-2</v>
      </c>
      <c r="W345">
        <v>1.8544870000000001E-2</v>
      </c>
      <c r="X345">
        <v>0.99967349999999999</v>
      </c>
      <c r="Y345">
        <v>-1.9696229999999999E-2</v>
      </c>
      <c r="Z345">
        <v>4.6733160000000002E-4</v>
      </c>
      <c r="AA345">
        <v>0.99980590000000003</v>
      </c>
      <c r="AB345">
        <v>51</v>
      </c>
      <c r="AC345">
        <v>0.55829999999997404</v>
      </c>
      <c r="AD345">
        <v>-9.9910100000000002E-2</v>
      </c>
      <c r="AE345">
        <v>1.9400000000018701E-2</v>
      </c>
      <c r="AF345">
        <v>-1.55522560359191E-2</v>
      </c>
      <c r="AG345">
        <v>-9.9910100000000002E-2</v>
      </c>
      <c r="AH345">
        <v>0.54109878757583196</v>
      </c>
      <c r="AI345">
        <v>100.457215679154</v>
      </c>
      <c r="AJ345">
        <v>91.646341482966506</v>
      </c>
      <c r="AK345">
        <v>0.55046507488291396</v>
      </c>
      <c r="AL345">
        <v>88.937396276345595</v>
      </c>
      <c r="AM345">
        <v>88.992723627823693</v>
      </c>
      <c r="AN345">
        <v>0.99999997361820703</v>
      </c>
    </row>
    <row r="346" spans="1:40" x14ac:dyDescent="0.3">
      <c r="A346" t="str">
        <f>"20200111150730717"</f>
        <v>20200111150730717</v>
      </c>
      <c r="B346" t="str">
        <f>"1578726450711895"</f>
        <v>1578726450711895</v>
      </c>
      <c r="C346" t="s">
        <v>40</v>
      </c>
      <c r="D346">
        <v>7.3967409999999996</v>
      </c>
      <c r="E346">
        <v>0.48607650000000002</v>
      </c>
      <c r="F346" t="s">
        <v>41</v>
      </c>
      <c r="G346">
        <v>-299.69420000000002</v>
      </c>
      <c r="H346">
        <v>0.93419739999999996</v>
      </c>
      <c r="I346">
        <v>367.14780000000002</v>
      </c>
      <c r="J346">
        <v>-300.42</v>
      </c>
      <c r="K346">
        <v>1.0592269999999999</v>
      </c>
      <c r="L346">
        <v>367.12450000000001</v>
      </c>
      <c r="M346">
        <v>0.9999133</v>
      </c>
      <c r="N346">
        <v>0</v>
      </c>
      <c r="O346">
        <v>6.0841309999999996E-3</v>
      </c>
      <c r="P346">
        <v>0.99991450000000004</v>
      </c>
      <c r="Q346">
        <v>6.6166139999999998E-3</v>
      </c>
      <c r="R346">
        <v>-1.129339E-2</v>
      </c>
      <c r="S346">
        <v>3.0036930000000002</v>
      </c>
      <c r="T346">
        <v>-0.37515880000000001</v>
      </c>
      <c r="U346">
        <v>7.5653079999999998E-2</v>
      </c>
      <c r="V346">
        <v>1.736789E-2</v>
      </c>
      <c r="W346">
        <v>1.8313639999999999E-2</v>
      </c>
      <c r="X346">
        <v>0.99968140000000005</v>
      </c>
      <c r="Y346">
        <v>-1.8995379999999999E-2</v>
      </c>
      <c r="Z346">
        <v>4.2460060000000001E-4</v>
      </c>
      <c r="AA346">
        <v>0.99981949999999997</v>
      </c>
      <c r="AB346">
        <v>51</v>
      </c>
      <c r="AC346">
        <v>0.72579999999999201</v>
      </c>
      <c r="AD346">
        <v>-0.12502959999999999</v>
      </c>
      <c r="AE346">
        <v>2.3300000000006E-2</v>
      </c>
      <c r="AF346">
        <v>-1.8339732710703199E-2</v>
      </c>
      <c r="AG346">
        <v>-0.12502959999999999</v>
      </c>
      <c r="AH346">
        <v>0.705028114938555</v>
      </c>
      <c r="AI346">
        <v>100.052943762415</v>
      </c>
      <c r="AJ346">
        <v>91.490085778399603</v>
      </c>
      <c r="AK346">
        <v>0.71626349168854897</v>
      </c>
      <c r="AL346">
        <v>88.950647023565494</v>
      </c>
      <c r="AM346">
        <v>89.004676195312996</v>
      </c>
      <c r="AN346">
        <v>0.99999996725953</v>
      </c>
    </row>
    <row r="347" spans="1:40" x14ac:dyDescent="0.3">
      <c r="A347" t="str">
        <f>"20200111150730729"</f>
        <v>20200111150730729</v>
      </c>
      <c r="B347" t="str">
        <f>"1578726450721655"</f>
        <v>1578726450721655</v>
      </c>
      <c r="C347" t="s">
        <v>40</v>
      </c>
      <c r="D347">
        <v>6.5695309999999996</v>
      </c>
      <c r="E347">
        <v>0.49712800000000001</v>
      </c>
      <c r="F347" t="s">
        <v>41</v>
      </c>
      <c r="G347">
        <v>-299.67880000000002</v>
      </c>
      <c r="H347">
        <v>0.96656319999999996</v>
      </c>
      <c r="I347">
        <v>367.1431</v>
      </c>
      <c r="J347">
        <v>-300.17579999999998</v>
      </c>
      <c r="K347">
        <v>1.05921</v>
      </c>
      <c r="L347">
        <v>367.12599999999998</v>
      </c>
      <c r="M347">
        <v>0.99991339999999995</v>
      </c>
      <c r="N347">
        <v>0</v>
      </c>
      <c r="O347">
        <v>6.1561059999999997E-3</v>
      </c>
      <c r="P347">
        <v>0.99991680000000005</v>
      </c>
      <c r="Q347">
        <v>6.8947260000000003E-3</v>
      </c>
      <c r="R347">
        <v>-1.0922599999999999E-2</v>
      </c>
      <c r="S347">
        <v>3.0036010000000002</v>
      </c>
      <c r="T347">
        <v>-0.37572280000000002</v>
      </c>
      <c r="U347">
        <v>7.6477050000000005E-2</v>
      </c>
      <c r="V347">
        <v>1.706906E-2</v>
      </c>
      <c r="W347">
        <v>1.8548200000000001E-2</v>
      </c>
      <c r="X347">
        <v>0.99968219999999997</v>
      </c>
      <c r="Y347">
        <v>-1.9196970000000001E-2</v>
      </c>
      <c r="Z347">
        <v>4.288362E-4</v>
      </c>
      <c r="AA347">
        <v>0.99981560000000003</v>
      </c>
      <c r="AB347">
        <v>51</v>
      </c>
      <c r="AC347">
        <v>0.49699999999995698</v>
      </c>
      <c r="AD347">
        <v>-9.2646800000000001E-2</v>
      </c>
      <c r="AE347">
        <v>1.71000000000276E-2</v>
      </c>
      <c r="AF347">
        <v>-1.3568928811561401E-2</v>
      </c>
      <c r="AG347">
        <v>-9.2646800000000001E-2</v>
      </c>
      <c r="AH347">
        <v>0.48042121880870098</v>
      </c>
      <c r="AI347">
        <v>100.91096165299901</v>
      </c>
      <c r="AJ347">
        <v>91.617821396179295</v>
      </c>
      <c r="AK347">
        <v>0.48946102282099102</v>
      </c>
      <c r="AL347">
        <v>88.937205417903201</v>
      </c>
      <c r="AM347">
        <v>89.021799052828598</v>
      </c>
      <c r="AN347">
        <v>0.99999994476468002</v>
      </c>
    </row>
    <row r="348" spans="1:40" x14ac:dyDescent="0.3">
      <c r="A348" t="str">
        <f>"20200111150730741"</f>
        <v>20200111150730741</v>
      </c>
      <c r="B348" t="str">
        <f>"1578726450731415"</f>
        <v>1578726450731415</v>
      </c>
      <c r="C348" t="s">
        <v>40</v>
      </c>
      <c r="D348">
        <v>5.2422279999999999</v>
      </c>
      <c r="E348">
        <v>0.49712800000000001</v>
      </c>
      <c r="F348" t="s">
        <v>42</v>
      </c>
      <c r="G348">
        <v>-158.19499999999999</v>
      </c>
      <c r="H348">
        <v>37.129849999999998</v>
      </c>
      <c r="I348">
        <v>366.70650000000001</v>
      </c>
      <c r="J348">
        <v>-299.91199999999998</v>
      </c>
      <c r="K348">
        <v>1.0591820000000001</v>
      </c>
      <c r="L348">
        <v>367.1277</v>
      </c>
      <c r="M348">
        <v>0.99991339999999995</v>
      </c>
      <c r="N348">
        <v>0</v>
      </c>
      <c r="O348">
        <v>6.2336379999999997E-3</v>
      </c>
      <c r="P348">
        <v>0.99991940000000001</v>
      </c>
      <c r="Q348">
        <v>7.4854309999999999E-3</v>
      </c>
      <c r="R348">
        <v>-1.026199E-2</v>
      </c>
      <c r="S348">
        <v>2.994904</v>
      </c>
      <c r="T348">
        <v>0.76086519999999902</v>
      </c>
      <c r="U348">
        <v>-8.8500980000000007E-3</v>
      </c>
      <c r="V348">
        <v>1.6486000000000001E-2</v>
      </c>
      <c r="W348">
        <v>1.909218E-2</v>
      </c>
      <c r="X348">
        <v>0.99968179999999995</v>
      </c>
      <c r="Y348">
        <v>8.7141579999999996E-3</v>
      </c>
      <c r="Z348">
        <v>2.648634E-3</v>
      </c>
      <c r="AA348">
        <v>0.99995849999999997</v>
      </c>
      <c r="AB348">
        <v>51</v>
      </c>
      <c r="AC348">
        <v>141.71700000000001</v>
      </c>
      <c r="AD348">
        <v>36.070667999999998</v>
      </c>
      <c r="AE348">
        <v>-0.42119999999999802</v>
      </c>
      <c r="AF348">
        <v>1.22528600767596</v>
      </c>
      <c r="AG348">
        <v>36.070667999999998</v>
      </c>
      <c r="AH348">
        <v>133.08968001912999</v>
      </c>
      <c r="AI348">
        <v>74.836299218056496</v>
      </c>
      <c r="AJ348">
        <v>89.472523086990805</v>
      </c>
      <c r="AK348">
        <v>137.896545799238</v>
      </c>
      <c r="AL348">
        <v>88.906032197248607</v>
      </c>
      <c r="AM348">
        <v>89.055206761324897</v>
      </c>
      <c r="AN348">
        <v>1.0000000003921901</v>
      </c>
    </row>
    <row r="349" spans="1:40" x14ac:dyDescent="0.3">
      <c r="A349" t="str">
        <f>"20200111150730766"</f>
        <v>20200111150730766</v>
      </c>
      <c r="B349" t="str">
        <f>"1578726450761671"</f>
        <v>1578726450761671</v>
      </c>
      <c r="C349" t="s">
        <v>40</v>
      </c>
      <c r="D349">
        <v>5.158995</v>
      </c>
      <c r="E349">
        <v>0.49712800000000001</v>
      </c>
      <c r="F349" t="s">
        <v>42</v>
      </c>
      <c r="G349">
        <v>-158.19499999999999</v>
      </c>
      <c r="H349">
        <v>37.152760000000001</v>
      </c>
      <c r="I349">
        <v>366.80990000000003</v>
      </c>
      <c r="J349">
        <v>-299.34460000000001</v>
      </c>
      <c r="K349">
        <v>1.059131</v>
      </c>
      <c r="L349">
        <v>367.13130000000001</v>
      </c>
      <c r="M349">
        <v>0.99991350000000001</v>
      </c>
      <c r="N349">
        <v>0</v>
      </c>
      <c r="O349">
        <v>6.3945529999999999E-3</v>
      </c>
      <c r="P349">
        <v>0.99992590000000003</v>
      </c>
      <c r="Q349">
        <v>8.0974540000000005E-3</v>
      </c>
      <c r="R349">
        <v>-9.1219490000000007E-3</v>
      </c>
      <c r="S349">
        <v>2.9944459999999999</v>
      </c>
      <c r="T349">
        <v>0.76264989999999999</v>
      </c>
      <c r="U349">
        <v>-6.7138669999999897E-3</v>
      </c>
      <c r="V349">
        <v>1.550676E-2</v>
      </c>
      <c r="W349">
        <v>1.9605640000000001E-2</v>
      </c>
      <c r="X349">
        <v>0.99968760000000001</v>
      </c>
      <c r="Y349">
        <v>8.1719900000000005E-3</v>
      </c>
      <c r="Z349">
        <v>2.6274319999999999E-3</v>
      </c>
      <c r="AA349">
        <v>0.99996320000000005</v>
      </c>
      <c r="AB349">
        <v>51</v>
      </c>
      <c r="AC349">
        <v>141.14959999999999</v>
      </c>
      <c r="AD349">
        <v>36.093629</v>
      </c>
      <c r="AE349">
        <v>-0.32139999999998198</v>
      </c>
      <c r="AF349">
        <v>1.14891606731141</v>
      </c>
      <c r="AG349">
        <v>36.093629</v>
      </c>
      <c r="AH349">
        <v>132.481902069851</v>
      </c>
      <c r="AI349">
        <v>74.7606443106515</v>
      </c>
      <c r="AJ349">
        <v>89.503129178743094</v>
      </c>
      <c r="AK349">
        <v>137.31541952222599</v>
      </c>
      <c r="AL349">
        <v>88.876607674739304</v>
      </c>
      <c r="AM349">
        <v>89.111321723081502</v>
      </c>
      <c r="AN349">
        <v>1.00000006915963</v>
      </c>
    </row>
    <row r="350" spans="1:40" x14ac:dyDescent="0.3">
      <c r="A350" t="str">
        <f>"20200111150730779"</f>
        <v>20200111150730779</v>
      </c>
      <c r="B350" t="str">
        <f>"1578726450771431"</f>
        <v>1578726450771431</v>
      </c>
      <c r="C350" t="s">
        <v>40</v>
      </c>
      <c r="D350">
        <v>5.1939869999999999</v>
      </c>
      <c r="E350">
        <v>0.55349789999999999</v>
      </c>
      <c r="F350" t="s">
        <v>42</v>
      </c>
      <c r="G350">
        <v>-158.19499999999999</v>
      </c>
      <c r="H350">
        <v>37.098300000000002</v>
      </c>
      <c r="I350">
        <v>366.97449999999998</v>
      </c>
      <c r="J350">
        <v>-299.03859999999997</v>
      </c>
      <c r="K350">
        <v>1.0590999999999999</v>
      </c>
      <c r="L350">
        <v>367.13319999999999</v>
      </c>
      <c r="M350">
        <v>0.99991350000000001</v>
      </c>
      <c r="N350">
        <v>0</v>
      </c>
      <c r="O350">
        <v>6.4794850000000001E-3</v>
      </c>
      <c r="P350">
        <v>0.9999325</v>
      </c>
      <c r="Q350">
        <v>7.9038419999999995E-3</v>
      </c>
      <c r="R350">
        <v>-8.5055630000000007E-3</v>
      </c>
      <c r="S350">
        <v>2.9940190000000002</v>
      </c>
      <c r="T350">
        <v>0.76445229999999997</v>
      </c>
      <c r="U350">
        <v>-3.326416E-3</v>
      </c>
      <c r="V350">
        <v>1.4975860000000001E-2</v>
      </c>
      <c r="W350">
        <v>1.936059E-2</v>
      </c>
      <c r="X350">
        <v>0.99970040000000004</v>
      </c>
      <c r="Y350">
        <v>7.1535260000000003E-3</v>
      </c>
      <c r="Z350">
        <v>2.527189E-3</v>
      </c>
      <c r="AA350">
        <v>0.99997119999999995</v>
      </c>
      <c r="AB350">
        <v>51</v>
      </c>
      <c r="AC350">
        <v>140.84359999999899</v>
      </c>
      <c r="AD350">
        <v>36.039200000000001</v>
      </c>
      <c r="AE350">
        <v>-0.15870000000001</v>
      </c>
      <c r="AF350">
        <v>1.0055143929580099</v>
      </c>
      <c r="AG350">
        <v>36.039200000000001</v>
      </c>
      <c r="AH350">
        <v>132.18481412666</v>
      </c>
      <c r="AI350">
        <v>74.749822190348496</v>
      </c>
      <c r="AJ350">
        <v>89.564166124925194</v>
      </c>
      <c r="AK350">
        <v>137.01335731064401</v>
      </c>
      <c r="AL350">
        <v>88.890650592613497</v>
      </c>
      <c r="AM350">
        <v>89.141753473625599</v>
      </c>
      <c r="AN350">
        <v>0.99999999929402295</v>
      </c>
    </row>
    <row r="351" spans="1:40" x14ac:dyDescent="0.3">
      <c r="A351" t="str">
        <f>"20200111150730789"</f>
        <v>20200111150730789</v>
      </c>
      <c r="B351" t="str">
        <f>"1578726450781191"</f>
        <v>1578726450781191</v>
      </c>
      <c r="C351" t="s">
        <v>40</v>
      </c>
      <c r="D351">
        <v>5.063593</v>
      </c>
      <c r="E351">
        <v>0.54874080000000003</v>
      </c>
      <c r="F351" t="s">
        <v>41</v>
      </c>
      <c r="G351">
        <v>-298.2921</v>
      </c>
      <c r="H351">
        <v>0.99682680000000001</v>
      </c>
      <c r="I351">
        <v>367.02030000000002</v>
      </c>
      <c r="J351">
        <v>-298.78219999999999</v>
      </c>
      <c r="K351">
        <v>1.059075</v>
      </c>
      <c r="L351">
        <v>367.13490000000002</v>
      </c>
      <c r="M351">
        <v>0.99991359999999996</v>
      </c>
      <c r="N351">
        <v>0</v>
      </c>
      <c r="O351">
        <v>6.5480969999999897E-3</v>
      </c>
      <c r="P351">
        <v>0.99994539999999998</v>
      </c>
      <c r="Q351">
        <v>6.9883860000000001E-3</v>
      </c>
      <c r="R351">
        <v>-7.7766319999999899E-3</v>
      </c>
      <c r="S351">
        <v>2.9983219999999999</v>
      </c>
      <c r="T351">
        <v>-0.25038460000000001</v>
      </c>
      <c r="U351">
        <v>-0.45257570000000003</v>
      </c>
      <c r="V351">
        <v>1.431607E-2</v>
      </c>
      <c r="W351">
        <v>1.8404219999999999E-2</v>
      </c>
      <c r="X351">
        <v>0.99972810000000001</v>
      </c>
      <c r="Y351">
        <v>0.155173799999999</v>
      </c>
      <c r="Z351">
        <v>-6.9745609999999998E-3</v>
      </c>
      <c r="AA351">
        <v>0.98786260000000004</v>
      </c>
      <c r="AB351">
        <v>51</v>
      </c>
      <c r="AC351">
        <v>0.49009999999998399</v>
      </c>
      <c r="AD351">
        <v>-6.2248199999999899E-2</v>
      </c>
      <c r="AE351">
        <v>-0.114599999999995</v>
      </c>
      <c r="AF351">
        <v>0.11603219784640401</v>
      </c>
      <c r="AG351">
        <v>-6.2248199999999899E-2</v>
      </c>
      <c r="AH351">
        <v>0.48196708134923</v>
      </c>
      <c r="AI351">
        <v>97.156991982838605</v>
      </c>
      <c r="AJ351">
        <v>76.4637969048608</v>
      </c>
      <c r="AK351">
        <v>0.49963044027020798</v>
      </c>
      <c r="AL351">
        <v>88.945456299261295</v>
      </c>
      <c r="AM351">
        <v>89.179582598616804</v>
      </c>
      <c r="AN351">
        <v>0.99999996955183101</v>
      </c>
    </row>
    <row r="352" spans="1:40" x14ac:dyDescent="0.3">
      <c r="A352" t="str">
        <f>"20200111150730801"</f>
        <v>20200111150730801</v>
      </c>
      <c r="B352" t="str">
        <f>"1578726450791927"</f>
        <v>1578726450791927</v>
      </c>
      <c r="C352" t="s">
        <v>40</v>
      </c>
      <c r="D352">
        <v>5.2580580000000001</v>
      </c>
      <c r="E352">
        <v>0.54964709999999894</v>
      </c>
      <c r="F352" t="s">
        <v>41</v>
      </c>
      <c r="G352">
        <v>-297.85169999999999</v>
      </c>
      <c r="H352">
        <v>0.96968129999999997</v>
      </c>
      <c r="I352">
        <v>367.00639999999999</v>
      </c>
      <c r="J352">
        <v>-298.51949999999999</v>
      </c>
      <c r="K352">
        <v>1.059045</v>
      </c>
      <c r="L352">
        <v>367.13670000000002</v>
      </c>
      <c r="M352">
        <v>0.99991350000000001</v>
      </c>
      <c r="N352">
        <v>0</v>
      </c>
      <c r="O352">
        <v>6.6180220000000003E-3</v>
      </c>
      <c r="P352">
        <v>0.99995889999999998</v>
      </c>
      <c r="Q352">
        <v>5.3136859999999998E-3</v>
      </c>
      <c r="R352">
        <v>-7.3531200000000003E-3</v>
      </c>
      <c r="S352">
        <v>2.9989620000000001</v>
      </c>
      <c r="T352">
        <v>-0.28841879999999998</v>
      </c>
      <c r="U352">
        <v>-0.41268919999999998</v>
      </c>
      <c r="V352">
        <v>1.3963339999999999E-2</v>
      </c>
      <c r="W352">
        <v>1.6688350000000001E-2</v>
      </c>
      <c r="X352">
        <v>0.99976330000000002</v>
      </c>
      <c r="Y352">
        <v>0.14220550000000001</v>
      </c>
      <c r="Z352">
        <v>-7.4227989999999999E-3</v>
      </c>
      <c r="AA352">
        <v>0.9898093</v>
      </c>
      <c r="AB352">
        <v>51</v>
      </c>
      <c r="AC352">
        <v>0.66779999999999895</v>
      </c>
      <c r="AD352">
        <v>-8.9363700000000004E-2</v>
      </c>
      <c r="AE352">
        <v>-0.130300000000033</v>
      </c>
      <c r="AF352">
        <v>0.132432417933142</v>
      </c>
      <c r="AG352">
        <v>-8.9363700000000004E-2</v>
      </c>
      <c r="AH352">
        <v>0.65561331544493495</v>
      </c>
      <c r="AI352">
        <v>97.6100467432464</v>
      </c>
      <c r="AJ352">
        <v>78.580049413317994</v>
      </c>
      <c r="AK352">
        <v>0.67479851480720399</v>
      </c>
      <c r="AL352">
        <v>89.043783652994406</v>
      </c>
      <c r="AM352">
        <v>89.199822162461501</v>
      </c>
      <c r="AN352">
        <v>1.0000000659582799</v>
      </c>
    </row>
    <row r="353" spans="1:40" x14ac:dyDescent="0.3">
      <c r="A353" t="str">
        <f>"20200111150730813"</f>
        <v>20200111150730813</v>
      </c>
      <c r="B353" t="str">
        <f>"1578726450801687"</f>
        <v>1578726450801687</v>
      </c>
      <c r="C353" t="s">
        <v>40</v>
      </c>
      <c r="D353">
        <v>5.2707610000000003</v>
      </c>
      <c r="E353">
        <v>0.55006100000000002</v>
      </c>
      <c r="F353" t="s">
        <v>41</v>
      </c>
      <c r="G353">
        <v>-297.40030000000002</v>
      </c>
      <c r="H353">
        <v>0.95590810000000004</v>
      </c>
      <c r="I353">
        <v>366.98050000000001</v>
      </c>
      <c r="J353">
        <v>-298.24520000000001</v>
      </c>
      <c r="K353">
        <v>1.0590139999999999</v>
      </c>
      <c r="L353">
        <v>367.13850000000002</v>
      </c>
      <c r="M353">
        <v>0.99991359999999996</v>
      </c>
      <c r="N353">
        <v>0</v>
      </c>
      <c r="O353">
        <v>6.6888969999999897E-3</v>
      </c>
      <c r="P353">
        <v>0.99997239999999998</v>
      </c>
      <c r="Q353">
        <v>3.1939109999999998E-3</v>
      </c>
      <c r="R353">
        <v>-6.7267059999999998E-3</v>
      </c>
      <c r="S353">
        <v>2.998535</v>
      </c>
      <c r="T353">
        <v>-0.27635900000000002</v>
      </c>
      <c r="U353">
        <v>-0.41848750000000001</v>
      </c>
      <c r="V353">
        <v>1.340912E-2</v>
      </c>
      <c r="W353">
        <v>1.4527109999999999E-2</v>
      </c>
      <c r="X353">
        <v>0.99980460000000004</v>
      </c>
      <c r="Y353">
        <v>0.14421879999999901</v>
      </c>
      <c r="Z353">
        <v>-7.21243699999999E-3</v>
      </c>
      <c r="AA353">
        <v>0.9895195</v>
      </c>
      <c r="AB353">
        <v>51</v>
      </c>
      <c r="AC353">
        <v>0.84489999999999499</v>
      </c>
      <c r="AD353">
        <v>-0.103105899999999</v>
      </c>
      <c r="AE353">
        <v>-0.15800000000001499</v>
      </c>
      <c r="AF353">
        <v>0.161326954246963</v>
      </c>
      <c r="AG353">
        <v>-0.103105899999999</v>
      </c>
      <c r="AH353">
        <v>0.83185468726780898</v>
      </c>
      <c r="AI353">
        <v>96.937636911513096</v>
      </c>
      <c r="AJ353">
        <v>79.024506772087094</v>
      </c>
      <c r="AK353">
        <v>0.85360379187936797</v>
      </c>
      <c r="AL353">
        <v>89.167628663010802</v>
      </c>
      <c r="AM353">
        <v>89.231609933718204</v>
      </c>
      <c r="AN353">
        <v>1.0000000398026401</v>
      </c>
    </row>
    <row r="354" spans="1:40" x14ac:dyDescent="0.3">
      <c r="A354" t="str">
        <f>"20200111150730829"</f>
        <v>20200111150730829</v>
      </c>
      <c r="B354" t="str">
        <f>"1578726450821211"</f>
        <v>1578726450821211</v>
      </c>
      <c r="C354" t="s">
        <v>40</v>
      </c>
      <c r="D354">
        <v>6.2211339999999904</v>
      </c>
      <c r="E354">
        <v>0.55087330000000001</v>
      </c>
      <c r="F354" t="s">
        <v>41</v>
      </c>
      <c r="G354">
        <v>-297.38979999999998</v>
      </c>
      <c r="H354">
        <v>0.98000039999999999</v>
      </c>
      <c r="I354">
        <v>367.01870000000002</v>
      </c>
      <c r="J354">
        <v>-297.87470000000002</v>
      </c>
      <c r="K354">
        <v>1.0589660000000001</v>
      </c>
      <c r="L354">
        <v>367.14109999999999</v>
      </c>
      <c r="M354">
        <v>0.99991339999999995</v>
      </c>
      <c r="N354">
        <v>0</v>
      </c>
      <c r="O354">
        <v>6.7828869999999996E-3</v>
      </c>
      <c r="P354">
        <v>0.99997820000000004</v>
      </c>
      <c r="Q354">
        <v>-2.943757E-3</v>
      </c>
      <c r="R354">
        <v>-5.9213800000000004E-3</v>
      </c>
      <c r="S354">
        <v>2.9981080000000002</v>
      </c>
      <c r="T354">
        <v>-0.2769604</v>
      </c>
      <c r="U354">
        <v>-0.42004390000000003</v>
      </c>
      <c r="V354">
        <v>1.2700599999999999E-2</v>
      </c>
      <c r="W354">
        <v>8.3372280000000003E-3</v>
      </c>
      <c r="X354">
        <v>0.99988460000000001</v>
      </c>
      <c r="Y354">
        <v>0.14482909999999999</v>
      </c>
      <c r="Z354">
        <v>-7.2654429999999999E-3</v>
      </c>
      <c r="AA354">
        <v>0.98943000000000003</v>
      </c>
      <c r="AB354">
        <v>51</v>
      </c>
      <c r="AC354">
        <v>0.48490000000003802</v>
      </c>
      <c r="AD354">
        <v>-7.89655999999999E-2</v>
      </c>
      <c r="AE354">
        <v>-0.12239999999997001</v>
      </c>
      <c r="AF354">
        <v>0.122629109809074</v>
      </c>
      <c r="AG354">
        <v>-7.89655999999999E-2</v>
      </c>
      <c r="AH354">
        <v>0.47228390593523101</v>
      </c>
      <c r="AI354">
        <v>99.192655241907602</v>
      </c>
      <c r="AJ354">
        <v>75.444501675617502</v>
      </c>
      <c r="AK354">
        <v>0.49429298231045499</v>
      </c>
      <c r="AL354">
        <v>89.522306495294202</v>
      </c>
      <c r="AM354">
        <v>89.272264374047296</v>
      </c>
      <c r="AN354">
        <v>1.0000000139641201</v>
      </c>
    </row>
    <row r="355" spans="1:40" x14ac:dyDescent="0.3">
      <c r="A355" t="str">
        <f>"20200111150730841"</f>
        <v>20200111150730841</v>
      </c>
      <c r="B355" t="str">
        <f>"1578726450831943"</f>
        <v>1578726450831943</v>
      </c>
      <c r="C355" t="s">
        <v>40</v>
      </c>
      <c r="D355">
        <v>5.1802299999999999</v>
      </c>
      <c r="E355">
        <v>0.55128199999999905</v>
      </c>
      <c r="F355" t="s">
        <v>41</v>
      </c>
      <c r="G355">
        <v>-296.93740000000003</v>
      </c>
      <c r="H355">
        <v>0.96895969999999998</v>
      </c>
      <c r="I355">
        <v>367.00810000000001</v>
      </c>
      <c r="J355">
        <v>-297.6173</v>
      </c>
      <c r="K355">
        <v>1.0589379999999999</v>
      </c>
      <c r="L355">
        <v>367.14280000000002</v>
      </c>
      <c r="M355">
        <v>0.99991350000000001</v>
      </c>
      <c r="N355">
        <v>0</v>
      </c>
      <c r="O355">
        <v>6.8472339999999998E-3</v>
      </c>
      <c r="P355">
        <v>0.99996629999999997</v>
      </c>
      <c r="Q355">
        <v>-6.0012939999999999E-3</v>
      </c>
      <c r="R355">
        <v>-5.6594310000000004E-3</v>
      </c>
      <c r="S355">
        <v>2.9967039999999998</v>
      </c>
      <c r="T355">
        <v>-0.28785749999999999</v>
      </c>
      <c r="U355">
        <v>-0.4245911</v>
      </c>
      <c r="V355">
        <v>1.2504380000000001E-2</v>
      </c>
      <c r="W355">
        <v>5.2450109999999999E-3</v>
      </c>
      <c r="X355">
        <v>0.99990809999999997</v>
      </c>
      <c r="Y355">
        <v>0.14637</v>
      </c>
      <c r="Z355">
        <v>-7.6323479999999997E-3</v>
      </c>
      <c r="AA355">
        <v>0.98920050000000004</v>
      </c>
      <c r="AB355">
        <v>51</v>
      </c>
      <c r="AC355">
        <v>0.67989999999997497</v>
      </c>
      <c r="AD355">
        <v>-8.99782999999999E-2</v>
      </c>
      <c r="AE355">
        <v>-0.13470000000000901</v>
      </c>
      <c r="AF355">
        <v>0.13704304706359399</v>
      </c>
      <c r="AG355">
        <v>-8.99782999999999E-2</v>
      </c>
      <c r="AH355">
        <v>0.66770908781459304</v>
      </c>
      <c r="AI355">
        <v>97.519855617188398</v>
      </c>
      <c r="AJ355">
        <v>78.401477582362304</v>
      </c>
      <c r="AK355">
        <v>0.68754077491415799</v>
      </c>
      <c r="AL355">
        <v>89.699481640041896</v>
      </c>
      <c r="AM355">
        <v>89.283523300889001</v>
      </c>
      <c r="AN355">
        <v>1.0000000390525901</v>
      </c>
    </row>
    <row r="356" spans="1:40" x14ac:dyDescent="0.3">
      <c r="A356" t="str">
        <f>"20200111150730853"</f>
        <v>20200111150730853</v>
      </c>
      <c r="B356" t="str">
        <f>"1578726450841703"</f>
        <v>1578726450841703</v>
      </c>
      <c r="C356" t="s">
        <v>40</v>
      </c>
      <c r="D356">
        <v>5.1986929999999996</v>
      </c>
      <c r="E356">
        <v>0.5520832</v>
      </c>
      <c r="F356" t="s">
        <v>41</v>
      </c>
      <c r="G356">
        <v>-296.49020000000002</v>
      </c>
      <c r="H356">
        <v>0.94520649999999995</v>
      </c>
      <c r="I356">
        <v>366.98219999999998</v>
      </c>
      <c r="J356">
        <v>-297.3383</v>
      </c>
      <c r="K356">
        <v>1.058905</v>
      </c>
      <c r="L356">
        <v>367.14479999999998</v>
      </c>
      <c r="M356">
        <v>0.9999133</v>
      </c>
      <c r="N356">
        <v>0</v>
      </c>
      <c r="O356">
        <v>6.9152750000000002E-3</v>
      </c>
      <c r="P356">
        <v>0.99995120000000004</v>
      </c>
      <c r="Q356">
        <v>-8.5189879999999999E-3</v>
      </c>
      <c r="R356">
        <v>-5.0256279999999999E-3</v>
      </c>
      <c r="S356">
        <v>2.9958499999999999</v>
      </c>
      <c r="T356">
        <v>-0.3023304</v>
      </c>
      <c r="U356">
        <v>-0.4268188</v>
      </c>
      <c r="V356">
        <v>1.193959E-2</v>
      </c>
      <c r="W356">
        <v>2.6925220000000001E-3</v>
      </c>
      <c r="X356">
        <v>0.99992510000000001</v>
      </c>
      <c r="Y356">
        <v>0.147122</v>
      </c>
      <c r="Z356">
        <v>-8.0605360000000001E-3</v>
      </c>
      <c r="AA356">
        <v>0.98908549999999995</v>
      </c>
      <c r="AB356">
        <v>51</v>
      </c>
      <c r="AC356">
        <v>0.84809999999998797</v>
      </c>
      <c r="AD356">
        <v>-0.11369849999999899</v>
      </c>
      <c r="AE356">
        <v>-0.162599999999997</v>
      </c>
      <c r="AF356">
        <v>0.165590715191299</v>
      </c>
      <c r="AG356">
        <v>-0.11369849999999899</v>
      </c>
      <c r="AH356">
        <v>0.83252296435703999</v>
      </c>
      <c r="AI356">
        <v>97.629192142078793</v>
      </c>
      <c r="AJ356">
        <v>78.750556005744599</v>
      </c>
      <c r="AK356">
        <v>0.85641235397537896</v>
      </c>
      <c r="AL356">
        <v>89.845729667453298</v>
      </c>
      <c r="AM356">
        <v>89.315893152825197</v>
      </c>
      <c r="AN356">
        <v>1.0000000045470401</v>
      </c>
    </row>
    <row r="357" spans="1:40" x14ac:dyDescent="0.3">
      <c r="A357" t="str">
        <f>"20200111150730866"</f>
        <v>20200111150730866</v>
      </c>
      <c r="B357" t="str">
        <f>"1578726450861223"</f>
        <v>1578726450861223</v>
      </c>
      <c r="C357" t="s">
        <v>40</v>
      </c>
      <c r="D357">
        <v>5.9293659999999999</v>
      </c>
      <c r="E357">
        <v>0.53254729999999995</v>
      </c>
      <c r="F357" t="s">
        <v>41</v>
      </c>
      <c r="G357">
        <v>-296.4796</v>
      </c>
      <c r="H357">
        <v>0.97001870000000001</v>
      </c>
      <c r="I357">
        <v>367.02109999999999</v>
      </c>
      <c r="J357">
        <v>-297.05669999999998</v>
      </c>
      <c r="K357">
        <v>1.0588850000000001</v>
      </c>
      <c r="L357">
        <v>367.14670000000001</v>
      </c>
      <c r="M357">
        <v>0.9999133</v>
      </c>
      <c r="N357">
        <v>0</v>
      </c>
      <c r="O357">
        <v>6.9834279999999999E-3</v>
      </c>
      <c r="P357">
        <v>0.9999403</v>
      </c>
      <c r="Q357">
        <v>-1.011594E-2</v>
      </c>
      <c r="R357">
        <v>-4.151213E-3</v>
      </c>
      <c r="S357">
        <v>2.9953310000000002</v>
      </c>
      <c r="T357">
        <v>-0.31009199999999998</v>
      </c>
      <c r="U357">
        <v>-0.43151859999999997</v>
      </c>
      <c r="V357">
        <v>1.1134099999999999E-2</v>
      </c>
      <c r="W357">
        <v>1.062218E-3</v>
      </c>
      <c r="X357">
        <v>0.99993750000000003</v>
      </c>
      <c r="Y357">
        <v>0.1486854</v>
      </c>
      <c r="Z357">
        <v>-8.3542059999999994E-3</v>
      </c>
      <c r="AA357">
        <v>0.98884930000000004</v>
      </c>
      <c r="AB357">
        <v>51</v>
      </c>
      <c r="AC357">
        <v>0.57709999999997297</v>
      </c>
      <c r="AD357">
        <v>-8.8866299999999995E-2</v>
      </c>
      <c r="AE357">
        <v>-0.125600000000019</v>
      </c>
      <c r="AF357">
        <v>0.126757555250122</v>
      </c>
      <c r="AG357">
        <v>-8.8866299999999995E-2</v>
      </c>
      <c r="AH357">
        <v>0.563452290351379</v>
      </c>
      <c r="AI357">
        <v>98.747602081172502</v>
      </c>
      <c r="AJ357">
        <v>77.321475810766202</v>
      </c>
      <c r="AK357">
        <v>0.58433139620500696</v>
      </c>
      <c r="AL357">
        <v>89.939139383287298</v>
      </c>
      <c r="AM357">
        <v>89.3620495520491</v>
      </c>
      <c r="AN357">
        <v>1.0000000501980599</v>
      </c>
    </row>
    <row r="358" spans="1:40" x14ac:dyDescent="0.3">
      <c r="A358" t="str">
        <f>"20200111150730901"</f>
        <v>20200111150730901</v>
      </c>
      <c r="B358" t="str">
        <f>"1578726450891479"</f>
        <v>1578726450891479</v>
      </c>
      <c r="C358" t="s">
        <v>40</v>
      </c>
      <c r="D358">
        <v>5.0775100000000002</v>
      </c>
      <c r="E358">
        <v>0.54127239999999999</v>
      </c>
      <c r="F358" t="s">
        <v>42</v>
      </c>
      <c r="G358">
        <v>-158.19499999999999</v>
      </c>
      <c r="H358">
        <v>50.094479999999997</v>
      </c>
      <c r="I358">
        <v>354.73410000000001</v>
      </c>
      <c r="J358">
        <v>-296.24380000000002</v>
      </c>
      <c r="K358">
        <v>1.058845</v>
      </c>
      <c r="L358">
        <v>367.15260000000001</v>
      </c>
      <c r="M358">
        <v>0.99991289999999999</v>
      </c>
      <c r="N358">
        <v>0</v>
      </c>
      <c r="O358">
        <v>7.1760110000000004E-3</v>
      </c>
      <c r="P358">
        <v>0.99992740000000002</v>
      </c>
      <c r="Q358">
        <v>-1.1899079999999999E-2</v>
      </c>
      <c r="R358">
        <v>-1.9556690000000002E-3</v>
      </c>
      <c r="S358">
        <v>3.009827</v>
      </c>
      <c r="T358">
        <v>1.062848</v>
      </c>
      <c r="U358">
        <v>-0.26904299999999998</v>
      </c>
      <c r="V358">
        <v>9.13191E-3</v>
      </c>
      <c r="W358">
        <v>-8.0457E-4</v>
      </c>
      <c r="X358">
        <v>0.99995800000000001</v>
      </c>
      <c r="Y358">
        <v>9.0322899999999998E-2</v>
      </c>
      <c r="Z358">
        <v>1.790655E-2</v>
      </c>
      <c r="AA358">
        <v>0.99575159999999996</v>
      </c>
      <c r="AB358">
        <v>51</v>
      </c>
      <c r="AC358">
        <v>138.0488</v>
      </c>
      <c r="AD358">
        <v>49.035634999999999</v>
      </c>
      <c r="AE358">
        <v>-12.4184999999999</v>
      </c>
      <c r="AF358">
        <v>11.917333126726099</v>
      </c>
      <c r="AG358">
        <v>49.035634999999999</v>
      </c>
      <c r="AH358">
        <v>122.61046448609299</v>
      </c>
      <c r="AI358">
        <v>68.294752277383395</v>
      </c>
      <c r="AJ358">
        <v>84.448477318911202</v>
      </c>
      <c r="AK358">
        <v>132.588997772071</v>
      </c>
      <c r="AL358">
        <v>90.046098469354106</v>
      </c>
      <c r="AM358">
        <v>89.476772667132394</v>
      </c>
      <c r="AN358">
        <v>1.00000002043856</v>
      </c>
    </row>
    <row r="359" spans="1:40" x14ac:dyDescent="0.3">
      <c r="A359" t="str">
        <f>"20200111150730923"</f>
        <v>20200111150730923</v>
      </c>
      <c r="B359" t="str">
        <f>"1578726450921735"</f>
        <v>1578726450921735</v>
      </c>
      <c r="C359" t="s">
        <v>40</v>
      </c>
      <c r="D359">
        <v>5.171875</v>
      </c>
      <c r="E359">
        <v>0.55960290000000001</v>
      </c>
      <c r="F359" t="s">
        <v>42</v>
      </c>
      <c r="G359">
        <v>-158.78319999999999</v>
      </c>
      <c r="H359">
        <v>43.813639999999999</v>
      </c>
      <c r="I359">
        <v>351.95119999999997</v>
      </c>
      <c r="J359">
        <v>-295.72980000000001</v>
      </c>
      <c r="K359">
        <v>1.058824</v>
      </c>
      <c r="L359">
        <v>367.15629999999999</v>
      </c>
      <c r="M359">
        <v>0.99991229999999998</v>
      </c>
      <c r="N359">
        <v>0</v>
      </c>
      <c r="O359">
        <v>7.2955859999999997E-3</v>
      </c>
      <c r="P359">
        <v>0.99992400000000004</v>
      </c>
      <c r="Q359">
        <v>-1.225273E-2</v>
      </c>
      <c r="R359">
        <v>-1.3531610000000001E-3</v>
      </c>
      <c r="S359">
        <v>3.0107119999999998</v>
      </c>
      <c r="T359">
        <v>0.93643240000000005</v>
      </c>
      <c r="U359">
        <v>-0.33294679999999999</v>
      </c>
      <c r="V359">
        <v>8.6490219999999993E-3</v>
      </c>
      <c r="W359">
        <v>-1.201815E-3</v>
      </c>
      <c r="X359">
        <v>0.99996189999999996</v>
      </c>
      <c r="Y359">
        <v>0.1116125</v>
      </c>
      <c r="Z359">
        <v>1.911972E-2</v>
      </c>
      <c r="AA359">
        <v>0.99356789999999995</v>
      </c>
      <c r="AB359">
        <v>51</v>
      </c>
      <c r="AC359">
        <v>136.94659999999999</v>
      </c>
      <c r="AD359">
        <v>42.754815999999998</v>
      </c>
      <c r="AE359">
        <v>-15.2051</v>
      </c>
      <c r="AF359">
        <v>14.780738313550099</v>
      </c>
      <c r="AG359">
        <v>42.754815999999998</v>
      </c>
      <c r="AH359">
        <v>124.814581167865</v>
      </c>
      <c r="AI359">
        <v>71.213249838009006</v>
      </c>
      <c r="AJ359">
        <v>83.246396888590596</v>
      </c>
      <c r="AK359">
        <v>132.759648193256</v>
      </c>
      <c r="AL359">
        <v>90.068858942062207</v>
      </c>
      <c r="AM359">
        <v>89.504441018770507</v>
      </c>
      <c r="AN359">
        <v>1.00000002569623</v>
      </c>
    </row>
    <row r="360" spans="1:40" x14ac:dyDescent="0.3">
      <c r="A360" t="str">
        <f>"20200111150730935"</f>
        <v>20200111150730935</v>
      </c>
      <c r="B360" t="str">
        <f>"1578726450931495"</f>
        <v>1578726450931495</v>
      </c>
      <c r="C360" t="s">
        <v>40</v>
      </c>
      <c r="D360">
        <v>5.2715620000000003</v>
      </c>
      <c r="E360">
        <v>0.55824399999999996</v>
      </c>
      <c r="F360" t="s">
        <v>41</v>
      </c>
      <c r="G360">
        <v>-294.65359999999998</v>
      </c>
      <c r="H360">
        <v>0.95055849999999997</v>
      </c>
      <c r="I360">
        <v>366.98390000000001</v>
      </c>
      <c r="J360">
        <v>-295.46100000000001</v>
      </c>
      <c r="K360">
        <v>1.05881</v>
      </c>
      <c r="L360">
        <v>367.1583</v>
      </c>
      <c r="M360">
        <v>0.99991209999999997</v>
      </c>
      <c r="N360">
        <v>0</v>
      </c>
      <c r="O360">
        <v>7.3576639999999999E-3</v>
      </c>
      <c r="P360">
        <v>0.99991819999999998</v>
      </c>
      <c r="Q360">
        <v>-1.2756730000000001E-2</v>
      </c>
      <c r="R360">
        <v>-1.005737E-3</v>
      </c>
      <c r="S360">
        <v>2.9958499999999999</v>
      </c>
      <c r="T360">
        <v>-0.30133179999999998</v>
      </c>
      <c r="U360">
        <v>-0.48004150000000001</v>
      </c>
      <c r="V360">
        <v>8.3638480000000001E-3</v>
      </c>
      <c r="W360">
        <v>-1.726371E-3</v>
      </c>
      <c r="X360">
        <v>0.99996350000000001</v>
      </c>
      <c r="Y360">
        <v>0.164632</v>
      </c>
      <c r="Z360">
        <v>-8.9405049999999996E-3</v>
      </c>
      <c r="AA360">
        <v>0.98631449999999998</v>
      </c>
      <c r="AB360">
        <v>51</v>
      </c>
      <c r="AC360">
        <v>0.80740000000002898</v>
      </c>
      <c r="AD360">
        <v>-0.1082515</v>
      </c>
      <c r="AE360">
        <v>-0.17439999999999101</v>
      </c>
      <c r="AF360">
        <v>0.17729131485017</v>
      </c>
      <c r="AG360">
        <v>-0.1082515</v>
      </c>
      <c r="AH360">
        <v>0.79248430577654005</v>
      </c>
      <c r="AI360">
        <v>97.592911381457796</v>
      </c>
      <c r="AJ360">
        <v>77.389665774024294</v>
      </c>
      <c r="AK360">
        <v>0.81925696364185896</v>
      </c>
      <c r="AL360">
        <v>90.098913824489799</v>
      </c>
      <c r="AM360">
        <v>89.520780492231395</v>
      </c>
      <c r="AN360">
        <v>0.99999996782122202</v>
      </c>
    </row>
    <row r="361" spans="1:40" x14ac:dyDescent="0.3">
      <c r="A361" t="str">
        <f>"20200111150730947"</f>
        <v>20200111150730947</v>
      </c>
      <c r="B361" t="str">
        <f>"1578726450941255"</f>
        <v>1578726450941255</v>
      </c>
      <c r="C361" t="s">
        <v>40</v>
      </c>
      <c r="D361">
        <v>5.0156299999999998</v>
      </c>
      <c r="E361">
        <v>0.55765969999999998</v>
      </c>
      <c r="F361" t="s">
        <v>41</v>
      </c>
      <c r="G361">
        <v>-294.64190000000002</v>
      </c>
      <c r="H361">
        <v>0.97820569999999896</v>
      </c>
      <c r="I361">
        <v>367.03030000000001</v>
      </c>
      <c r="J361">
        <v>-295.19479999999999</v>
      </c>
      <c r="K361">
        <v>1.0588029999999999</v>
      </c>
      <c r="L361">
        <v>367.16030000000001</v>
      </c>
      <c r="M361">
        <v>0.99991180000000002</v>
      </c>
      <c r="N361">
        <v>0</v>
      </c>
      <c r="O361">
        <v>7.4191889999999996E-3</v>
      </c>
      <c r="P361">
        <v>0.99990369999999995</v>
      </c>
      <c r="Q361">
        <v>-1.385313E-2</v>
      </c>
      <c r="R361">
        <v>-8.2725059999999996E-4</v>
      </c>
      <c r="S361">
        <v>2.9960019999999998</v>
      </c>
      <c r="T361">
        <v>-0.29475190000000001</v>
      </c>
      <c r="U361">
        <v>-0.46847529999999998</v>
      </c>
      <c r="V361">
        <v>8.247318E-3</v>
      </c>
      <c r="W361">
        <v>-2.840361E-3</v>
      </c>
      <c r="X361">
        <v>0.99996200000000002</v>
      </c>
      <c r="Y361">
        <v>0.16102179999999999</v>
      </c>
      <c r="Z361">
        <v>-8.5782800000000006E-3</v>
      </c>
      <c r="AA361">
        <v>0.98691359999999995</v>
      </c>
      <c r="AB361">
        <v>51</v>
      </c>
      <c r="AC361">
        <v>0.55289999999996498</v>
      </c>
      <c r="AD361">
        <v>-8.0597300000000302E-2</v>
      </c>
      <c r="AE361">
        <v>-0.12999999999999501</v>
      </c>
      <c r="AF361">
        <v>0.13145179294401099</v>
      </c>
      <c r="AG361">
        <v>-8.0597300000000302E-2</v>
      </c>
      <c r="AH361">
        <v>0.54102598901302501</v>
      </c>
      <c r="AI361">
        <v>98.236900072332006</v>
      </c>
      <c r="AJ361">
        <v>76.3436040798222</v>
      </c>
      <c r="AK361">
        <v>0.56256965739631504</v>
      </c>
      <c r="AL361">
        <v>90.162740909309207</v>
      </c>
      <c r="AM361">
        <v>89.527456243714894</v>
      </c>
      <c r="AN361">
        <v>1.0000000436744001</v>
      </c>
    </row>
    <row r="362" spans="1:40" x14ac:dyDescent="0.3">
      <c r="A362" t="str">
        <f>"20200111150730958"</f>
        <v>20200111150730958</v>
      </c>
      <c r="B362" t="str">
        <f>"1578726450951991"</f>
        <v>1578726450951991</v>
      </c>
      <c r="C362" t="s">
        <v>40</v>
      </c>
      <c r="D362">
        <v>5.159313</v>
      </c>
      <c r="E362">
        <v>0.55716999999999905</v>
      </c>
      <c r="F362" t="s">
        <v>41</v>
      </c>
      <c r="G362">
        <v>-294.19529999999997</v>
      </c>
      <c r="H362">
        <v>0.95027070000000002</v>
      </c>
      <c r="I362">
        <v>367.00549999999998</v>
      </c>
      <c r="J362">
        <v>-294.91849999999999</v>
      </c>
      <c r="K362">
        <v>1.058794</v>
      </c>
      <c r="L362">
        <v>367.16239999999999</v>
      </c>
      <c r="M362">
        <v>0.99991149999999995</v>
      </c>
      <c r="N362">
        <v>0</v>
      </c>
      <c r="O362">
        <v>7.4830909999999999E-3</v>
      </c>
      <c r="P362">
        <v>0.99989950000000005</v>
      </c>
      <c r="Q362">
        <v>-1.4153000000000001E-2</v>
      </c>
      <c r="R362">
        <v>-7.4519409999999995E-4</v>
      </c>
      <c r="S362">
        <v>2.9953919999999998</v>
      </c>
      <c r="T362">
        <v>-0.3254727</v>
      </c>
      <c r="U362">
        <v>-0.46310420000000002</v>
      </c>
      <c r="V362">
        <v>8.2292110000000002E-3</v>
      </c>
      <c r="W362">
        <v>-3.1567639999999998E-3</v>
      </c>
      <c r="X362">
        <v>0.99996110000000005</v>
      </c>
      <c r="Y362">
        <v>0.15922310000000001</v>
      </c>
      <c r="Z362">
        <v>-9.3806600000000007E-3</v>
      </c>
      <c r="AA362">
        <v>0.98719809999999997</v>
      </c>
      <c r="AB362">
        <v>51</v>
      </c>
      <c r="AC362">
        <v>0.72320000000001905</v>
      </c>
      <c r="AD362">
        <v>-0.1085233</v>
      </c>
      <c r="AE362">
        <v>-0.15690000000000701</v>
      </c>
      <c r="AF362">
        <v>0.15889064657100499</v>
      </c>
      <c r="AG362">
        <v>-0.1085233</v>
      </c>
      <c r="AH362">
        <v>0.70680522130243595</v>
      </c>
      <c r="AI362">
        <v>98.519675189452997</v>
      </c>
      <c r="AJ362">
        <v>77.330459701265596</v>
      </c>
      <c r="AK362">
        <v>0.732527927843729</v>
      </c>
      <c r="AL362">
        <v>90.180869564775193</v>
      </c>
      <c r="AM362">
        <v>89.528493243051898</v>
      </c>
      <c r="AN362">
        <v>0.99999994329291997</v>
      </c>
    </row>
    <row r="363" spans="1:40" x14ac:dyDescent="0.3">
      <c r="A363" t="str">
        <f>"20200111150730974"</f>
        <v>20200111150730974</v>
      </c>
      <c r="B363" t="str">
        <f>"1578726450961751"</f>
        <v>1578726450961751</v>
      </c>
      <c r="C363" t="s">
        <v>40</v>
      </c>
      <c r="D363">
        <v>5.2115749999999998</v>
      </c>
      <c r="E363">
        <v>0.55749799999999905</v>
      </c>
      <c r="F363" t="s">
        <v>41</v>
      </c>
      <c r="G363">
        <v>-294.18200000000002</v>
      </c>
      <c r="H363">
        <v>0.98036210000000001</v>
      </c>
      <c r="I363">
        <v>367.04919999999998</v>
      </c>
      <c r="J363">
        <v>-294.5779</v>
      </c>
      <c r="K363">
        <v>1.0587930000000001</v>
      </c>
      <c r="L363">
        <v>367.16489999999999</v>
      </c>
      <c r="M363">
        <v>0.99991110000000005</v>
      </c>
      <c r="N363">
        <v>0</v>
      </c>
      <c r="O363">
        <v>7.5615909999999899E-3</v>
      </c>
      <c r="P363">
        <v>0.99990749999999995</v>
      </c>
      <c r="Q363">
        <v>-1.354112E-2</v>
      </c>
      <c r="R363">
        <v>-1.318191E-3</v>
      </c>
      <c r="S363">
        <v>2.9954529999999999</v>
      </c>
      <c r="T363">
        <v>-0.31925150000000002</v>
      </c>
      <c r="U363">
        <v>-0.45904539999999999</v>
      </c>
      <c r="V363">
        <v>8.8804669999999995E-3</v>
      </c>
      <c r="W363">
        <v>-2.5602049999999999E-3</v>
      </c>
      <c r="X363">
        <v>0.99995730000000005</v>
      </c>
      <c r="Y363">
        <v>0.1580328</v>
      </c>
      <c r="Z363">
        <v>-9.1485209999999997E-3</v>
      </c>
      <c r="AA363">
        <v>0.98739149999999998</v>
      </c>
      <c r="AB363">
        <v>51</v>
      </c>
      <c r="AC363">
        <v>0.39589999999998299</v>
      </c>
      <c r="AD363">
        <v>-7.8430900000000095E-2</v>
      </c>
      <c r="AE363">
        <v>-0.11570000000000299</v>
      </c>
      <c r="AF363">
        <v>0.114548598904279</v>
      </c>
      <c r="AG363">
        <v>-7.8430900000000095E-2</v>
      </c>
      <c r="AH363">
        <v>0.38122907372658499</v>
      </c>
      <c r="AI363">
        <v>101.146194438493</v>
      </c>
      <c r="AJ363">
        <v>73.275957071512906</v>
      </c>
      <c r="AK363">
        <v>0.40571960051268602</v>
      </c>
      <c r="AL363">
        <v>90.146689100032006</v>
      </c>
      <c r="AM363">
        <v>89.491178370082494</v>
      </c>
      <c r="AN363">
        <v>1.00000000958353</v>
      </c>
    </row>
    <row r="364" spans="1:40" x14ac:dyDescent="0.3">
      <c r="A364" t="str">
        <f>"20200111150730986"</f>
        <v>20200111150730986</v>
      </c>
      <c r="B364" t="str">
        <f>"1578726450981271"</f>
        <v>1578726450981271</v>
      </c>
      <c r="C364" t="s">
        <v>40</v>
      </c>
      <c r="D364">
        <v>5.2151959999999997</v>
      </c>
      <c r="E364">
        <v>0.55898610000000004</v>
      </c>
      <c r="F364" t="s">
        <v>41</v>
      </c>
      <c r="G364">
        <v>-293.72750000000002</v>
      </c>
      <c r="H364">
        <v>0.96917410000000004</v>
      </c>
      <c r="I364">
        <v>367.0333</v>
      </c>
      <c r="J364">
        <v>-294.2937</v>
      </c>
      <c r="K364">
        <v>1.0587959999999901</v>
      </c>
      <c r="L364">
        <v>367.1671</v>
      </c>
      <c r="M364">
        <v>0.99991090000000005</v>
      </c>
      <c r="N364">
        <v>0</v>
      </c>
      <c r="O364">
        <v>7.6265990000000004E-3</v>
      </c>
      <c r="P364">
        <v>0.99991759999999996</v>
      </c>
      <c r="Q364">
        <v>-1.2721410000000001E-2</v>
      </c>
      <c r="R364">
        <v>-1.8243409999999999E-3</v>
      </c>
      <c r="S364">
        <v>2.9953919999999998</v>
      </c>
      <c r="T364">
        <v>-0.31559609999999999</v>
      </c>
      <c r="U364">
        <v>-0.46356199999999997</v>
      </c>
      <c r="V364">
        <v>9.4514200000000003E-3</v>
      </c>
      <c r="W364">
        <v>-1.750525E-3</v>
      </c>
      <c r="X364">
        <v>0.9999538</v>
      </c>
      <c r="Y364">
        <v>0.1595666</v>
      </c>
      <c r="Z364">
        <v>-9.1303979999999996E-3</v>
      </c>
      <c r="AA364">
        <v>0.98714489999999999</v>
      </c>
      <c r="AB364">
        <v>51</v>
      </c>
      <c r="AC364">
        <v>0.56619999999998005</v>
      </c>
      <c r="AD364">
        <v>-8.9621899999999796E-2</v>
      </c>
      <c r="AE364">
        <v>-0.133800000000007</v>
      </c>
      <c r="AF364">
        <v>0.13491312360817201</v>
      </c>
      <c r="AG364">
        <v>-8.9621899999999796E-2</v>
      </c>
      <c r="AH364">
        <v>0.55206284280142803</v>
      </c>
      <c r="AI364">
        <v>98.961700400170798</v>
      </c>
      <c r="AJ364">
        <v>76.267215353096503</v>
      </c>
      <c r="AK364">
        <v>0.57533209391039397</v>
      </c>
      <c r="AL364">
        <v>90.100297745866499</v>
      </c>
      <c r="AM364">
        <v>89.458464630020202</v>
      </c>
      <c r="AN364">
        <v>0.99999999790611604</v>
      </c>
    </row>
    <row r="365" spans="1:40" x14ac:dyDescent="0.3">
      <c r="A365" t="str">
        <f>"20200111150730997"</f>
        <v>20200111150730997</v>
      </c>
      <c r="B365" t="str">
        <f>"1578726450992007"</f>
        <v>1578726450992007</v>
      </c>
      <c r="C365" t="s">
        <v>40</v>
      </c>
      <c r="D365">
        <v>5.2264780000000002</v>
      </c>
      <c r="E365">
        <v>0.55996559999999995</v>
      </c>
      <c r="F365" t="s">
        <v>41</v>
      </c>
      <c r="G365">
        <v>-293.27390000000003</v>
      </c>
      <c r="H365">
        <v>0.95405549999999995</v>
      </c>
      <c r="I365">
        <v>367.00459999999998</v>
      </c>
      <c r="J365">
        <v>-294.01220000000001</v>
      </c>
      <c r="K365">
        <v>1.058794</v>
      </c>
      <c r="L365">
        <v>367.16930000000002</v>
      </c>
      <c r="M365">
        <v>0.99991050000000004</v>
      </c>
      <c r="N365">
        <v>0</v>
      </c>
      <c r="O365">
        <v>7.6909999999999999E-3</v>
      </c>
      <c r="P365">
        <v>0.99992159999999997</v>
      </c>
      <c r="Q365">
        <v>-1.236041E-2</v>
      </c>
      <c r="R365">
        <v>-2.0509790000000001E-3</v>
      </c>
      <c r="S365">
        <v>2.9954529999999999</v>
      </c>
      <c r="T365">
        <v>-0.307747099999999</v>
      </c>
      <c r="U365">
        <v>-0.47683720000000002</v>
      </c>
      <c r="V365">
        <v>9.7423389999999992E-3</v>
      </c>
      <c r="W365">
        <v>-1.3973950000000001E-3</v>
      </c>
      <c r="X365">
        <v>0.99995149999999999</v>
      </c>
      <c r="Y365">
        <v>0.16391749999999999</v>
      </c>
      <c r="Z365">
        <v>-9.1293999999999993E-3</v>
      </c>
      <c r="AA365">
        <v>0.98643179999999997</v>
      </c>
      <c r="AB365">
        <v>51</v>
      </c>
      <c r="AC365">
        <v>0.73829999999998097</v>
      </c>
      <c r="AD365">
        <v>-0.104738499999999</v>
      </c>
      <c r="AE365">
        <v>-0.16470000000003801</v>
      </c>
      <c r="AF365">
        <v>0.16716886402772199</v>
      </c>
      <c r="AG365">
        <v>-0.104738499999999</v>
      </c>
      <c r="AH365">
        <v>0.72314758877143204</v>
      </c>
      <c r="AI365">
        <v>98.032286107769494</v>
      </c>
      <c r="AJ365">
        <v>76.983671309071596</v>
      </c>
      <c r="AK365">
        <v>0.749571889566641</v>
      </c>
      <c r="AL365">
        <v>90.080064867144898</v>
      </c>
      <c r="AM365">
        <v>89.441795680528003</v>
      </c>
      <c r="AN365">
        <v>0.99999993411711097</v>
      </c>
    </row>
    <row r="366" spans="1:40" x14ac:dyDescent="0.3">
      <c r="A366" t="str">
        <f>"20200111150731019"</f>
        <v>20200111150731019</v>
      </c>
      <c r="B366" t="str">
        <f>"1578726451011527"</f>
        <v>1578726451011527</v>
      </c>
      <c r="C366" t="s">
        <v>40</v>
      </c>
      <c r="D366">
        <v>5.2338089999999999</v>
      </c>
      <c r="E366">
        <v>0.56077900000000003</v>
      </c>
      <c r="F366" t="s">
        <v>41</v>
      </c>
      <c r="G366">
        <v>-293.26130000000001</v>
      </c>
      <c r="H366">
        <v>0.98308779999999996</v>
      </c>
      <c r="I366">
        <v>367.04730000000001</v>
      </c>
      <c r="J366">
        <v>-293.53449999999998</v>
      </c>
      <c r="K366">
        <v>1.058792</v>
      </c>
      <c r="L366">
        <v>367.173</v>
      </c>
      <c r="M366">
        <v>0.99990970000000001</v>
      </c>
      <c r="N366">
        <v>0</v>
      </c>
      <c r="O366">
        <v>7.8003339999999999E-3</v>
      </c>
      <c r="P366">
        <v>0.99991730000000001</v>
      </c>
      <c r="Q366">
        <v>-1.270723E-2</v>
      </c>
      <c r="R366">
        <v>-2.0788059999999999E-3</v>
      </c>
      <c r="S366">
        <v>2.995514</v>
      </c>
      <c r="T366">
        <v>-0.3021182</v>
      </c>
      <c r="U366">
        <v>-0.48587039999999998</v>
      </c>
      <c r="V366">
        <v>9.8794769999999994E-3</v>
      </c>
      <c r="W366">
        <v>-1.7523759999999999E-3</v>
      </c>
      <c r="X366">
        <v>0.99994959999999999</v>
      </c>
      <c r="Y366">
        <v>0.16693820000000001</v>
      </c>
      <c r="Z366">
        <v>-9.1228560000000004E-3</v>
      </c>
      <c r="AA366">
        <v>0.9859251</v>
      </c>
      <c r="AB366">
        <v>51</v>
      </c>
      <c r="AC366">
        <v>0.27319999999997402</v>
      </c>
      <c r="AD366">
        <v>-7.5704199999999805E-2</v>
      </c>
      <c r="AE366">
        <v>-0.12569999999999401</v>
      </c>
      <c r="AF366">
        <v>0.120209638109826</v>
      </c>
      <c r="AG366">
        <v>-7.5704199999999805E-2</v>
      </c>
      <c r="AH366">
        <v>0.25598903485201002</v>
      </c>
      <c r="AI366">
        <v>104.985982107932</v>
      </c>
      <c r="AJ366">
        <v>64.845765809960795</v>
      </c>
      <c r="AK366">
        <v>0.29276589445596102</v>
      </c>
      <c r="AL366">
        <v>90.100403806460406</v>
      </c>
      <c r="AM366">
        <v>89.433937551670297</v>
      </c>
      <c r="AN366">
        <v>0.999999938713797</v>
      </c>
    </row>
    <row r="367" spans="1:40" x14ac:dyDescent="0.3">
      <c r="A367" t="str">
        <f>"20200111150731032"</f>
        <v>20200111150731032</v>
      </c>
      <c r="B367" t="str">
        <f>"1578726451021287"</f>
        <v>1578726451021287</v>
      </c>
      <c r="C367" t="s">
        <v>40</v>
      </c>
      <c r="D367">
        <v>5.2648270000000004</v>
      </c>
      <c r="E367">
        <v>0.56138109999999997</v>
      </c>
      <c r="F367" t="s">
        <v>41</v>
      </c>
      <c r="G367">
        <v>-292.80029999999999</v>
      </c>
      <c r="H367">
        <v>0.98519610000000002</v>
      </c>
      <c r="I367">
        <v>367.0521</v>
      </c>
      <c r="J367">
        <v>-293.2525</v>
      </c>
      <c r="K367">
        <v>1.058791</v>
      </c>
      <c r="L367">
        <v>367.17520000000002</v>
      </c>
      <c r="M367">
        <v>0.9999091</v>
      </c>
      <c r="N367">
        <v>0</v>
      </c>
      <c r="O367">
        <v>7.8651239999999994E-3</v>
      </c>
      <c r="P367">
        <v>0.999892</v>
      </c>
      <c r="Q367">
        <v>-1.446039E-2</v>
      </c>
      <c r="R367">
        <v>-2.601122E-3</v>
      </c>
      <c r="S367">
        <v>2.9953919999999998</v>
      </c>
      <c r="T367">
        <v>-0.30042639999999998</v>
      </c>
      <c r="U367">
        <v>-0.49249270000000001</v>
      </c>
      <c r="V367">
        <v>1.046736E-2</v>
      </c>
      <c r="W367">
        <v>-3.5083419999999998E-3</v>
      </c>
      <c r="X367">
        <v>0.99993909999999997</v>
      </c>
      <c r="Y367">
        <v>0.16913</v>
      </c>
      <c r="Z367">
        <v>-9.1861459999999992E-3</v>
      </c>
      <c r="AA367">
        <v>0.98555090000000001</v>
      </c>
      <c r="AB367">
        <v>51</v>
      </c>
      <c r="AC367">
        <v>0.45220000000000399</v>
      </c>
      <c r="AD367">
        <v>-7.3594900000000102E-2</v>
      </c>
      <c r="AE367">
        <v>-0.123100000000022</v>
      </c>
      <c r="AF367">
        <v>0.12360495822250001</v>
      </c>
      <c r="AG367">
        <v>-7.3594900000000102E-2</v>
      </c>
      <c r="AH367">
        <v>0.44035866219307501</v>
      </c>
      <c r="AI367">
        <v>99.140903333391606</v>
      </c>
      <c r="AJ367">
        <v>74.321017509203998</v>
      </c>
      <c r="AK367">
        <v>0.46326034405253302</v>
      </c>
      <c r="AL367">
        <v>90.201013594232094</v>
      </c>
      <c r="AM367">
        <v>89.400249829265306</v>
      </c>
      <c r="AN367">
        <v>1.0000000388988799</v>
      </c>
    </row>
    <row r="368" spans="1:40" x14ac:dyDescent="0.3">
      <c r="A368" t="str">
        <f>"20200111150731043"</f>
        <v>20200111150731043</v>
      </c>
      <c r="B368" t="str">
        <f>"1578726451041783"</f>
        <v>1578726451041783</v>
      </c>
      <c r="C368" t="s">
        <v>40</v>
      </c>
      <c r="D368">
        <v>5.2519049999999998</v>
      </c>
      <c r="E368">
        <v>0.56263180000000002</v>
      </c>
      <c r="F368" t="s">
        <v>41</v>
      </c>
      <c r="G368">
        <v>-292.34750000000003</v>
      </c>
      <c r="H368">
        <v>0.96790989999999999</v>
      </c>
      <c r="I368">
        <v>367.02420000000001</v>
      </c>
      <c r="J368">
        <v>-292.96899999999999</v>
      </c>
      <c r="K368">
        <v>1.0587839999999999</v>
      </c>
      <c r="L368">
        <v>367.17750000000001</v>
      </c>
      <c r="M368">
        <v>0.99990869999999998</v>
      </c>
      <c r="N368">
        <v>0</v>
      </c>
      <c r="O368">
        <v>7.9300929999999992E-3</v>
      </c>
      <c r="P368">
        <v>0.99986799999999998</v>
      </c>
      <c r="Q368">
        <v>-1.6044139999999998E-2</v>
      </c>
      <c r="R368">
        <v>-2.5861730000000002E-3</v>
      </c>
      <c r="S368">
        <v>2.9946899999999999</v>
      </c>
      <c r="T368">
        <v>-0.3007765</v>
      </c>
      <c r="U368">
        <v>-0.499054</v>
      </c>
      <c r="V368">
        <v>1.0517550000000001E-2</v>
      </c>
      <c r="W368">
        <v>-5.0946400000000001E-3</v>
      </c>
      <c r="X368">
        <v>0.99993169999999998</v>
      </c>
      <c r="Y368">
        <v>0.1713192</v>
      </c>
      <c r="Z368">
        <v>-9.3126770000000001E-3</v>
      </c>
      <c r="AA368">
        <v>0.98517160000000004</v>
      </c>
      <c r="AB368">
        <v>51</v>
      </c>
      <c r="AC368">
        <v>0.62149999999996897</v>
      </c>
      <c r="AD368">
        <v>-9.0874099999999902E-2</v>
      </c>
      <c r="AE368">
        <v>-0.15330000000000099</v>
      </c>
      <c r="AF368">
        <v>0.155098276288195</v>
      </c>
      <c r="AG368">
        <v>-9.0874099999999902E-2</v>
      </c>
      <c r="AH368">
        <v>0.60801123312530203</v>
      </c>
      <c r="AI368">
        <v>98.240484413523703</v>
      </c>
      <c r="AJ368">
        <v>75.689545351647794</v>
      </c>
      <c r="AK368">
        <v>0.63402778879551502</v>
      </c>
      <c r="AL368">
        <v>90.291902635969805</v>
      </c>
      <c r="AM368">
        <v>89.397369836157694</v>
      </c>
      <c r="AN368">
        <v>0.99999998943981006</v>
      </c>
    </row>
    <row r="369" spans="1:40" x14ac:dyDescent="0.3">
      <c r="A369" t="str">
        <f>"20200111150731056"</f>
        <v>20200111150731056</v>
      </c>
      <c r="B369" t="str">
        <f>"1578726451051542"</f>
        <v>1578726451051542</v>
      </c>
      <c r="C369" t="s">
        <v>40</v>
      </c>
      <c r="D369">
        <v>5.2205300000000001</v>
      </c>
      <c r="E369">
        <v>0.5631486</v>
      </c>
      <c r="F369" t="s">
        <v>41</v>
      </c>
      <c r="G369">
        <v>-291.892</v>
      </c>
      <c r="H369">
        <v>0.95150860000000004</v>
      </c>
      <c r="I369">
        <v>366.99430000000001</v>
      </c>
      <c r="J369">
        <v>-292.67039999999997</v>
      </c>
      <c r="K369">
        <v>1.0587719999999901</v>
      </c>
      <c r="L369">
        <v>367.17989999999998</v>
      </c>
      <c r="M369">
        <v>0.99990820000000002</v>
      </c>
      <c r="N369">
        <v>0</v>
      </c>
      <c r="O369">
        <v>7.9979839999999996E-3</v>
      </c>
      <c r="P369">
        <v>0.99983650000000002</v>
      </c>
      <c r="Q369">
        <v>-1.790189E-2</v>
      </c>
      <c r="R369">
        <v>-2.5628679999999998E-3</v>
      </c>
      <c r="S369">
        <v>2.9942929999999999</v>
      </c>
      <c r="T369">
        <v>-0.29831980000000002</v>
      </c>
      <c r="U369">
        <v>-0.50900270000000003</v>
      </c>
      <c r="V369">
        <v>1.0562520000000001E-2</v>
      </c>
      <c r="W369">
        <v>-6.9543950000000004E-3</v>
      </c>
      <c r="X369">
        <v>0.99992000000000003</v>
      </c>
      <c r="Y369">
        <v>0.17458789999999999</v>
      </c>
      <c r="Z369">
        <v>-9.4036599999999994E-3</v>
      </c>
      <c r="AA369">
        <v>0.98459669999999999</v>
      </c>
      <c r="AB369">
        <v>51</v>
      </c>
      <c r="AC369">
        <v>0.778399999999976</v>
      </c>
      <c r="AD369">
        <v>-0.107263399999999</v>
      </c>
      <c r="AE369">
        <v>-0.18559999999996499</v>
      </c>
      <c r="AF369">
        <v>0.18843440685198901</v>
      </c>
      <c r="AG369">
        <v>-0.107263399999999</v>
      </c>
      <c r="AH369">
        <v>0.76317832469543201</v>
      </c>
      <c r="AI369">
        <v>97.770055961932002</v>
      </c>
      <c r="AJ369">
        <v>76.130645125137704</v>
      </c>
      <c r="AK369">
        <v>0.79338144542845601</v>
      </c>
      <c r="AL369">
        <v>90.398460707027695</v>
      </c>
      <c r="AM369">
        <v>89.394786274269094</v>
      </c>
      <c r="AN369">
        <v>0.99999996841928196</v>
      </c>
    </row>
    <row r="370" spans="1:40" x14ac:dyDescent="0.3">
      <c r="A370" t="str">
        <f>"20200111150731068"</f>
        <v>20200111150731068</v>
      </c>
      <c r="B370" t="str">
        <f>"1578726451061303"</f>
        <v>1578726451061303</v>
      </c>
      <c r="C370" t="s">
        <v>40</v>
      </c>
      <c r="D370">
        <v>5.2260730000000004</v>
      </c>
      <c r="E370">
        <v>0.56352659999999999</v>
      </c>
      <c r="F370" t="s">
        <v>41</v>
      </c>
      <c r="G370">
        <v>-291.88189999999997</v>
      </c>
      <c r="H370">
        <v>0.9794465</v>
      </c>
      <c r="I370">
        <v>367.04469999999998</v>
      </c>
      <c r="J370">
        <v>-292.40460000000002</v>
      </c>
      <c r="K370">
        <v>1.0587660000000001</v>
      </c>
      <c r="L370">
        <v>367.18200000000002</v>
      </c>
      <c r="M370">
        <v>0.99990769999999995</v>
      </c>
      <c r="N370">
        <v>0</v>
      </c>
      <c r="O370">
        <v>8.058717E-3</v>
      </c>
      <c r="P370">
        <v>0.99980970000000002</v>
      </c>
      <c r="Q370">
        <v>-1.931455E-2</v>
      </c>
      <c r="R370">
        <v>-2.747017E-3</v>
      </c>
      <c r="S370">
        <v>2.9937740000000002</v>
      </c>
      <c r="T370">
        <v>-0.30125220000000003</v>
      </c>
      <c r="U370">
        <v>-0.51284790000000002</v>
      </c>
      <c r="V370">
        <v>1.080764E-2</v>
      </c>
      <c r="W370">
        <v>-8.3682340000000004E-3</v>
      </c>
      <c r="X370">
        <v>0.99990659999999998</v>
      </c>
      <c r="Y370">
        <v>0.1758805</v>
      </c>
      <c r="Z370">
        <v>-9.5667059999999995E-3</v>
      </c>
      <c r="AA370">
        <v>0.98436500000000005</v>
      </c>
      <c r="AB370">
        <v>51</v>
      </c>
      <c r="AC370">
        <v>0.52270000000004302</v>
      </c>
      <c r="AD370">
        <v>-7.9319500000000098E-2</v>
      </c>
      <c r="AE370">
        <v>-0.13729999999998199</v>
      </c>
      <c r="AF370">
        <v>0.138524053920447</v>
      </c>
      <c r="AG370">
        <v>-7.9319500000000098E-2</v>
      </c>
      <c r="AH370">
        <v>0.51057783055542005</v>
      </c>
      <c r="AI370">
        <v>98.526969903259797</v>
      </c>
      <c r="AJ370">
        <v>74.820575828708101</v>
      </c>
      <c r="AK370">
        <v>0.53494879909154303</v>
      </c>
      <c r="AL370">
        <v>90.479470076426907</v>
      </c>
      <c r="AM370">
        <v>89.380734114704794</v>
      </c>
      <c r="AN370">
        <v>1.0000000205730999</v>
      </c>
    </row>
    <row r="371" spans="1:40" x14ac:dyDescent="0.3">
      <c r="A371" t="str">
        <f>"20200111150731079"</f>
        <v>20200111150731079</v>
      </c>
      <c r="B371" t="str">
        <f>"1578726451072039"</f>
        <v>1578726451072039</v>
      </c>
      <c r="C371" t="s">
        <v>40</v>
      </c>
      <c r="D371">
        <v>5.2340730000000004</v>
      </c>
      <c r="E371">
        <v>0.56383149999999904</v>
      </c>
      <c r="F371" t="s">
        <v>41</v>
      </c>
      <c r="G371">
        <v>-291.42880000000002</v>
      </c>
      <c r="H371">
        <v>0.96022700000000005</v>
      </c>
      <c r="I371">
        <v>367.01350000000002</v>
      </c>
      <c r="J371">
        <v>-292.13889999999998</v>
      </c>
      <c r="K371">
        <v>1.058764</v>
      </c>
      <c r="L371">
        <v>367.18419999999998</v>
      </c>
      <c r="M371">
        <v>0.9999072</v>
      </c>
      <c r="N371">
        <v>0</v>
      </c>
      <c r="O371">
        <v>8.1193310000000005E-3</v>
      </c>
      <c r="P371">
        <v>0.99979530000000005</v>
      </c>
      <c r="Q371">
        <v>-2.0050100000000001E-2</v>
      </c>
      <c r="R371">
        <v>-2.7367189999999999E-3</v>
      </c>
      <c r="S371">
        <v>2.9933169999999998</v>
      </c>
      <c r="T371">
        <v>-0.302295599999999</v>
      </c>
      <c r="U371">
        <v>-0.51690670000000005</v>
      </c>
      <c r="V371">
        <v>1.085821E-2</v>
      </c>
      <c r="W371">
        <v>-9.1047290000000006E-3</v>
      </c>
      <c r="X371">
        <v>0.9998996</v>
      </c>
      <c r="Y371">
        <v>0.17724809999999999</v>
      </c>
      <c r="Z371">
        <v>-9.6744759999999996E-3</v>
      </c>
      <c r="AA371">
        <v>0.98411859999999995</v>
      </c>
      <c r="AB371">
        <v>52</v>
      </c>
      <c r="AC371">
        <v>0.71009999999995399</v>
      </c>
      <c r="AD371">
        <v>-9.8537E-2</v>
      </c>
      <c r="AE371">
        <v>-0.170699999999953</v>
      </c>
      <c r="AF371">
        <v>0.17330544078733401</v>
      </c>
      <c r="AG371">
        <v>-9.8537E-2</v>
      </c>
      <c r="AH371">
        <v>0.69602033800225405</v>
      </c>
      <c r="AI371">
        <v>97.822185483913998</v>
      </c>
      <c r="AJ371">
        <v>76.017975506829004</v>
      </c>
      <c r="AK371">
        <v>0.72400872031230701</v>
      </c>
      <c r="AL371">
        <v>90.521669751078306</v>
      </c>
      <c r="AM371">
        <v>89.377832381328204</v>
      </c>
      <c r="AN371">
        <v>1.00000000344736</v>
      </c>
    </row>
    <row r="372" spans="1:40" x14ac:dyDescent="0.3">
      <c r="A372" t="str">
        <f>"20200111150731091"</f>
        <v>20200111150731091</v>
      </c>
      <c r="B372" t="str">
        <f>"1578726451081800"</f>
        <v>1578726451081800</v>
      </c>
      <c r="C372" t="s">
        <v>40</v>
      </c>
      <c r="D372">
        <v>5.1647410000000002</v>
      </c>
      <c r="E372">
        <v>0.56436409999999904</v>
      </c>
      <c r="F372" t="s">
        <v>44</v>
      </c>
      <c r="G372">
        <v>-281.16609999999997</v>
      </c>
      <c r="H372">
        <v>-0.05</v>
      </c>
      <c r="I372">
        <v>365.28109999999998</v>
      </c>
      <c r="J372">
        <v>-291.86079999999998</v>
      </c>
      <c r="K372">
        <v>1.0587569999999999</v>
      </c>
      <c r="L372">
        <v>367.18650000000002</v>
      </c>
      <c r="M372">
        <v>0.99990670000000004</v>
      </c>
      <c r="N372">
        <v>0</v>
      </c>
      <c r="O372">
        <v>8.1826239999999995E-3</v>
      </c>
      <c r="P372">
        <v>0.99979830000000003</v>
      </c>
      <c r="Q372">
        <v>-1.9931299999999999E-2</v>
      </c>
      <c r="R372">
        <v>-2.4953449999999999E-3</v>
      </c>
      <c r="S372">
        <v>2.9931640000000002</v>
      </c>
      <c r="T372">
        <v>-0.30244860000000001</v>
      </c>
      <c r="U372">
        <v>-0.51913450000000005</v>
      </c>
      <c r="V372">
        <v>1.068002E-2</v>
      </c>
      <c r="W372">
        <v>-8.9861950000000006E-3</v>
      </c>
      <c r="X372">
        <v>0.99990259999999997</v>
      </c>
      <c r="Y372">
        <v>0.17802490000000001</v>
      </c>
      <c r="Z372">
        <v>-9.7244210000000005E-3</v>
      </c>
      <c r="AA372">
        <v>0.98397789999999996</v>
      </c>
      <c r="AB372">
        <v>52</v>
      </c>
      <c r="AC372">
        <v>10.694699999999999</v>
      </c>
      <c r="AD372">
        <v>-1.108757</v>
      </c>
      <c r="AE372">
        <v>-1.90540000000004</v>
      </c>
      <c r="AF372">
        <v>1.9723056111325801</v>
      </c>
      <c r="AG372">
        <v>-1.108757</v>
      </c>
      <c r="AH372">
        <v>10.568650668643199</v>
      </c>
      <c r="AI372">
        <v>95.888071514342101</v>
      </c>
      <c r="AJ372">
        <v>79.4291440752705</v>
      </c>
      <c r="AK372">
        <v>10.8081315898988</v>
      </c>
      <c r="AL372">
        <v>90.514877970903001</v>
      </c>
      <c r="AM372">
        <v>89.388043593048494</v>
      </c>
      <c r="AN372">
        <v>1.0000000120072601</v>
      </c>
    </row>
    <row r="373" spans="1:40" x14ac:dyDescent="0.3">
      <c r="A373" t="str">
        <f>"20200111150731102"</f>
        <v>20200111150731102</v>
      </c>
      <c r="B373" t="str">
        <f>"1578726451091559"</f>
        <v>1578726451091559</v>
      </c>
      <c r="C373" t="s">
        <v>40</v>
      </c>
      <c r="D373">
        <v>5.2622479999999996</v>
      </c>
      <c r="E373">
        <v>0.564253</v>
      </c>
      <c r="F373" t="s">
        <v>41</v>
      </c>
      <c r="G373">
        <v>-290.96469999999999</v>
      </c>
      <c r="H373">
        <v>0.9682558</v>
      </c>
      <c r="I373">
        <v>367.03</v>
      </c>
      <c r="J373">
        <v>-291.61439999999999</v>
      </c>
      <c r="K373">
        <v>1.0587580000000001</v>
      </c>
      <c r="L373">
        <v>367.18849999999998</v>
      </c>
      <c r="M373">
        <v>0.99990619999999997</v>
      </c>
      <c r="N373">
        <v>0</v>
      </c>
      <c r="O373">
        <v>8.2387069999999996E-3</v>
      </c>
      <c r="P373">
        <v>0.99981600000000004</v>
      </c>
      <c r="Q373">
        <v>-1.9111139999999999E-2</v>
      </c>
      <c r="R373">
        <v>-1.755827E-3</v>
      </c>
      <c r="S373">
        <v>2.9932560000000001</v>
      </c>
      <c r="T373">
        <v>-0.30233399999999999</v>
      </c>
      <c r="U373">
        <v>-0.52230829999999995</v>
      </c>
      <c r="V373">
        <v>9.9963469999999992E-3</v>
      </c>
      <c r="W373">
        <v>-8.1661589999999992E-3</v>
      </c>
      <c r="X373">
        <v>0.99991669999999999</v>
      </c>
      <c r="Y373">
        <v>0.17908299999999999</v>
      </c>
      <c r="Z373">
        <v>-9.778106E-3</v>
      </c>
      <c r="AA373">
        <v>0.98378540000000003</v>
      </c>
      <c r="AB373">
        <v>52</v>
      </c>
      <c r="AC373">
        <v>0.64969999999999495</v>
      </c>
      <c r="AD373">
        <v>-9.0502199999999894E-2</v>
      </c>
      <c r="AE373">
        <v>-0.158500000000003</v>
      </c>
      <c r="AF373">
        <v>0.160900877130841</v>
      </c>
      <c r="AG373">
        <v>-9.0502199999999894E-2</v>
      </c>
      <c r="AH373">
        <v>0.63671125421808505</v>
      </c>
      <c r="AI373">
        <v>97.846392844006004</v>
      </c>
      <c r="AJ373">
        <v>75.817917060556695</v>
      </c>
      <c r="AK373">
        <v>0.66293360279463998</v>
      </c>
      <c r="AL373">
        <v>90.467891641257097</v>
      </c>
      <c r="AM373">
        <v>89.4272228737224</v>
      </c>
      <c r="AN373">
        <v>1.0000000100225199</v>
      </c>
    </row>
    <row r="374" spans="1:40" x14ac:dyDescent="0.3">
      <c r="A374" t="str">
        <f>"20200111150731114"</f>
        <v>20200111150731114</v>
      </c>
      <c r="B374" t="str">
        <f>"1578726451112055"</f>
        <v>1578726451112055</v>
      </c>
      <c r="C374" t="s">
        <v>40</v>
      </c>
      <c r="D374">
        <v>5.0987539999999996</v>
      </c>
      <c r="E374">
        <v>0.56422779999999995</v>
      </c>
      <c r="F374" t="s">
        <v>41</v>
      </c>
      <c r="G374">
        <v>-290.50850000000003</v>
      </c>
      <c r="H374">
        <v>0.94799940000000005</v>
      </c>
      <c r="I374">
        <v>366.99630000000002</v>
      </c>
      <c r="J374">
        <v>-291.34350000000001</v>
      </c>
      <c r="K374">
        <v>1.0587610000000001</v>
      </c>
      <c r="L374">
        <v>367.19080000000002</v>
      </c>
      <c r="M374">
        <v>0.99990559999999995</v>
      </c>
      <c r="N374">
        <v>0</v>
      </c>
      <c r="O374">
        <v>8.3005079999999998E-3</v>
      </c>
      <c r="P374">
        <v>0.99983690000000003</v>
      </c>
      <c r="Q374">
        <v>-1.802581E-2</v>
      </c>
      <c r="R374">
        <v>-1.0408430000000001E-3</v>
      </c>
      <c r="S374">
        <v>2.9938959999999999</v>
      </c>
      <c r="T374">
        <v>-0.30001409999999901</v>
      </c>
      <c r="U374">
        <v>-0.51943969999999995</v>
      </c>
      <c r="V374">
        <v>9.3429840000000004E-3</v>
      </c>
      <c r="W374">
        <v>-7.0805440000000002E-3</v>
      </c>
      <c r="X374">
        <v>0.99993129999999997</v>
      </c>
      <c r="Y374">
        <v>0.17821149999999999</v>
      </c>
      <c r="Z374">
        <v>-9.6650880000000005E-3</v>
      </c>
      <c r="AA374">
        <v>0.98394479999999995</v>
      </c>
      <c r="AB374">
        <v>52</v>
      </c>
      <c r="AC374">
        <v>0.83499999999997898</v>
      </c>
      <c r="AD374">
        <v>-0.1107616</v>
      </c>
      <c r="AE374">
        <v>-0.194500000000005</v>
      </c>
      <c r="AF374">
        <v>0.19811803230223399</v>
      </c>
      <c r="AG374">
        <v>-0.1107616</v>
      </c>
      <c r="AH374">
        <v>0.81967622240329296</v>
      </c>
      <c r="AI374">
        <v>97.482753910472098</v>
      </c>
      <c r="AJ374">
        <v>76.412053138917599</v>
      </c>
      <c r="AK374">
        <v>0.85052219038141597</v>
      </c>
      <c r="AL374">
        <v>90.405688671590596</v>
      </c>
      <c r="AM374">
        <v>89.464665248649595</v>
      </c>
      <c r="AN374">
        <v>1.00000001508652</v>
      </c>
    </row>
    <row r="375" spans="1:40" x14ac:dyDescent="0.3">
      <c r="A375" t="str">
        <f>"20200111150731128"</f>
        <v>20200111150731128</v>
      </c>
      <c r="B375" t="str">
        <f>"1578726451121815"</f>
        <v>1578726451121815</v>
      </c>
      <c r="C375" t="s">
        <v>40</v>
      </c>
      <c r="D375">
        <v>5.2634930000000004</v>
      </c>
      <c r="E375">
        <v>0.56434819999999997</v>
      </c>
      <c r="F375" t="s">
        <v>41</v>
      </c>
      <c r="G375">
        <v>-290.50080000000003</v>
      </c>
      <c r="H375">
        <v>0.9741263</v>
      </c>
      <c r="I375">
        <v>367.04469999999998</v>
      </c>
      <c r="J375">
        <v>-291.01780000000002</v>
      </c>
      <c r="K375">
        <v>1.0587709999999999</v>
      </c>
      <c r="L375">
        <v>367.19349999999997</v>
      </c>
      <c r="M375">
        <v>0.99990520000000005</v>
      </c>
      <c r="N375">
        <v>0</v>
      </c>
      <c r="O375">
        <v>8.3745269999999997E-3</v>
      </c>
      <c r="P375">
        <v>0.99986430000000004</v>
      </c>
      <c r="Q375">
        <v>-1.6483479999999998E-2</v>
      </c>
      <c r="R375">
        <v>-1.676646E-4</v>
      </c>
      <c r="S375">
        <v>2.994507</v>
      </c>
      <c r="T375">
        <v>-0.30098009999999997</v>
      </c>
      <c r="U375">
        <v>-0.51782229999999996</v>
      </c>
      <c r="V375">
        <v>8.5434399999999994E-3</v>
      </c>
      <c r="W375">
        <v>-5.5375420000000003E-3</v>
      </c>
      <c r="X375">
        <v>0.99994810000000001</v>
      </c>
      <c r="Y375">
        <v>0.1777309</v>
      </c>
      <c r="Z375">
        <v>-9.6780110000000003E-3</v>
      </c>
      <c r="AA375">
        <v>0.98403160000000001</v>
      </c>
      <c r="AB375">
        <v>52</v>
      </c>
      <c r="AC375">
        <v>0.51699999999999502</v>
      </c>
      <c r="AD375">
        <v>-8.4644699999999795E-2</v>
      </c>
      <c r="AE375">
        <v>-0.14879999999999399</v>
      </c>
      <c r="AF375">
        <v>0.14942570193924201</v>
      </c>
      <c r="AG375">
        <v>-8.4644699999999795E-2</v>
      </c>
      <c r="AH375">
        <v>0.50327725362989495</v>
      </c>
      <c r="AI375">
        <v>99.159013168337793</v>
      </c>
      <c r="AJ375">
        <v>73.463564828372299</v>
      </c>
      <c r="AK375">
        <v>0.53177134151755001</v>
      </c>
      <c r="AL375">
        <v>90.317279429636599</v>
      </c>
      <c r="AM375">
        <v>89.510483449951593</v>
      </c>
      <c r="AN375">
        <v>0.99999992871601995</v>
      </c>
    </row>
    <row r="376" spans="1:40" x14ac:dyDescent="0.3">
      <c r="A376" t="str">
        <f>"20200111150731141"</f>
        <v>20200111150731141</v>
      </c>
      <c r="B376" t="str">
        <f>"1578726451131576"</f>
        <v>1578726451131576</v>
      </c>
      <c r="C376" t="s">
        <v>40</v>
      </c>
      <c r="D376">
        <v>5.237044</v>
      </c>
      <c r="E376">
        <v>0.56446039999999997</v>
      </c>
      <c r="F376" t="s">
        <v>41</v>
      </c>
      <c r="G376">
        <v>-290.04259999999999</v>
      </c>
      <c r="H376">
        <v>0.9629624</v>
      </c>
      <c r="I376">
        <v>367.02550000000002</v>
      </c>
      <c r="J376">
        <v>-290.71820000000002</v>
      </c>
      <c r="K376">
        <v>1.058778</v>
      </c>
      <c r="L376">
        <v>367.19600000000003</v>
      </c>
      <c r="M376">
        <v>0.99990449999999997</v>
      </c>
      <c r="N376">
        <v>0</v>
      </c>
      <c r="O376">
        <v>8.4426439999999991E-3</v>
      </c>
      <c r="P376">
        <v>0.99987990000000004</v>
      </c>
      <c r="Q376">
        <v>-1.5462429999999999E-2</v>
      </c>
      <c r="R376">
        <v>1.1533959999999999E-3</v>
      </c>
      <c r="S376">
        <v>2.9954529999999999</v>
      </c>
      <c r="T376">
        <v>-0.29425309999999999</v>
      </c>
      <c r="U376">
        <v>-0.51620480000000002</v>
      </c>
      <c r="V376">
        <v>7.2904319999999899E-3</v>
      </c>
      <c r="W376">
        <v>-4.5158899999999998E-3</v>
      </c>
      <c r="X376">
        <v>0.99996320000000005</v>
      </c>
      <c r="Y376">
        <v>0.17727219999999999</v>
      </c>
      <c r="Z376">
        <v>-9.4445459999999998E-3</v>
      </c>
      <c r="AA376">
        <v>0.98411660000000001</v>
      </c>
      <c r="AB376">
        <v>52</v>
      </c>
      <c r="AC376">
        <v>0.67560000000003095</v>
      </c>
      <c r="AD376">
        <v>-9.5815600000000001E-2</v>
      </c>
      <c r="AE376">
        <v>-0.170499999999947</v>
      </c>
      <c r="AF376">
        <v>0.17292814362797701</v>
      </c>
      <c r="AG376">
        <v>-9.5815600000000001E-2</v>
      </c>
      <c r="AH376">
        <v>0.66162540956915605</v>
      </c>
      <c r="AI376">
        <v>97.975892138436194</v>
      </c>
      <c r="AJ376">
        <v>75.352355550433899</v>
      </c>
      <c r="AK376">
        <v>0.69053092229785995</v>
      </c>
      <c r="AL376">
        <v>90.258742324297202</v>
      </c>
      <c r="AM376">
        <v>89.582281044325796</v>
      </c>
      <c r="AN376">
        <v>0.99999997250773898</v>
      </c>
    </row>
    <row r="377" spans="1:40" x14ac:dyDescent="0.3">
      <c r="A377" t="str">
        <f>"20200111150731153"</f>
        <v>20200111150731153</v>
      </c>
      <c r="B377" t="str">
        <f>"1578726451141335"</f>
        <v>1578726451141335</v>
      </c>
      <c r="C377" t="s">
        <v>40</v>
      </c>
      <c r="D377">
        <v>5.2711389999999998</v>
      </c>
      <c r="E377">
        <v>0.56462230000000002</v>
      </c>
      <c r="F377" t="s">
        <v>41</v>
      </c>
      <c r="G377">
        <v>-289.57749999999999</v>
      </c>
      <c r="H377">
        <v>0.94830130000000001</v>
      </c>
      <c r="I377">
        <v>367.00049999999999</v>
      </c>
      <c r="J377">
        <v>-290.43560000000002</v>
      </c>
      <c r="K377">
        <v>1.058778</v>
      </c>
      <c r="L377">
        <v>367.19850000000002</v>
      </c>
      <c r="M377">
        <v>0.99990389999999996</v>
      </c>
      <c r="N377">
        <v>0</v>
      </c>
      <c r="O377">
        <v>8.5069469999999904E-3</v>
      </c>
      <c r="P377">
        <v>0.99988710000000003</v>
      </c>
      <c r="Q377">
        <v>-1.491411E-2</v>
      </c>
      <c r="R377">
        <v>1.843318E-3</v>
      </c>
      <c r="S377">
        <v>2.996429</v>
      </c>
      <c r="T377">
        <v>-0.29029579999999999</v>
      </c>
      <c r="U377">
        <v>-0.51318359999999996</v>
      </c>
      <c r="V377">
        <v>6.6647440000000002E-3</v>
      </c>
      <c r="W377">
        <v>-3.9666329999999998E-3</v>
      </c>
      <c r="X377">
        <v>0.99996989999999997</v>
      </c>
      <c r="Y377">
        <v>0.17634530000000001</v>
      </c>
      <c r="Z377">
        <v>-9.2776179999999996E-3</v>
      </c>
      <c r="AA377">
        <v>0.98428459999999995</v>
      </c>
      <c r="AB377">
        <v>52</v>
      </c>
      <c r="AC377">
        <v>0.85810000000003495</v>
      </c>
      <c r="AD377">
        <v>-0.110476699999999</v>
      </c>
      <c r="AE377">
        <v>-0.19800000000003501</v>
      </c>
      <c r="AF377">
        <v>0.202112328248363</v>
      </c>
      <c r="AG377">
        <v>-0.110476699999999</v>
      </c>
      <c r="AH377">
        <v>0.84311588283568495</v>
      </c>
      <c r="AI377">
        <v>97.261706698151997</v>
      </c>
      <c r="AJ377">
        <v>76.519398922335498</v>
      </c>
      <c r="AK377">
        <v>0.87401309278674999</v>
      </c>
      <c r="AL377">
        <v>90.227271931008502</v>
      </c>
      <c r="AM377">
        <v>89.618132457189304</v>
      </c>
      <c r="AN377">
        <v>0.99999997694797504</v>
      </c>
    </row>
    <row r="378" spans="1:40" x14ac:dyDescent="0.3">
      <c r="A378" t="str">
        <f>"20200111150731166"</f>
        <v>20200111150731166</v>
      </c>
      <c r="B378" t="str">
        <f>"1578726451161831"</f>
        <v>1578726451161831</v>
      </c>
      <c r="C378" t="s">
        <v>40</v>
      </c>
      <c r="D378">
        <v>5.3137949999999998</v>
      </c>
      <c r="E378">
        <v>0.56504569999999998</v>
      </c>
      <c r="F378" t="s">
        <v>41</v>
      </c>
      <c r="G378">
        <v>-289.57530000000003</v>
      </c>
      <c r="H378">
        <v>0.97609670000000004</v>
      </c>
      <c r="I378">
        <v>367.05119999999999</v>
      </c>
      <c r="J378">
        <v>-290.14769999999999</v>
      </c>
      <c r="K378">
        <v>1.058783</v>
      </c>
      <c r="L378">
        <v>367.20089999999999</v>
      </c>
      <c r="M378">
        <v>0.9999034</v>
      </c>
      <c r="N378">
        <v>0</v>
      </c>
      <c r="O378">
        <v>8.5722039999999999E-3</v>
      </c>
      <c r="P378">
        <v>0.99989249999999996</v>
      </c>
      <c r="Q378">
        <v>-1.4423800000000001E-2</v>
      </c>
      <c r="R378">
        <v>2.6722400000000002E-3</v>
      </c>
      <c r="S378">
        <v>2.9969480000000002</v>
      </c>
      <c r="T378">
        <v>-0.28811989999999998</v>
      </c>
      <c r="U378">
        <v>-0.51232909999999998</v>
      </c>
      <c r="V378">
        <v>5.9009190000000001E-3</v>
      </c>
      <c r="W378">
        <v>-3.4752849999999998E-3</v>
      </c>
      <c r="X378">
        <v>0.99997659999999999</v>
      </c>
      <c r="Y378">
        <v>0.176122</v>
      </c>
      <c r="Z378">
        <v>-9.2026279999999992E-3</v>
      </c>
      <c r="AA378">
        <v>0.98432529999999996</v>
      </c>
      <c r="AB378">
        <v>52</v>
      </c>
      <c r="AC378">
        <v>0.57239999999995905</v>
      </c>
      <c r="AD378">
        <v>-8.2686300000000101E-2</v>
      </c>
      <c r="AE378">
        <v>-0.149699999999995</v>
      </c>
      <c r="AF378">
        <v>0.15163977591021599</v>
      </c>
      <c r="AG378">
        <v>-8.2686300000000101E-2</v>
      </c>
      <c r="AH378">
        <v>0.56015498511039197</v>
      </c>
      <c r="AI378">
        <v>98.109184410608407</v>
      </c>
      <c r="AJ378">
        <v>74.852494768643197</v>
      </c>
      <c r="AK378">
        <v>0.586178516486073</v>
      </c>
      <c r="AL378">
        <v>90.199119554064794</v>
      </c>
      <c r="AM378">
        <v>89.661898258855501</v>
      </c>
      <c r="AN378">
        <v>1.0000000494992101</v>
      </c>
    </row>
    <row r="379" spans="1:40" x14ac:dyDescent="0.3">
      <c r="A379" t="str">
        <f>"20200111150731179"</f>
        <v>20200111150731179</v>
      </c>
      <c r="B379" t="str">
        <f>"1578726451171591"</f>
        <v>1578726451171591</v>
      </c>
      <c r="C379" t="s">
        <v>40</v>
      </c>
      <c r="D379">
        <v>5.2961859999999996</v>
      </c>
      <c r="E379">
        <v>0.56514900000000001</v>
      </c>
      <c r="F379" t="s">
        <v>41</v>
      </c>
      <c r="G379">
        <v>-289.11790000000002</v>
      </c>
      <c r="H379">
        <v>0.96050599999999997</v>
      </c>
      <c r="I379">
        <v>367.02449999999999</v>
      </c>
      <c r="J379">
        <v>-289.84300000000002</v>
      </c>
      <c r="K379">
        <v>1.0587869999999999</v>
      </c>
      <c r="L379">
        <v>367.20359999999999</v>
      </c>
      <c r="M379">
        <v>0.99990290000000004</v>
      </c>
      <c r="N379">
        <v>0</v>
      </c>
      <c r="O379">
        <v>8.6410369999999903E-3</v>
      </c>
      <c r="P379">
        <v>0.99989649999999997</v>
      </c>
      <c r="Q379">
        <v>-1.396206E-2</v>
      </c>
      <c r="R379">
        <v>3.5248570000000002E-3</v>
      </c>
      <c r="S379">
        <v>2.997528</v>
      </c>
      <c r="T379">
        <v>-0.2861108</v>
      </c>
      <c r="U379">
        <v>-0.51309199999999999</v>
      </c>
      <c r="V379">
        <v>5.1168840000000004E-3</v>
      </c>
      <c r="W379">
        <v>-3.0123350000000001E-3</v>
      </c>
      <c r="X379">
        <v>0.99998240000000005</v>
      </c>
      <c r="Y379">
        <v>0.17641180000000001</v>
      </c>
      <c r="Z379">
        <v>-9.1570249999999992E-3</v>
      </c>
      <c r="AA379">
        <v>0.98427390000000003</v>
      </c>
      <c r="AB379">
        <v>52</v>
      </c>
      <c r="AC379">
        <v>0.72509999999999697</v>
      </c>
      <c r="AD379">
        <v>-9.8281000000000104E-2</v>
      </c>
      <c r="AE379">
        <v>-0.17910000000000501</v>
      </c>
      <c r="AF379">
        <v>0.18220442127601499</v>
      </c>
      <c r="AG379">
        <v>-9.8281000000000104E-2</v>
      </c>
      <c r="AH379">
        <v>0.71121056487595602</v>
      </c>
      <c r="AI379">
        <v>97.6245804700836</v>
      </c>
      <c r="AJ379">
        <v>75.630493649780803</v>
      </c>
      <c r="AK379">
        <v>0.74072806999917595</v>
      </c>
      <c r="AL379">
        <v>90.172594338088302</v>
      </c>
      <c r="AM379">
        <v>89.706821541343402</v>
      </c>
      <c r="AN379">
        <v>1.00000002848689</v>
      </c>
    </row>
    <row r="380" spans="1:40" x14ac:dyDescent="0.3">
      <c r="A380" t="str">
        <f>"20200111150731191"</f>
        <v>20200111150731191</v>
      </c>
      <c r="B380" t="str">
        <f>"1578726451181351"</f>
        <v>1578726451181351</v>
      </c>
      <c r="C380" t="s">
        <v>40</v>
      </c>
      <c r="D380">
        <v>5.3264370000000003</v>
      </c>
      <c r="E380">
        <v>0.5654053</v>
      </c>
      <c r="F380" t="s">
        <v>41</v>
      </c>
      <c r="G380">
        <v>-289.10660000000001</v>
      </c>
      <c r="H380">
        <v>0.98902310000000004</v>
      </c>
      <c r="I380">
        <v>367.0779</v>
      </c>
      <c r="J380">
        <v>-289.5718</v>
      </c>
      <c r="K380">
        <v>1.0587899999999999</v>
      </c>
      <c r="L380">
        <v>367.20600000000002</v>
      </c>
      <c r="M380">
        <v>0.99990219999999996</v>
      </c>
      <c r="N380">
        <v>0</v>
      </c>
      <c r="O380">
        <v>8.7027739999999999E-3</v>
      </c>
      <c r="P380">
        <v>0.99991229999999998</v>
      </c>
      <c r="Q380">
        <v>-1.2488569999999999E-2</v>
      </c>
      <c r="R380">
        <v>4.4095219999999999E-3</v>
      </c>
      <c r="S380">
        <v>2.9981080000000002</v>
      </c>
      <c r="T380">
        <v>-0.2841089</v>
      </c>
      <c r="U380">
        <v>-0.51126099999999997</v>
      </c>
      <c r="V380">
        <v>4.2936040000000003E-3</v>
      </c>
      <c r="W380">
        <v>-1.5375619999999999E-3</v>
      </c>
      <c r="X380">
        <v>0.99998960000000003</v>
      </c>
      <c r="Y380">
        <v>0.17587039999999901</v>
      </c>
      <c r="Z380">
        <v>-9.0723590000000003E-3</v>
      </c>
      <c r="AA380">
        <v>0.98437149999999995</v>
      </c>
      <c r="AB380">
        <v>52</v>
      </c>
      <c r="AC380">
        <v>0.46519999999998102</v>
      </c>
      <c r="AD380">
        <v>-6.9766899999999896E-2</v>
      </c>
      <c r="AE380">
        <v>-0.12809999999996</v>
      </c>
      <c r="AF380">
        <v>0.12943785368761601</v>
      </c>
      <c r="AG380">
        <v>-6.9766899999999896E-2</v>
      </c>
      <c r="AH380">
        <v>0.454564228668697</v>
      </c>
      <c r="AI380">
        <v>98.396962676639106</v>
      </c>
      <c r="AJ380">
        <v>74.105616428925998</v>
      </c>
      <c r="AK380">
        <v>0.47775539378225101</v>
      </c>
      <c r="AL380">
        <v>90.088095848084293</v>
      </c>
      <c r="AM380">
        <v>89.753993565153294</v>
      </c>
      <c r="AN380">
        <v>0.99999999962018604</v>
      </c>
    </row>
    <row r="381" spans="1:40" x14ac:dyDescent="0.3">
      <c r="A381" t="str">
        <f>"20200111150731202"</f>
        <v>20200111150731202</v>
      </c>
      <c r="B381" t="str">
        <f>"1578726451191111"</f>
        <v>1578726451191111</v>
      </c>
      <c r="C381" t="s">
        <v>40</v>
      </c>
      <c r="D381">
        <v>5.0005680000000003</v>
      </c>
      <c r="E381">
        <v>0.5654053</v>
      </c>
      <c r="F381" t="s">
        <v>41</v>
      </c>
      <c r="G381">
        <v>-288.6508</v>
      </c>
      <c r="H381">
        <v>0.97312699999999996</v>
      </c>
      <c r="I381">
        <v>367.0487</v>
      </c>
      <c r="J381">
        <v>-289.30759999999998</v>
      </c>
      <c r="K381">
        <v>1.0588</v>
      </c>
      <c r="L381">
        <v>367.20830000000001</v>
      </c>
      <c r="M381">
        <v>0.9999017</v>
      </c>
      <c r="N381">
        <v>0</v>
      </c>
      <c r="O381">
        <v>8.7630190000000004E-3</v>
      </c>
      <c r="P381">
        <v>0.99992999999999999</v>
      </c>
      <c r="Q381">
        <v>-1.0626089999999999E-2</v>
      </c>
      <c r="R381">
        <v>5.2561459999999997E-3</v>
      </c>
      <c r="S381">
        <v>2.9990230000000002</v>
      </c>
      <c r="T381">
        <v>-0.2792809</v>
      </c>
      <c r="U381">
        <v>-0.51065059999999995</v>
      </c>
      <c r="V381">
        <v>3.5067900000000001E-3</v>
      </c>
      <c r="W381">
        <v>3.2645869999999998E-4</v>
      </c>
      <c r="X381">
        <v>0.99999380000000004</v>
      </c>
      <c r="Y381">
        <v>0.17571310000000001</v>
      </c>
      <c r="Z381">
        <v>-8.9146219999999901E-3</v>
      </c>
      <c r="AA381">
        <v>0.98440099999999997</v>
      </c>
      <c r="AB381">
        <v>52</v>
      </c>
      <c r="AC381">
        <v>0.65679999999997496</v>
      </c>
      <c r="AD381">
        <v>-8.5672999999999805E-2</v>
      </c>
      <c r="AE381">
        <v>-0.15960000000001101</v>
      </c>
      <c r="AF381">
        <v>0.16273527066830601</v>
      </c>
      <c r="AG381">
        <v>-8.5672999999999805E-2</v>
      </c>
      <c r="AH381">
        <v>0.64501336619874305</v>
      </c>
      <c r="AI381">
        <v>97.338607571444498</v>
      </c>
      <c r="AJ381">
        <v>75.839929055693901</v>
      </c>
      <c r="AK381">
        <v>0.67071966858257603</v>
      </c>
      <c r="AL381">
        <v>89.981295294011602</v>
      </c>
      <c r="AM381">
        <v>89.7990753112595</v>
      </c>
      <c r="AN381">
        <v>1.00000000209491</v>
      </c>
    </row>
    <row r="382" spans="1:40" x14ac:dyDescent="0.3">
      <c r="A382" t="str">
        <f>"20200111150731214"</f>
        <v>20200111150731214</v>
      </c>
      <c r="B382" t="str">
        <f>"1578726451211607"</f>
        <v>1578726451211607</v>
      </c>
      <c r="C382" t="s">
        <v>40</v>
      </c>
      <c r="D382">
        <v>5.1633589999999998</v>
      </c>
      <c r="E382">
        <v>0.56254179999999998</v>
      </c>
      <c r="F382" t="s">
        <v>43</v>
      </c>
      <c r="G382">
        <v>-277.7097</v>
      </c>
      <c r="H382" s="1">
        <v>-1.928927E-6</v>
      </c>
      <c r="I382">
        <v>365.24360000000001</v>
      </c>
      <c r="J382">
        <v>-289.0179</v>
      </c>
      <c r="K382">
        <v>1.05881</v>
      </c>
      <c r="L382">
        <v>367.21089999999998</v>
      </c>
      <c r="M382">
        <v>0.99990100000000004</v>
      </c>
      <c r="N382">
        <v>0</v>
      </c>
      <c r="O382">
        <v>8.8287999999999995E-3</v>
      </c>
      <c r="P382">
        <v>0.99994919999999998</v>
      </c>
      <c r="Q382">
        <v>-8.246013E-3</v>
      </c>
      <c r="R382">
        <v>5.7950730000000004E-3</v>
      </c>
      <c r="S382">
        <v>2.9999690000000001</v>
      </c>
      <c r="T382">
        <v>-0.27387250000000002</v>
      </c>
      <c r="U382">
        <v>-0.50817869999999998</v>
      </c>
      <c r="V382">
        <v>3.033048E-3</v>
      </c>
      <c r="W382">
        <v>2.7106410000000002E-3</v>
      </c>
      <c r="X382">
        <v>0.99999170000000004</v>
      </c>
      <c r="Y382">
        <v>0.17497089999999901</v>
      </c>
      <c r="Z382">
        <v>-8.7129600000000005E-3</v>
      </c>
      <c r="AA382">
        <v>0.98453500000000005</v>
      </c>
      <c r="AB382">
        <v>52</v>
      </c>
      <c r="AC382">
        <v>11.308199999999999</v>
      </c>
      <c r="AD382">
        <v>-1.0588119289269999</v>
      </c>
      <c r="AE382">
        <v>-1.9672999999999601</v>
      </c>
      <c r="AF382">
        <v>2.0496259613413801</v>
      </c>
      <c r="AG382">
        <v>-1.0588119289269999</v>
      </c>
      <c r="AH382">
        <v>11.195124949476201</v>
      </c>
      <c r="AI382">
        <v>95.315021517864096</v>
      </c>
      <c r="AJ382">
        <v>79.625074400241203</v>
      </c>
      <c r="AK382">
        <v>11.430348722441799</v>
      </c>
      <c r="AL382">
        <v>89.8446915166205</v>
      </c>
      <c r="AM382">
        <v>89.826218241048693</v>
      </c>
      <c r="AN382">
        <v>0.999999973511845</v>
      </c>
    </row>
    <row r="383" spans="1:40" x14ac:dyDescent="0.3">
      <c r="A383" t="str">
        <f>"20200111150731228"</f>
        <v>20200111150731228</v>
      </c>
      <c r="B383" t="str">
        <f>"1578726451221368"</f>
        <v>1578726451221368</v>
      </c>
      <c r="C383" t="s">
        <v>40</v>
      </c>
      <c r="D383">
        <v>5.1875850000000003</v>
      </c>
      <c r="E383">
        <v>0.56073019999999996</v>
      </c>
      <c r="F383" t="s">
        <v>41</v>
      </c>
      <c r="G383">
        <v>-288.18439999999998</v>
      </c>
      <c r="H383">
        <v>0.98364529999999994</v>
      </c>
      <c r="I383">
        <v>367.07639999999998</v>
      </c>
      <c r="J383">
        <v>-288.70850000000002</v>
      </c>
      <c r="K383">
        <v>1.058818</v>
      </c>
      <c r="L383">
        <v>367.21359999999999</v>
      </c>
      <c r="M383">
        <v>0.99990029999999996</v>
      </c>
      <c r="N383">
        <v>0</v>
      </c>
      <c r="O383">
        <v>8.8987389999999993E-3</v>
      </c>
      <c r="P383">
        <v>0.99996759999999996</v>
      </c>
      <c r="Q383">
        <v>-5.6128439999999996E-3</v>
      </c>
      <c r="R383">
        <v>5.7896969999999999E-3</v>
      </c>
      <c r="S383">
        <v>3.0007320000000002</v>
      </c>
      <c r="T383">
        <v>-0.27068950000000003</v>
      </c>
      <c r="U383">
        <v>-0.48379519999999998</v>
      </c>
      <c r="V383">
        <v>3.1076480000000002E-3</v>
      </c>
      <c r="W383">
        <v>5.3503889999999997E-3</v>
      </c>
      <c r="X383">
        <v>0.99998089999999995</v>
      </c>
      <c r="Y383">
        <v>0.16725229999999999</v>
      </c>
      <c r="Z383">
        <v>-8.2766219999999904E-3</v>
      </c>
      <c r="AA383">
        <v>0.98587939999999996</v>
      </c>
      <c r="AB383">
        <v>52</v>
      </c>
      <c r="AC383">
        <v>0.52410000000003198</v>
      </c>
      <c r="AD383">
        <v>-7.5172699999999801E-2</v>
      </c>
      <c r="AE383">
        <v>-0.13720000000000701</v>
      </c>
      <c r="AF383">
        <v>0.13917902015285599</v>
      </c>
      <c r="AG383">
        <v>-7.5172699999999801E-2</v>
      </c>
      <c r="AH383">
        <v>0.51298167253015303</v>
      </c>
      <c r="AI383">
        <v>98.049828921516806</v>
      </c>
      <c r="AJ383">
        <v>74.820286228427804</v>
      </c>
      <c r="AK383">
        <v>0.53681647779090402</v>
      </c>
      <c r="AL383">
        <v>89.693443841874199</v>
      </c>
      <c r="AM383">
        <v>89.821942057687195</v>
      </c>
      <c r="AN383">
        <v>1.0000000422516699</v>
      </c>
    </row>
    <row r="384" spans="1:40" x14ac:dyDescent="0.3">
      <c r="A384" t="str">
        <f>"20200111150731242"</f>
        <v>20200111150731242</v>
      </c>
      <c r="B384" t="str">
        <f>"1578726451231127"</f>
        <v>1578726451231127</v>
      </c>
      <c r="C384" t="s">
        <v>40</v>
      </c>
      <c r="D384">
        <v>5.2662719999999998</v>
      </c>
      <c r="E384">
        <v>0.55889840000000002</v>
      </c>
      <c r="F384" t="s">
        <v>41</v>
      </c>
      <c r="G384">
        <v>-287.72629999999998</v>
      </c>
      <c r="H384">
        <v>0.97235799999999994</v>
      </c>
      <c r="I384">
        <v>367.0598</v>
      </c>
      <c r="J384">
        <v>-288.37290000000002</v>
      </c>
      <c r="K384">
        <v>1.0588329999999999</v>
      </c>
      <c r="L384">
        <v>367.21660000000003</v>
      </c>
      <c r="M384">
        <v>0.9998996</v>
      </c>
      <c r="N384">
        <v>0</v>
      </c>
      <c r="O384">
        <v>8.9745650000000003E-3</v>
      </c>
      <c r="P384">
        <v>0.99997789999999998</v>
      </c>
      <c r="Q384">
        <v>-1.868768E-3</v>
      </c>
      <c r="R384">
        <v>6.4055639999999999E-3</v>
      </c>
      <c r="S384">
        <v>3.0013429999999999</v>
      </c>
      <c r="T384">
        <v>-0.26441579999999998</v>
      </c>
      <c r="U384">
        <v>-0.46908569999999999</v>
      </c>
      <c r="V384">
        <v>2.5661730000000002E-3</v>
      </c>
      <c r="W384">
        <v>9.1029979999999993E-3</v>
      </c>
      <c r="X384">
        <v>0.99995529999999999</v>
      </c>
      <c r="Y384">
        <v>0.16262950000000001</v>
      </c>
      <c r="Z384">
        <v>-7.8915900000000004E-3</v>
      </c>
      <c r="AA384">
        <v>0.98665570000000002</v>
      </c>
      <c r="AB384">
        <v>52</v>
      </c>
      <c r="AC384">
        <v>0.64660000000003404</v>
      </c>
      <c r="AD384">
        <v>-8.6474999999999899E-2</v>
      </c>
      <c r="AE384">
        <v>-0.156800000000032</v>
      </c>
      <c r="AF384">
        <v>0.15989594819742101</v>
      </c>
      <c r="AG384">
        <v>-8.6474999999999899E-2</v>
      </c>
      <c r="AH384">
        <v>0.63444923972176903</v>
      </c>
      <c r="AI384">
        <v>97.528952415049304</v>
      </c>
      <c r="AJ384">
        <v>75.854704881137295</v>
      </c>
      <c r="AK384">
        <v>0.65997763421079902</v>
      </c>
      <c r="AL384">
        <v>89.478429443740595</v>
      </c>
      <c r="AM384">
        <v>89.852962867811996</v>
      </c>
      <c r="AN384">
        <v>1.0000000259072701</v>
      </c>
    </row>
    <row r="385" spans="1:40" x14ac:dyDescent="0.3">
      <c r="A385" t="str">
        <f>"20200111150731256"</f>
        <v>20200111150731256</v>
      </c>
      <c r="B385" t="str">
        <f>"1578726451251623"</f>
        <v>1578726451251623</v>
      </c>
      <c r="C385" t="s">
        <v>40</v>
      </c>
      <c r="D385">
        <v>5.2343890000000002</v>
      </c>
      <c r="E385">
        <v>0.55576349999999997</v>
      </c>
      <c r="F385" t="s">
        <v>41</v>
      </c>
      <c r="G385">
        <v>-287.2647</v>
      </c>
      <c r="H385">
        <v>0.96571640000000003</v>
      </c>
      <c r="I385">
        <v>367.04939999999999</v>
      </c>
      <c r="J385">
        <v>-288.05939999999998</v>
      </c>
      <c r="K385">
        <v>1.0588390000000001</v>
      </c>
      <c r="L385">
        <v>367.21949999999998</v>
      </c>
      <c r="M385">
        <v>0.99989879999999998</v>
      </c>
      <c r="N385">
        <v>0</v>
      </c>
      <c r="O385">
        <v>9.0458499999999994E-3</v>
      </c>
      <c r="P385">
        <v>0.99997789999999998</v>
      </c>
      <c r="Q385">
        <v>-5.1813110000000005E-4</v>
      </c>
      <c r="R385">
        <v>6.6036829999999999E-3</v>
      </c>
      <c r="S385">
        <v>3.0025019999999998</v>
      </c>
      <c r="T385">
        <v>-0.25232650000000001</v>
      </c>
      <c r="U385">
        <v>-0.45278930000000001</v>
      </c>
      <c r="V385">
        <v>2.4390290000000001E-3</v>
      </c>
      <c r="W385">
        <v>1.0464299999999999E-2</v>
      </c>
      <c r="X385">
        <v>0.99994229999999995</v>
      </c>
      <c r="Y385">
        <v>0.15748289999999901</v>
      </c>
      <c r="Z385">
        <v>-7.3235339999999996E-3</v>
      </c>
      <c r="AA385">
        <v>0.9874946</v>
      </c>
      <c r="AB385">
        <v>52</v>
      </c>
      <c r="AC385">
        <v>0.79469999999997698</v>
      </c>
      <c r="AD385">
        <v>-9.3122599999999806E-2</v>
      </c>
      <c r="AE385">
        <v>-0.17009999999999001</v>
      </c>
      <c r="AF385">
        <v>0.174984742790183</v>
      </c>
      <c r="AG385">
        <v>-9.3122599999999806E-2</v>
      </c>
      <c r="AH385">
        <v>0.78285023488876404</v>
      </c>
      <c r="AI385">
        <v>96.6217463490445</v>
      </c>
      <c r="AJ385">
        <v>77.400210292378105</v>
      </c>
      <c r="AK385">
        <v>0.80755555171486504</v>
      </c>
      <c r="AL385">
        <v>89.400428847889501</v>
      </c>
      <c r="AM385">
        <v>89.860246145533594</v>
      </c>
      <c r="AN385">
        <v>1.00000002688312</v>
      </c>
    </row>
    <row r="386" spans="1:40" x14ac:dyDescent="0.3">
      <c r="A386" t="str">
        <f>"20200111150731268"</f>
        <v>20200111150731268</v>
      </c>
      <c r="B386" t="str">
        <f>"1578726451261386"</f>
        <v>1578726451261386</v>
      </c>
      <c r="C386" t="s">
        <v>40</v>
      </c>
      <c r="D386">
        <v>5.218731</v>
      </c>
      <c r="E386">
        <v>0.55435469999999998</v>
      </c>
      <c r="F386" t="s">
        <v>41</v>
      </c>
      <c r="G386">
        <v>-287.25470000000001</v>
      </c>
      <c r="H386">
        <v>0.99116890000000002</v>
      </c>
      <c r="I386">
        <v>367.10489999999999</v>
      </c>
      <c r="J386">
        <v>-287.8</v>
      </c>
      <c r="K386">
        <v>1.058845</v>
      </c>
      <c r="L386">
        <v>367.22190000000001</v>
      </c>
      <c r="M386">
        <v>0.99989819999999996</v>
      </c>
      <c r="N386">
        <v>0</v>
      </c>
      <c r="O386">
        <v>9.1045020000000004E-3</v>
      </c>
      <c r="P386">
        <v>0.99997329999999995</v>
      </c>
      <c r="Q386">
        <v>8.6175369999999995E-4</v>
      </c>
      <c r="R386">
        <v>7.2554359999999997E-3</v>
      </c>
      <c r="S386">
        <v>3.0027469999999998</v>
      </c>
      <c r="T386">
        <v>-0.25252560000000002</v>
      </c>
      <c r="U386">
        <v>-0.42733759999999998</v>
      </c>
      <c r="V386">
        <v>1.8454770000000001E-3</v>
      </c>
      <c r="W386">
        <v>1.1854669999999999E-2</v>
      </c>
      <c r="X386">
        <v>0.99992809999999999</v>
      </c>
      <c r="Y386">
        <v>0.14935580000000001</v>
      </c>
      <c r="Z386">
        <v>-6.9986220000000003E-3</v>
      </c>
      <c r="AA386">
        <v>0.98875869999999999</v>
      </c>
      <c r="AB386">
        <v>52</v>
      </c>
      <c r="AC386">
        <v>0.54529999999999701</v>
      </c>
      <c r="AD386">
        <v>-6.7676100000000003E-2</v>
      </c>
      <c r="AE386">
        <v>-0.11700000000001801</v>
      </c>
      <c r="AF386">
        <v>0.120190341800981</v>
      </c>
      <c r="AG386">
        <v>-6.7676100000000003E-2</v>
      </c>
      <c r="AH386">
        <v>0.536314912239508</v>
      </c>
      <c r="AI386">
        <v>97.019671636912904</v>
      </c>
      <c r="AJ386">
        <v>77.368486674082504</v>
      </c>
      <c r="AK386">
        <v>0.55376841537227295</v>
      </c>
      <c r="AL386">
        <v>89.320761580547099</v>
      </c>
      <c r="AM386">
        <v>89.894254473665498</v>
      </c>
      <c r="AN386">
        <v>1.0000000720778801</v>
      </c>
    </row>
    <row r="387" spans="1:40" x14ac:dyDescent="0.3">
      <c r="A387" t="str">
        <f>"20200111150731279"</f>
        <v>20200111150731279</v>
      </c>
      <c r="B387" t="str">
        <f>"1578726451271146"</f>
        <v>1578726451271146</v>
      </c>
      <c r="C387" t="s">
        <v>40</v>
      </c>
      <c r="D387">
        <v>5.2152529999999997</v>
      </c>
      <c r="E387">
        <v>0.55301800000000001</v>
      </c>
      <c r="F387" t="s">
        <v>41</v>
      </c>
      <c r="G387">
        <v>-286.79969999999997</v>
      </c>
      <c r="H387">
        <v>0.97573759999999998</v>
      </c>
      <c r="I387">
        <v>367.08370000000002</v>
      </c>
      <c r="J387">
        <v>-287.51350000000002</v>
      </c>
      <c r="K387">
        <v>1.058854</v>
      </c>
      <c r="L387">
        <v>367.22449999999998</v>
      </c>
      <c r="M387">
        <v>0.99989749999999999</v>
      </c>
      <c r="N387">
        <v>0</v>
      </c>
      <c r="O387">
        <v>9.1694029999999996E-3</v>
      </c>
      <c r="P387">
        <v>0.99996569999999996</v>
      </c>
      <c r="Q387">
        <v>2.564354E-3</v>
      </c>
      <c r="R387">
        <v>7.8939960000000003E-3</v>
      </c>
      <c r="S387">
        <v>3.0032649999999999</v>
      </c>
      <c r="T387">
        <v>-0.24963160000000001</v>
      </c>
      <c r="U387">
        <v>-0.41436770000000001</v>
      </c>
      <c r="V387">
        <v>1.270993E-3</v>
      </c>
      <c r="W387">
        <v>1.3568759999999999E-2</v>
      </c>
      <c r="X387">
        <v>0.99990710000000005</v>
      </c>
      <c r="Y387">
        <v>0.145233</v>
      </c>
      <c r="Z387">
        <v>-6.7546769999999997E-3</v>
      </c>
      <c r="AA387">
        <v>0.98937439999999999</v>
      </c>
      <c r="AB387">
        <v>52</v>
      </c>
      <c r="AC387">
        <v>0.71380000000004795</v>
      </c>
      <c r="AD387">
        <v>-8.3116400000000201E-2</v>
      </c>
      <c r="AE387">
        <v>-0.14079999999995599</v>
      </c>
      <c r="AF387">
        <v>0.14544144382188101</v>
      </c>
      <c r="AG387">
        <v>-8.3116400000000201E-2</v>
      </c>
      <c r="AH387">
        <v>0.70330011007962001</v>
      </c>
      <c r="AI387">
        <v>96.601574355656794</v>
      </c>
      <c r="AJ387">
        <v>78.316015454791099</v>
      </c>
      <c r="AK387">
        <v>0.72297482277598002</v>
      </c>
      <c r="AL387">
        <v>89.222543435962194</v>
      </c>
      <c r="AM387">
        <v>89.927170738691203</v>
      </c>
      <c r="AN387">
        <v>0.99999996765077603</v>
      </c>
    </row>
    <row r="388" spans="1:40" x14ac:dyDescent="0.3">
      <c r="A388" t="str">
        <f>"20200111150731290"</f>
        <v>20200111150731290</v>
      </c>
      <c r="B388" t="str">
        <f>"1578726451281879"</f>
        <v>1578726451281879</v>
      </c>
      <c r="C388" t="s">
        <v>40</v>
      </c>
      <c r="D388">
        <v>5.2623559999999996</v>
      </c>
      <c r="E388">
        <v>0.55173269999999996</v>
      </c>
      <c r="F388" t="s">
        <v>41</v>
      </c>
      <c r="G388">
        <v>-286.34160000000003</v>
      </c>
      <c r="H388">
        <v>0.96276490000000003</v>
      </c>
      <c r="I388">
        <v>367.0677</v>
      </c>
      <c r="J388">
        <v>-287.2482</v>
      </c>
      <c r="K388">
        <v>1.058859</v>
      </c>
      <c r="L388">
        <v>367.2269</v>
      </c>
      <c r="M388">
        <v>0.99989680000000003</v>
      </c>
      <c r="N388">
        <v>0</v>
      </c>
      <c r="O388">
        <v>9.2290519999999997E-3</v>
      </c>
      <c r="P388">
        <v>0.99995560000000006</v>
      </c>
      <c r="Q388">
        <v>4.9105499999999996E-3</v>
      </c>
      <c r="R388">
        <v>8.0662059999999994E-3</v>
      </c>
      <c r="S388">
        <v>3.0039060000000002</v>
      </c>
      <c r="T388">
        <v>-0.2462963</v>
      </c>
      <c r="U388">
        <v>-0.40185549999999998</v>
      </c>
      <c r="V388">
        <v>1.157513E-3</v>
      </c>
      <c r="W388">
        <v>1.5929329999999998E-2</v>
      </c>
      <c r="X388">
        <v>0.99987239999999999</v>
      </c>
      <c r="Y388">
        <v>0.1412426</v>
      </c>
      <c r="Z388">
        <v>-6.5074390000000003E-3</v>
      </c>
      <c r="AA388">
        <v>0.98995359999999999</v>
      </c>
      <c r="AB388">
        <v>52</v>
      </c>
      <c r="AC388">
        <v>0.90659999999996899</v>
      </c>
      <c r="AD388">
        <v>-9.6094100000000002E-2</v>
      </c>
      <c r="AE388">
        <v>-0.15919999999999801</v>
      </c>
      <c r="AF388">
        <v>0.16575428748514801</v>
      </c>
      <c r="AG388">
        <v>-9.6094100000000002E-2</v>
      </c>
      <c r="AH388">
        <v>0.89533410106538502</v>
      </c>
      <c r="AI388">
        <v>96.024374031394004</v>
      </c>
      <c r="AJ388">
        <v>79.511512904944098</v>
      </c>
      <c r="AK388">
        <v>0.91560456115349398</v>
      </c>
      <c r="AL388">
        <v>89.087277972410604</v>
      </c>
      <c r="AM388">
        <v>89.9336709564096</v>
      </c>
      <c r="AN388">
        <v>0.99999994983617502</v>
      </c>
    </row>
    <row r="389" spans="1:40" x14ac:dyDescent="0.3">
      <c r="A389" t="str">
        <f>"20200111150731302"</f>
        <v>20200111150731302</v>
      </c>
      <c r="B389" t="str">
        <f>"1578726451291639"</f>
        <v>1578726451291639</v>
      </c>
      <c r="C389" t="s">
        <v>40</v>
      </c>
      <c r="D389">
        <v>5.2051230000000004</v>
      </c>
      <c r="E389">
        <v>0.55048019999999998</v>
      </c>
      <c r="F389" t="s">
        <v>41</v>
      </c>
      <c r="G389">
        <v>-286.33210000000003</v>
      </c>
      <c r="H389">
        <v>0.9851415</v>
      </c>
      <c r="I389">
        <v>367.10759999999999</v>
      </c>
      <c r="J389">
        <v>-287</v>
      </c>
      <c r="K389">
        <v>1.0588690000000001</v>
      </c>
      <c r="L389">
        <v>367.22919999999999</v>
      </c>
      <c r="M389">
        <v>0.99989600000000001</v>
      </c>
      <c r="N389">
        <v>0</v>
      </c>
      <c r="O389">
        <v>9.2850080000000008E-3</v>
      </c>
      <c r="P389">
        <v>0.99993540000000003</v>
      </c>
      <c r="Q389">
        <v>7.4817619999999899E-3</v>
      </c>
      <c r="R389">
        <v>8.5442269999999997E-3</v>
      </c>
      <c r="S389">
        <v>3.0044559999999998</v>
      </c>
      <c r="T389">
        <v>-0.24177899999999999</v>
      </c>
      <c r="U389">
        <v>-0.39132689999999998</v>
      </c>
      <c r="V389">
        <v>7.3455089999999905E-4</v>
      </c>
      <c r="W389">
        <v>1.8513399999999999E-2</v>
      </c>
      <c r="X389">
        <v>0.9998283</v>
      </c>
      <c r="Y389">
        <v>0.13789219999999999</v>
      </c>
      <c r="Z389">
        <v>-6.259209E-3</v>
      </c>
      <c r="AA389">
        <v>0.99042750000000002</v>
      </c>
      <c r="AB389">
        <v>52</v>
      </c>
      <c r="AC389">
        <v>0.66789999999997396</v>
      </c>
      <c r="AD389">
        <v>-7.3727499999999904E-2</v>
      </c>
      <c r="AE389">
        <v>-0.1216</v>
      </c>
      <c r="AF389">
        <v>0.126306884481272</v>
      </c>
      <c r="AG389">
        <v>-7.3727499999999904E-2</v>
      </c>
      <c r="AH389">
        <v>0.65896995758908095</v>
      </c>
      <c r="AI389">
        <v>96.270656985247598</v>
      </c>
      <c r="AJ389">
        <v>79.149533966459003</v>
      </c>
      <c r="AK389">
        <v>0.67500413208259002</v>
      </c>
      <c r="AL389">
        <v>88.939199667095494</v>
      </c>
      <c r="AM389">
        <v>89.957906113644199</v>
      </c>
      <c r="AN389">
        <v>0.99999995751273596</v>
      </c>
    </row>
    <row r="390" spans="1:40" x14ac:dyDescent="0.3">
      <c r="A390" t="str">
        <f>"20200111150731313"</f>
        <v>20200111150731313</v>
      </c>
      <c r="B390" t="str">
        <f>"1578726451301400"</f>
        <v>1578726451301400</v>
      </c>
      <c r="C390" t="s">
        <v>40</v>
      </c>
      <c r="D390">
        <v>5.1823779999999999</v>
      </c>
      <c r="E390">
        <v>0.54942049999999998</v>
      </c>
      <c r="F390" t="s">
        <v>41</v>
      </c>
      <c r="G390">
        <v>-285.87450000000001</v>
      </c>
      <c r="H390">
        <v>0.97035550000000004</v>
      </c>
      <c r="I390">
        <v>367.08679999999998</v>
      </c>
      <c r="J390">
        <v>-286.73039999999997</v>
      </c>
      <c r="K390">
        <v>1.0588770000000001</v>
      </c>
      <c r="L390">
        <v>367.23180000000002</v>
      </c>
      <c r="M390">
        <v>0.99989530000000004</v>
      </c>
      <c r="N390">
        <v>0</v>
      </c>
      <c r="O390">
        <v>9.3456570000000003E-3</v>
      </c>
      <c r="P390">
        <v>0.9999131</v>
      </c>
      <c r="Q390">
        <v>9.9668340000000008E-3</v>
      </c>
      <c r="R390">
        <v>8.6355119999999997E-3</v>
      </c>
      <c r="S390">
        <v>3.005188</v>
      </c>
      <c r="T390">
        <v>-0.23653920000000001</v>
      </c>
      <c r="U390">
        <v>-0.37960820000000001</v>
      </c>
      <c r="V390">
        <v>7.0264759999999905E-4</v>
      </c>
      <c r="W390">
        <v>2.1013919999999998E-2</v>
      </c>
      <c r="X390">
        <v>0.99977890000000003</v>
      </c>
      <c r="Y390">
        <v>0.13415179999999999</v>
      </c>
      <c r="Z390">
        <v>-5.9823619999999997E-3</v>
      </c>
      <c r="AA390">
        <v>0.99094269999999995</v>
      </c>
      <c r="AB390">
        <v>52</v>
      </c>
      <c r="AC390">
        <v>0.85589999999996202</v>
      </c>
      <c r="AD390">
        <v>-8.8521500000000003E-2</v>
      </c>
      <c r="AE390">
        <v>-0.14500000000003799</v>
      </c>
      <c r="AF390">
        <v>0.15141860613869099</v>
      </c>
      <c r="AG390">
        <v>-8.8521500000000003E-2</v>
      </c>
      <c r="AH390">
        <v>0.8457134285854</v>
      </c>
      <c r="AI390">
        <v>95.882565122929705</v>
      </c>
      <c r="AJ390">
        <v>79.849176792653793</v>
      </c>
      <c r="AK390">
        <v>0.86370993599524304</v>
      </c>
      <c r="AL390">
        <v>88.795902399652206</v>
      </c>
      <c r="AM390">
        <v>89.959732361488406</v>
      </c>
      <c r="AN390">
        <v>0.99999996371631195</v>
      </c>
    </row>
    <row r="391" spans="1:40" x14ac:dyDescent="0.3">
      <c r="A391" t="str">
        <f>"20200111150731325"</f>
        <v>20200111150731325</v>
      </c>
      <c r="B391" t="str">
        <f>"1578726451321895"</f>
        <v>1578726451321895</v>
      </c>
      <c r="C391" t="s">
        <v>40</v>
      </c>
      <c r="D391">
        <v>5.2135749999999996</v>
      </c>
      <c r="E391">
        <v>0.54723449999999996</v>
      </c>
      <c r="F391" t="s">
        <v>41</v>
      </c>
      <c r="G391">
        <v>-285.86360000000002</v>
      </c>
      <c r="H391">
        <v>0.99230339999999995</v>
      </c>
      <c r="I391">
        <v>367.12459999999999</v>
      </c>
      <c r="J391">
        <v>-286.4554</v>
      </c>
      <c r="K391">
        <v>1.058891</v>
      </c>
      <c r="L391">
        <v>367.23430000000002</v>
      </c>
      <c r="M391">
        <v>0.99989459999999997</v>
      </c>
      <c r="N391">
        <v>0</v>
      </c>
      <c r="O391">
        <v>9.4078489999999994E-3</v>
      </c>
      <c r="P391">
        <v>0.99988540000000004</v>
      </c>
      <c r="Q391">
        <v>1.225059E-2</v>
      </c>
      <c r="R391">
        <v>8.8984979999999995E-3</v>
      </c>
      <c r="S391">
        <v>3.005798</v>
      </c>
      <c r="T391">
        <v>-0.23113449999999999</v>
      </c>
      <c r="U391">
        <v>-0.37091059999999998</v>
      </c>
      <c r="V391">
        <v>5.007395E-4</v>
      </c>
      <c r="W391">
        <v>2.331457E-2</v>
      </c>
      <c r="X391">
        <v>0.99972799999999995</v>
      </c>
      <c r="Y391">
        <v>0.13139210000000001</v>
      </c>
      <c r="Z391">
        <v>-5.7451400000000001E-3</v>
      </c>
      <c r="AA391">
        <v>0.99131380000000002</v>
      </c>
      <c r="AB391">
        <v>52</v>
      </c>
      <c r="AC391">
        <v>0.59179999999997701</v>
      </c>
      <c r="AD391">
        <v>-6.6587599999999997E-2</v>
      </c>
      <c r="AE391">
        <v>-0.10970000000003199</v>
      </c>
      <c r="AF391">
        <v>0.11386934287342799</v>
      </c>
      <c r="AG391">
        <v>-6.6587599999999997E-2</v>
      </c>
      <c r="AH391">
        <v>0.58359872843405702</v>
      </c>
      <c r="AI391">
        <v>96.389731334614396</v>
      </c>
      <c r="AJ391">
        <v>78.959398378015294</v>
      </c>
      <c r="AK391">
        <v>0.59832065947118596</v>
      </c>
      <c r="AL391">
        <v>88.664052418325596</v>
      </c>
      <c r="AM391">
        <v>89.971301936540499</v>
      </c>
      <c r="AN391">
        <v>0.99999994694916405</v>
      </c>
    </row>
    <row r="392" spans="1:40" x14ac:dyDescent="0.3">
      <c r="A392" t="str">
        <f>"20200111150731337"</f>
        <v>20200111150731337</v>
      </c>
      <c r="B392" t="str">
        <f>"1578726451331654"</f>
        <v>1578726451331654</v>
      </c>
      <c r="C392" t="s">
        <v>40</v>
      </c>
      <c r="D392">
        <v>5.2426879999999896</v>
      </c>
      <c r="E392">
        <v>0.546068</v>
      </c>
      <c r="F392" t="s">
        <v>41</v>
      </c>
      <c r="G392">
        <v>-285.40679999999998</v>
      </c>
      <c r="H392">
        <v>0.97934030000000005</v>
      </c>
      <c r="I392">
        <v>367.1114</v>
      </c>
      <c r="J392">
        <v>-286.17720000000003</v>
      </c>
      <c r="K392">
        <v>1.058897</v>
      </c>
      <c r="L392">
        <v>367.23700000000002</v>
      </c>
      <c r="M392">
        <v>0.9998937</v>
      </c>
      <c r="N392">
        <v>0</v>
      </c>
      <c r="O392">
        <v>9.4708080000000007E-3</v>
      </c>
      <c r="P392">
        <v>0.99985999999999997</v>
      </c>
      <c r="Q392">
        <v>1.392581E-2</v>
      </c>
      <c r="R392">
        <v>9.2854659999999992E-3</v>
      </c>
      <c r="S392">
        <v>3.0062869999999999</v>
      </c>
      <c r="T392">
        <v>-0.22810800000000001</v>
      </c>
      <c r="U392">
        <v>-0.35253909999999899</v>
      </c>
      <c r="V392">
        <v>1.7589459999999999E-4</v>
      </c>
      <c r="W392">
        <v>2.50078E-2</v>
      </c>
      <c r="X392">
        <v>0.99968729999999995</v>
      </c>
      <c r="Y392">
        <v>0.12548809999999999</v>
      </c>
      <c r="Z392">
        <v>-5.4531149999999997E-3</v>
      </c>
      <c r="AA392">
        <v>0.99208019999999997</v>
      </c>
      <c r="AB392">
        <v>52</v>
      </c>
      <c r="AC392">
        <v>0.77040000000005104</v>
      </c>
      <c r="AD392">
        <v>-7.9556699999999897E-2</v>
      </c>
      <c r="AE392">
        <v>-0.12559999999996299</v>
      </c>
      <c r="AF392">
        <v>0.131524856090734</v>
      </c>
      <c r="AG392">
        <v>-7.9556699999999897E-2</v>
      </c>
      <c r="AH392">
        <v>0.76126785168751998</v>
      </c>
      <c r="AI392">
        <v>95.879586291273</v>
      </c>
      <c r="AJ392">
        <v>80.197729645005396</v>
      </c>
      <c r="AK392">
        <v>0.77663170054892205</v>
      </c>
      <c r="AL392">
        <v>88.567009300709501</v>
      </c>
      <c r="AM392">
        <v>89.989918829502798</v>
      </c>
      <c r="AN392">
        <v>1.0000000593905101</v>
      </c>
    </row>
    <row r="393" spans="1:40" x14ac:dyDescent="0.3">
      <c r="A393" t="str">
        <f>"20200111150731351"</f>
        <v>20200111150731351</v>
      </c>
      <c r="B393" t="str">
        <f>"1578726451341416"</f>
        <v>1578726451341416</v>
      </c>
      <c r="C393" t="s">
        <v>40</v>
      </c>
      <c r="D393">
        <v>5.3062899999999997</v>
      </c>
      <c r="E393">
        <v>0.54500309999999996</v>
      </c>
      <c r="F393" t="s">
        <v>41</v>
      </c>
      <c r="G393">
        <v>-285.39420000000001</v>
      </c>
      <c r="H393">
        <v>1.00051</v>
      </c>
      <c r="I393">
        <v>367.14780000000002</v>
      </c>
      <c r="J393">
        <v>-285.87150000000003</v>
      </c>
      <c r="K393">
        <v>1.0589040000000001</v>
      </c>
      <c r="L393">
        <v>367.23989999999998</v>
      </c>
      <c r="M393">
        <v>0.99989280000000003</v>
      </c>
      <c r="N393">
        <v>0</v>
      </c>
      <c r="O393">
        <v>9.5396490000000007E-3</v>
      </c>
      <c r="P393">
        <v>0.99983520000000004</v>
      </c>
      <c r="Q393">
        <v>1.528727E-2</v>
      </c>
      <c r="R393">
        <v>9.7773210000000003E-3</v>
      </c>
      <c r="S393">
        <v>3.0067140000000001</v>
      </c>
      <c r="T393">
        <v>-0.22428970000000001</v>
      </c>
      <c r="U393">
        <v>-0.34243770000000001</v>
      </c>
      <c r="V393">
        <v>-2.4769419999999998E-4</v>
      </c>
      <c r="W393">
        <v>2.6391600000000001E-2</v>
      </c>
      <c r="X393">
        <v>0.99965170000000003</v>
      </c>
      <c r="Y393">
        <v>0.122271699999999</v>
      </c>
      <c r="Z393">
        <v>-5.2480540000000003E-3</v>
      </c>
      <c r="AA393">
        <v>0.9924828</v>
      </c>
      <c r="AB393">
        <v>52</v>
      </c>
      <c r="AC393">
        <v>0.47730000000001299</v>
      </c>
      <c r="AD393">
        <v>-5.8394000000000001E-2</v>
      </c>
      <c r="AE393">
        <v>-9.2099999999959395E-2</v>
      </c>
      <c r="AF393">
        <v>9.5274519058350299E-2</v>
      </c>
      <c r="AG393">
        <v>-5.8394000000000001E-2</v>
      </c>
      <c r="AH393">
        <v>0.46962279982321598</v>
      </c>
      <c r="AI393">
        <v>96.947800219630693</v>
      </c>
      <c r="AJ393">
        <v>78.531789869236306</v>
      </c>
      <c r="AK393">
        <v>0.48273457233928901</v>
      </c>
      <c r="AL393">
        <v>88.487697188452501</v>
      </c>
      <c r="AM393">
        <v>90.014196776716702</v>
      </c>
      <c r="AN393">
        <v>1.00000004960793</v>
      </c>
    </row>
    <row r="394" spans="1:40" x14ac:dyDescent="0.3">
      <c r="A394" t="str">
        <f>"20200111150731365"</f>
        <v>20200111150731365</v>
      </c>
      <c r="B394" t="str">
        <f>"1578726451361911"</f>
        <v>1578726451361911</v>
      </c>
      <c r="C394" t="s">
        <v>40</v>
      </c>
      <c r="D394">
        <v>5.3350359999999997</v>
      </c>
      <c r="E394">
        <v>0.54313990000000001</v>
      </c>
      <c r="F394" t="s">
        <v>41</v>
      </c>
      <c r="G394">
        <v>-284.93770000000001</v>
      </c>
      <c r="H394">
        <v>0.9900582</v>
      </c>
      <c r="I394">
        <v>367.13630000000001</v>
      </c>
      <c r="J394">
        <v>-285.52789999999999</v>
      </c>
      <c r="K394">
        <v>1.0589120000000001</v>
      </c>
      <c r="L394">
        <v>367.2432</v>
      </c>
      <c r="M394">
        <v>0.9998918</v>
      </c>
      <c r="N394">
        <v>0</v>
      </c>
      <c r="O394">
        <v>9.6168680000000006E-3</v>
      </c>
      <c r="P394">
        <v>0.99981790000000004</v>
      </c>
      <c r="Q394">
        <v>1.6100059999999999E-2</v>
      </c>
      <c r="R394">
        <v>1.024971E-2</v>
      </c>
      <c r="S394">
        <v>3.0071720000000002</v>
      </c>
      <c r="T394">
        <v>-0.22195090000000001</v>
      </c>
      <c r="U394">
        <v>-0.332580599999999</v>
      </c>
      <c r="V394">
        <v>-6.4331670000000003E-4</v>
      </c>
      <c r="W394">
        <v>2.723101E-2</v>
      </c>
      <c r="X394">
        <v>0.99962899999999999</v>
      </c>
      <c r="Y394">
        <v>0.11913360000000001</v>
      </c>
      <c r="Z394">
        <v>-5.0840109999999899E-3</v>
      </c>
      <c r="AA394">
        <v>0.9928652</v>
      </c>
      <c r="AB394">
        <v>52</v>
      </c>
      <c r="AC394">
        <v>0.59019999999998096</v>
      </c>
      <c r="AD394">
        <v>-6.8853800000000007E-2</v>
      </c>
      <c r="AE394">
        <v>-0.106899999999996</v>
      </c>
      <c r="AF394">
        <v>0.11110715006833601</v>
      </c>
      <c r="AG394">
        <v>-6.8853800000000007E-2</v>
      </c>
      <c r="AH394">
        <v>0.58148202028290197</v>
      </c>
      <c r="AI394">
        <v>96.634078831759695</v>
      </c>
      <c r="AJ394">
        <v>79.182552751742094</v>
      </c>
      <c r="AK394">
        <v>0.59599243659884904</v>
      </c>
      <c r="AL394">
        <v>88.439585228030694</v>
      </c>
      <c r="AM394">
        <v>90.036873006597105</v>
      </c>
      <c r="AN394">
        <v>1.0000000397014901</v>
      </c>
    </row>
    <row r="395" spans="1:40" x14ac:dyDescent="0.3">
      <c r="A395" t="str">
        <f>"20200111150731379"</f>
        <v>20200111150731379</v>
      </c>
      <c r="B395" t="str">
        <f>"1578726451371671"</f>
        <v>1578726451371671</v>
      </c>
      <c r="C395" t="s">
        <v>40</v>
      </c>
      <c r="D395">
        <v>5.2376889999999996</v>
      </c>
      <c r="E395">
        <v>0.54313990000000001</v>
      </c>
      <c r="F395" t="s">
        <v>41</v>
      </c>
      <c r="G395">
        <v>-284.47710000000001</v>
      </c>
      <c r="H395">
        <v>0.98200909999999997</v>
      </c>
      <c r="I395">
        <v>367.13279999999997</v>
      </c>
      <c r="J395">
        <v>-285.20830000000001</v>
      </c>
      <c r="K395">
        <v>1.0589120000000001</v>
      </c>
      <c r="L395">
        <v>367.24639999999999</v>
      </c>
      <c r="M395">
        <v>0.99989070000000002</v>
      </c>
      <c r="N395">
        <v>0</v>
      </c>
      <c r="O395">
        <v>9.6886590000000005E-3</v>
      </c>
      <c r="P395">
        <v>0.9997838</v>
      </c>
      <c r="Q395">
        <v>1.7577559999999999E-2</v>
      </c>
      <c r="R395">
        <v>1.111417E-2</v>
      </c>
      <c r="S395">
        <v>3.0072939999999999</v>
      </c>
      <c r="T395">
        <v>-0.22012570000000001</v>
      </c>
      <c r="U395">
        <v>-0.31610110000000002</v>
      </c>
      <c r="V395">
        <v>-1.4368950000000001E-3</v>
      </c>
      <c r="W395">
        <v>2.8735320000000002E-2</v>
      </c>
      <c r="X395">
        <v>0.99958599999999997</v>
      </c>
      <c r="Y395">
        <v>0.11383989999999999</v>
      </c>
      <c r="Z395">
        <v>-4.8558580000000002E-3</v>
      </c>
      <c r="AA395">
        <v>0.99348720000000001</v>
      </c>
      <c r="AB395">
        <v>52</v>
      </c>
      <c r="AC395">
        <v>0.73120000000000096</v>
      </c>
      <c r="AD395">
        <v>-7.6902899999999996E-2</v>
      </c>
      <c r="AE395">
        <v>-0.11360000000001901</v>
      </c>
      <c r="AF395">
        <v>0.119389952441249</v>
      </c>
      <c r="AG395">
        <v>-7.6902899999999996E-2</v>
      </c>
      <c r="AH395">
        <v>0.72226396387876401</v>
      </c>
      <c r="AI395">
        <v>95.996885423927793</v>
      </c>
      <c r="AJ395">
        <v>80.613904218990896</v>
      </c>
      <c r="AK395">
        <v>0.73609323478089195</v>
      </c>
      <c r="AL395">
        <v>88.3533607405694</v>
      </c>
      <c r="AM395">
        <v>90.082362060289498</v>
      </c>
      <c r="AN395">
        <v>0.99999997733937096</v>
      </c>
    </row>
    <row r="396" spans="1:40" x14ac:dyDescent="0.3">
      <c r="A396" t="str">
        <f>"20200111150731394"</f>
        <v>20200111150731394</v>
      </c>
      <c r="B396" t="str">
        <f>"1578726451391191"</f>
        <v>1578726451391191</v>
      </c>
      <c r="C396" t="s">
        <v>40</v>
      </c>
      <c r="D396">
        <v>5.2198010000000004</v>
      </c>
      <c r="E396">
        <v>0.50351840000000003</v>
      </c>
      <c r="F396" t="s">
        <v>43</v>
      </c>
      <c r="G396">
        <v>-270.43189999999998</v>
      </c>
      <c r="H396" s="1">
        <v>-4.7807050000000002E-6</v>
      </c>
      <c r="I396">
        <v>365.7056</v>
      </c>
      <c r="J396">
        <v>-284.87450000000001</v>
      </c>
      <c r="K396">
        <v>1.05891</v>
      </c>
      <c r="L396">
        <v>367.24959999999999</v>
      </c>
      <c r="M396">
        <v>0.99988969999999999</v>
      </c>
      <c r="N396">
        <v>0</v>
      </c>
      <c r="O396">
        <v>9.7638350000000002E-3</v>
      </c>
      <c r="P396">
        <v>0.9997682</v>
      </c>
      <c r="Q396">
        <v>1.8127890000000001E-2</v>
      </c>
      <c r="R396">
        <v>1.1617789999999999E-2</v>
      </c>
      <c r="S396">
        <v>3.0079349999999998</v>
      </c>
      <c r="T396">
        <v>-0.21555479999999999</v>
      </c>
      <c r="U396">
        <v>-0.3136292</v>
      </c>
      <c r="V396">
        <v>-1.8653630000000001E-3</v>
      </c>
      <c r="W396">
        <v>2.931491E-2</v>
      </c>
      <c r="X396">
        <v>0.99956849999999997</v>
      </c>
      <c r="Y396">
        <v>0.1131002</v>
      </c>
      <c r="Z396">
        <v>-4.7334489999999998E-3</v>
      </c>
      <c r="AA396">
        <v>0.99357229999999996</v>
      </c>
      <c r="AB396">
        <v>52</v>
      </c>
      <c r="AC396">
        <v>14.442600000000001</v>
      </c>
      <c r="AD396">
        <v>-1.0589147807049999</v>
      </c>
      <c r="AE396">
        <v>-1.5439999999999801</v>
      </c>
      <c r="AF396">
        <v>1.6760423738913299</v>
      </c>
      <c r="AG396">
        <v>-1.0589147807049999</v>
      </c>
      <c r="AH396">
        <v>14.350563217726499</v>
      </c>
      <c r="AI396">
        <v>94.191764727290305</v>
      </c>
      <c r="AJ396">
        <v>83.338445533516094</v>
      </c>
      <c r="AK396">
        <v>14.486858983846</v>
      </c>
      <c r="AL396">
        <v>88.320138744517394</v>
      </c>
      <c r="AM396">
        <v>90.106923440554795</v>
      </c>
      <c r="AN396">
        <v>1.00000001485983</v>
      </c>
    </row>
    <row r="397" spans="1:40" x14ac:dyDescent="0.3">
      <c r="A397" t="str">
        <f>"20200111150731408"</f>
        <v>20200111150731408</v>
      </c>
      <c r="B397" t="str">
        <f>"1578726451401927"</f>
        <v>1578726451401927</v>
      </c>
      <c r="C397" t="s">
        <v>40</v>
      </c>
      <c r="D397">
        <v>10.64119</v>
      </c>
      <c r="E397">
        <v>0.50351840000000003</v>
      </c>
      <c r="F397" t="s">
        <v>41</v>
      </c>
      <c r="G397">
        <v>-284.02569999999997</v>
      </c>
      <c r="H397">
        <v>0.95674340000000002</v>
      </c>
      <c r="I397">
        <v>367.25009999999997</v>
      </c>
      <c r="J397">
        <v>-284.54399999999998</v>
      </c>
      <c r="K397">
        <v>1.0589090000000001</v>
      </c>
      <c r="L397">
        <v>367.25290000000001</v>
      </c>
      <c r="M397">
        <v>0.99988860000000002</v>
      </c>
      <c r="N397">
        <v>0</v>
      </c>
      <c r="O397">
        <v>9.8374480000000004E-3</v>
      </c>
      <c r="P397">
        <v>0.99975259999999999</v>
      </c>
      <c r="Q397">
        <v>1.8614840000000001E-2</v>
      </c>
      <c r="R397">
        <v>1.219025E-2</v>
      </c>
      <c r="S397">
        <v>3.0072329999999998</v>
      </c>
      <c r="T397">
        <v>-0.36206949999999999</v>
      </c>
      <c r="U397">
        <v>2.0751950000000002E-3</v>
      </c>
      <c r="V397">
        <v>-2.3648359999999999E-3</v>
      </c>
      <c r="W397">
        <v>2.983301E-2</v>
      </c>
      <c r="X397">
        <v>0.99955210000000005</v>
      </c>
      <c r="Y397">
        <v>9.0118999999999998E-3</v>
      </c>
      <c r="Z397">
        <v>-1.7207839999999999E-3</v>
      </c>
      <c r="AA397">
        <v>0.99995789999999996</v>
      </c>
      <c r="AB397">
        <v>52</v>
      </c>
      <c r="AC397">
        <v>0.51830000000006704</v>
      </c>
      <c r="AD397">
        <v>-0.102165599999999</v>
      </c>
      <c r="AE397">
        <v>-2.8000000000361E-3</v>
      </c>
      <c r="AF397">
        <v>7.6035093097047797E-3</v>
      </c>
      <c r="AG397">
        <v>-0.102165599999999</v>
      </c>
      <c r="AH397">
        <v>0.49886455164993299</v>
      </c>
      <c r="AI397">
        <v>101.572615881839</v>
      </c>
      <c r="AJ397">
        <v>89.126786496695303</v>
      </c>
      <c r="AK397">
        <v>0.50927543045985602</v>
      </c>
      <c r="AL397">
        <v>88.290440787142501</v>
      </c>
      <c r="AM397">
        <v>90.1355555845781</v>
      </c>
      <c r="AN397">
        <v>1.0000000007746801</v>
      </c>
    </row>
    <row r="398" spans="1:40" x14ac:dyDescent="0.3">
      <c r="A398" t="str">
        <f>"20200111150731421"</f>
        <v>20200111150731421</v>
      </c>
      <c r="B398" t="str">
        <f>"1578726451411687"</f>
        <v>1578726451411687</v>
      </c>
      <c r="C398" t="s">
        <v>40</v>
      </c>
      <c r="D398">
        <v>5.2080289999999998</v>
      </c>
      <c r="E398">
        <v>0.50185539999999995</v>
      </c>
      <c r="F398" t="s">
        <v>41</v>
      </c>
      <c r="G398">
        <v>-283.56810000000002</v>
      </c>
      <c r="H398">
        <v>0.94192739999999997</v>
      </c>
      <c r="I398">
        <v>367.25389999999999</v>
      </c>
      <c r="J398">
        <v>-284.22980000000001</v>
      </c>
      <c r="K398">
        <v>1.0589090000000001</v>
      </c>
      <c r="L398">
        <v>367.25599999999997</v>
      </c>
      <c r="M398">
        <v>0.99988770000000005</v>
      </c>
      <c r="N398">
        <v>0</v>
      </c>
      <c r="O398">
        <v>9.9062239999999999E-3</v>
      </c>
      <c r="P398">
        <v>0.9997064</v>
      </c>
      <c r="Q398">
        <v>2.0343380000000001E-2</v>
      </c>
      <c r="R398">
        <v>1.317277E-2</v>
      </c>
      <c r="S398">
        <v>3.0074160000000001</v>
      </c>
      <c r="T398">
        <v>-0.36061219999999999</v>
      </c>
      <c r="U398">
        <v>3.6315919999999999E-3</v>
      </c>
      <c r="V398">
        <v>-3.2792979999999999E-3</v>
      </c>
      <c r="W398">
        <v>3.1592660000000002E-2</v>
      </c>
      <c r="X398">
        <v>0.99949540000000003</v>
      </c>
      <c r="Y398">
        <v>8.5670280000000008E-3</v>
      </c>
      <c r="Z398">
        <v>-1.6954439999999999E-3</v>
      </c>
      <c r="AA398">
        <v>0.99996189999999996</v>
      </c>
      <c r="AB398">
        <v>52</v>
      </c>
      <c r="AC398">
        <v>0.66169999999999596</v>
      </c>
      <c r="AD398">
        <v>-0.11698160000000001</v>
      </c>
      <c r="AE398">
        <v>-2.0999999999844398E-3</v>
      </c>
      <c r="AF398">
        <v>8.3929450218278301E-3</v>
      </c>
      <c r="AG398">
        <v>-0.11698160000000001</v>
      </c>
      <c r="AH398">
        <v>0.64159420582420001</v>
      </c>
      <c r="AI398">
        <v>100.332342092712</v>
      </c>
      <c r="AJ398">
        <v>89.250534222373702</v>
      </c>
      <c r="AK398">
        <v>0.65222562140097295</v>
      </c>
      <c r="AL398">
        <v>88.189572583365702</v>
      </c>
      <c r="AM398">
        <v>90.187984117765595</v>
      </c>
      <c r="AN398">
        <v>0.99999995229120298</v>
      </c>
    </row>
    <row r="399" spans="1:40" x14ac:dyDescent="0.3">
      <c r="A399" t="str">
        <f>"20200111150731437"</f>
        <v>20200111150731437</v>
      </c>
      <c r="B399" t="str">
        <f>"1578726451431209"</f>
        <v>1578726451431209</v>
      </c>
      <c r="C399" t="s">
        <v>40</v>
      </c>
      <c r="D399">
        <v>5.3368640000000003</v>
      </c>
      <c r="E399">
        <v>0.50263359999999901</v>
      </c>
      <c r="F399" t="s">
        <v>41</v>
      </c>
      <c r="G399">
        <v>-283.10950000000003</v>
      </c>
      <c r="H399">
        <v>0.92870469999999905</v>
      </c>
      <c r="I399">
        <v>367.26319999999998</v>
      </c>
      <c r="J399">
        <v>-283.87509999999997</v>
      </c>
      <c r="K399">
        <v>1.0589120000000001</v>
      </c>
      <c r="L399">
        <v>367.25959999999998</v>
      </c>
      <c r="M399">
        <v>0.99988650000000001</v>
      </c>
      <c r="N399">
        <v>0</v>
      </c>
      <c r="O399">
        <v>9.9804799999999999E-3</v>
      </c>
      <c r="P399">
        <v>0.99967589999999995</v>
      </c>
      <c r="Q399">
        <v>2.154377E-2</v>
      </c>
      <c r="R399">
        <v>1.356249E-2</v>
      </c>
      <c r="S399">
        <v>3.0077210000000001</v>
      </c>
      <c r="T399">
        <v>-0.34973189999999998</v>
      </c>
      <c r="U399">
        <v>1.9927980000000001E-2</v>
      </c>
      <c r="V399">
        <v>-3.5956149999999999E-3</v>
      </c>
      <c r="W399">
        <v>3.2831800000000001E-2</v>
      </c>
      <c r="X399">
        <v>0.99945439999999997</v>
      </c>
      <c r="Y399">
        <v>3.2665160000000001E-3</v>
      </c>
      <c r="Z399">
        <v>-1.3459240000000001E-3</v>
      </c>
      <c r="AA399">
        <v>0.99999369999999999</v>
      </c>
      <c r="AB399">
        <v>52</v>
      </c>
      <c r="AC399">
        <v>0.76559999999994899</v>
      </c>
      <c r="AD399">
        <v>-0.1302073</v>
      </c>
      <c r="AE399">
        <v>3.6000000000058199E-3</v>
      </c>
      <c r="AF399">
        <v>3.9281052880189701E-3</v>
      </c>
      <c r="AG399">
        <v>-0.1302073</v>
      </c>
      <c r="AH399">
        <v>0.74407619212290799</v>
      </c>
      <c r="AI399">
        <v>99.925659146734205</v>
      </c>
      <c r="AJ399">
        <v>89.697528605151504</v>
      </c>
      <c r="AK399">
        <v>0.75539311002190801</v>
      </c>
      <c r="AL399">
        <v>88.118538265778497</v>
      </c>
      <c r="AM399">
        <v>90.206125137354306</v>
      </c>
      <c r="AN399">
        <v>0.99999997660891304</v>
      </c>
    </row>
    <row r="400" spans="1:40" x14ac:dyDescent="0.3">
      <c r="A400" t="str">
        <f>"20200111150731450"</f>
        <v>20200111150731450</v>
      </c>
      <c r="B400" t="str">
        <f>"1578726451441943"</f>
        <v>1578726451441943</v>
      </c>
      <c r="C400" t="s">
        <v>40</v>
      </c>
      <c r="D400">
        <v>5.324681</v>
      </c>
      <c r="E400">
        <v>0.5032295</v>
      </c>
      <c r="F400" t="s">
        <v>41</v>
      </c>
      <c r="G400">
        <v>-283.08949999999999</v>
      </c>
      <c r="H400">
        <v>0.97013819999999995</v>
      </c>
      <c r="I400">
        <v>367.26319999999998</v>
      </c>
      <c r="J400">
        <v>-283.55770000000001</v>
      </c>
      <c r="K400">
        <v>1.0589170000000001</v>
      </c>
      <c r="L400">
        <v>367.26280000000003</v>
      </c>
      <c r="M400">
        <v>0.99988540000000004</v>
      </c>
      <c r="N400">
        <v>0</v>
      </c>
      <c r="O400">
        <v>1.004209E-2</v>
      </c>
      <c r="P400">
        <v>0.99964989999999998</v>
      </c>
      <c r="Q400">
        <v>2.2654540000000001E-2</v>
      </c>
      <c r="R400">
        <v>1.3668430000000001E-2</v>
      </c>
      <c r="S400">
        <v>3.0081479999999998</v>
      </c>
      <c r="T400">
        <v>-0.34018189999999998</v>
      </c>
      <c r="U400">
        <v>1.4770510000000001E-2</v>
      </c>
      <c r="V400">
        <v>-3.6402729999999999E-3</v>
      </c>
      <c r="W400">
        <v>3.3982239999999997E-2</v>
      </c>
      <c r="X400">
        <v>0.99941579999999997</v>
      </c>
      <c r="Y400">
        <v>5.0366400000000002E-3</v>
      </c>
      <c r="Z400">
        <v>-1.4159470000000001E-3</v>
      </c>
      <c r="AA400">
        <v>0.99998629999999999</v>
      </c>
      <c r="AB400">
        <v>52</v>
      </c>
      <c r="AC400">
        <v>0.46820000000002399</v>
      </c>
      <c r="AD400">
        <v>-8.8778800000000102E-2</v>
      </c>
      <c r="AE400">
        <v>3.9999999995643499E-4</v>
      </c>
      <c r="AF400">
        <v>4.1527187877772199E-3</v>
      </c>
      <c r="AG400">
        <v>-8.8778800000000102E-2</v>
      </c>
      <c r="AH400">
        <v>0.45193135942317297</v>
      </c>
      <c r="AI400">
        <v>101.11338488533499</v>
      </c>
      <c r="AJ400">
        <v>89.473533847943301</v>
      </c>
      <c r="AK400">
        <v>0.46058753134756802</v>
      </c>
      <c r="AL400">
        <v>88.0525861229155</v>
      </c>
      <c r="AM400">
        <v>90.208693275412202</v>
      </c>
      <c r="AN400">
        <v>0.99999999275628604</v>
      </c>
    </row>
    <row r="401" spans="1:40" x14ac:dyDescent="0.3">
      <c r="A401" t="str">
        <f>"20200111150731466"</f>
        <v>20200111150731466</v>
      </c>
      <c r="B401" t="str">
        <f>"1578726451461463"</f>
        <v>1578726451461463</v>
      </c>
      <c r="C401" t="s">
        <v>40</v>
      </c>
      <c r="D401">
        <v>5.7430560000000002</v>
      </c>
      <c r="E401">
        <v>0.50378480000000003</v>
      </c>
      <c r="F401" t="s">
        <v>41</v>
      </c>
      <c r="G401">
        <v>-282.6311</v>
      </c>
      <c r="H401">
        <v>0.95632790000000001</v>
      </c>
      <c r="I401">
        <v>367.26580000000001</v>
      </c>
      <c r="J401">
        <v>-283.19839999999999</v>
      </c>
      <c r="K401">
        <v>1.0589219999999999</v>
      </c>
      <c r="L401">
        <v>367.26639999999998</v>
      </c>
      <c r="M401">
        <v>0.9998842</v>
      </c>
      <c r="N401">
        <v>0</v>
      </c>
      <c r="O401">
        <v>1.010581E-2</v>
      </c>
      <c r="P401">
        <v>0.99960360000000004</v>
      </c>
      <c r="Q401">
        <v>2.4707400000000001E-2</v>
      </c>
      <c r="R401">
        <v>1.349845E-2</v>
      </c>
      <c r="S401">
        <v>3.0084529999999998</v>
      </c>
      <c r="T401">
        <v>-0.33314690000000002</v>
      </c>
      <c r="U401">
        <v>1.0345460000000001E-2</v>
      </c>
      <c r="V401">
        <v>-3.4069840000000001E-3</v>
      </c>
      <c r="W401">
        <v>3.6084749999999999E-2</v>
      </c>
      <c r="X401">
        <v>0.99934290000000003</v>
      </c>
      <c r="Y401">
        <v>6.5658919999999898E-3</v>
      </c>
      <c r="Z401">
        <v>-1.4781600000000001E-3</v>
      </c>
      <c r="AA401">
        <v>0.99997740000000002</v>
      </c>
      <c r="AB401">
        <v>52</v>
      </c>
      <c r="AC401">
        <v>0.56729999999998804</v>
      </c>
      <c r="AD401">
        <v>-0.10259409999999899</v>
      </c>
      <c r="AE401">
        <v>-5.9999999996307397E-4</v>
      </c>
      <c r="AF401">
        <v>6.1327914495593302E-3</v>
      </c>
      <c r="AG401">
        <v>-0.10259409999999899</v>
      </c>
      <c r="AH401">
        <v>0.54929992043675802</v>
      </c>
      <c r="AI401">
        <v>100.578736556576</v>
      </c>
      <c r="AJ401">
        <v>89.360334027774101</v>
      </c>
      <c r="AK401">
        <v>0.55883232107458003</v>
      </c>
      <c r="AL401">
        <v>87.9320471178698</v>
      </c>
      <c r="AM401">
        <v>90.195333401371897</v>
      </c>
      <c r="AN401">
        <v>0.99999997425147402</v>
      </c>
    </row>
    <row r="402" spans="1:40" x14ac:dyDescent="0.3">
      <c r="A402" t="str">
        <f>"20200111150731479"</f>
        <v>20200111150731479</v>
      </c>
      <c r="B402" t="str">
        <f>"1578726451471223"</f>
        <v>1578726451471223</v>
      </c>
      <c r="C402" t="s">
        <v>40</v>
      </c>
      <c r="D402">
        <v>5.4338569999999997</v>
      </c>
      <c r="E402">
        <v>0.50393339999999998</v>
      </c>
      <c r="F402" t="s">
        <v>41</v>
      </c>
      <c r="G402">
        <v>-282.16910000000001</v>
      </c>
      <c r="H402">
        <v>0.94999579999999995</v>
      </c>
      <c r="I402">
        <v>367.26799999999997</v>
      </c>
      <c r="J402">
        <v>-282.88749999999999</v>
      </c>
      <c r="K402">
        <v>1.0589219999999999</v>
      </c>
      <c r="L402">
        <v>367.26960000000003</v>
      </c>
      <c r="M402">
        <v>0.99988319999999997</v>
      </c>
      <c r="N402">
        <v>0</v>
      </c>
      <c r="O402">
        <v>1.0154430000000001E-2</v>
      </c>
      <c r="P402">
        <v>0.99957819999999997</v>
      </c>
      <c r="Q402">
        <v>2.5790489999999999E-2</v>
      </c>
      <c r="R402">
        <v>1.3357229999999999E-2</v>
      </c>
      <c r="S402">
        <v>3.0090029999999999</v>
      </c>
      <c r="T402">
        <v>-0.31866609999999901</v>
      </c>
      <c r="U402">
        <v>5.432129E-3</v>
      </c>
      <c r="V402">
        <v>-3.2176710000000001E-3</v>
      </c>
      <c r="W402">
        <v>3.7215999999999999E-2</v>
      </c>
      <c r="X402">
        <v>0.99930209999999997</v>
      </c>
      <c r="Y402">
        <v>8.2469729999999995E-3</v>
      </c>
      <c r="Z402">
        <v>-1.507928E-3</v>
      </c>
      <c r="AA402">
        <v>0.99996479999999999</v>
      </c>
      <c r="AB402">
        <v>52</v>
      </c>
      <c r="AC402">
        <v>0.71839999999997395</v>
      </c>
      <c r="AD402">
        <v>-0.108926199999999</v>
      </c>
      <c r="AE402">
        <v>-1.59999999999627E-3</v>
      </c>
      <c r="AF402">
        <v>8.6954321439308806E-3</v>
      </c>
      <c r="AG402">
        <v>-0.108926199999999</v>
      </c>
      <c r="AH402">
        <v>0.70220338917705105</v>
      </c>
      <c r="AI402">
        <v>98.816814399411498</v>
      </c>
      <c r="AJ402">
        <v>89.290538741914105</v>
      </c>
      <c r="AK402">
        <v>0.71065471739681496</v>
      </c>
      <c r="AL402">
        <v>87.867187817123707</v>
      </c>
      <c r="AM402">
        <v>90.184487084565106</v>
      </c>
      <c r="AN402">
        <v>1.0000000355635299</v>
      </c>
    </row>
    <row r="403" spans="1:40" x14ac:dyDescent="0.3">
      <c r="A403" t="str">
        <f>"20200111150731492"</f>
        <v>20200111150731492</v>
      </c>
      <c r="B403" t="str">
        <f>"1578726451481959"</f>
        <v>1578726451481959</v>
      </c>
      <c r="C403" t="s">
        <v>40</v>
      </c>
      <c r="D403">
        <v>5.3153499999999996</v>
      </c>
      <c r="E403">
        <v>0.50458349999999996</v>
      </c>
      <c r="F403" t="s">
        <v>41</v>
      </c>
      <c r="G403">
        <v>-282.15300000000002</v>
      </c>
      <c r="H403">
        <v>0.98325980000000002</v>
      </c>
      <c r="I403">
        <v>367.27010000000001</v>
      </c>
      <c r="J403">
        <v>-282.57870000000003</v>
      </c>
      <c r="K403">
        <v>1.058924</v>
      </c>
      <c r="L403">
        <v>367.27269999999999</v>
      </c>
      <c r="M403">
        <v>0.99988220000000005</v>
      </c>
      <c r="N403">
        <v>0</v>
      </c>
      <c r="O403">
        <v>1.019189E-2</v>
      </c>
      <c r="P403">
        <v>0.99955910000000003</v>
      </c>
      <c r="Q403">
        <v>2.6590079999999999E-2</v>
      </c>
      <c r="R403">
        <v>1.3217380000000001E-2</v>
      </c>
      <c r="S403">
        <v>3.0092159999999999</v>
      </c>
      <c r="T403">
        <v>-0.3102742</v>
      </c>
      <c r="U403">
        <v>3.479004E-3</v>
      </c>
      <c r="V403">
        <v>-3.0398360000000002E-3</v>
      </c>
      <c r="W403">
        <v>3.8071790000000001E-2</v>
      </c>
      <c r="X403">
        <v>0.9992704</v>
      </c>
      <c r="Y403">
        <v>8.9350929999999999E-3</v>
      </c>
      <c r="Z403">
        <v>-1.5075620000000001E-3</v>
      </c>
      <c r="AA403">
        <v>0.99995889999999998</v>
      </c>
      <c r="AB403">
        <v>52</v>
      </c>
      <c r="AC403">
        <v>0.42570000000000602</v>
      </c>
      <c r="AD403">
        <v>-7.5664199999999904E-2</v>
      </c>
      <c r="AE403">
        <v>-2.5999999999726199E-3</v>
      </c>
      <c r="AF403">
        <v>6.7263491040392099E-3</v>
      </c>
      <c r="AG403">
        <v>-7.5664199999999904E-2</v>
      </c>
      <c r="AH403">
        <v>0.41261659491386499</v>
      </c>
      <c r="AI403">
        <v>100.38990201135</v>
      </c>
      <c r="AJ403">
        <v>89.066064509411206</v>
      </c>
      <c r="AK403">
        <v>0.41955067552349601</v>
      </c>
      <c r="AL403">
        <v>87.818119843318399</v>
      </c>
      <c r="AM403">
        <v>90.174296402608604</v>
      </c>
      <c r="AN403">
        <v>1.00000001705643</v>
      </c>
    </row>
    <row r="404" spans="1:40" x14ac:dyDescent="0.3">
      <c r="A404" t="str">
        <f>"20200111150731505"</f>
        <v>20200111150731505</v>
      </c>
      <c r="B404" t="str">
        <f>"1578726451501479"</f>
        <v>1578726451501479</v>
      </c>
      <c r="C404" t="s">
        <v>40</v>
      </c>
      <c r="D404">
        <v>5.351178</v>
      </c>
      <c r="E404">
        <v>0.50492269999999995</v>
      </c>
      <c r="F404" t="s">
        <v>41</v>
      </c>
      <c r="G404">
        <v>-281.69760000000002</v>
      </c>
      <c r="H404">
        <v>0.96314719999999998</v>
      </c>
      <c r="I404">
        <v>367.27170000000001</v>
      </c>
      <c r="J404">
        <v>-282.29500000000002</v>
      </c>
      <c r="K404">
        <v>1.058926</v>
      </c>
      <c r="L404">
        <v>367.2756</v>
      </c>
      <c r="M404">
        <v>0.99988120000000003</v>
      </c>
      <c r="N404">
        <v>0</v>
      </c>
      <c r="O404">
        <v>1.022196E-2</v>
      </c>
      <c r="P404">
        <v>0.9995406</v>
      </c>
      <c r="Q404">
        <v>2.7484539999999998E-2</v>
      </c>
      <c r="R404">
        <v>1.2790930000000001E-2</v>
      </c>
      <c r="S404">
        <v>3.01004</v>
      </c>
      <c r="T404">
        <v>-0.32741900000000002</v>
      </c>
      <c r="U404">
        <v>-2.8076170000000001E-3</v>
      </c>
      <c r="V404">
        <v>-2.5827879999999999E-3</v>
      </c>
      <c r="W404">
        <v>3.9022380000000002E-2</v>
      </c>
      <c r="X404">
        <v>0.99923499999999998</v>
      </c>
      <c r="Y404">
        <v>1.102998E-2</v>
      </c>
      <c r="Z404">
        <v>-1.7068230000000001E-3</v>
      </c>
      <c r="AA404">
        <v>0.99993770000000004</v>
      </c>
      <c r="AB404">
        <v>52</v>
      </c>
      <c r="AC404">
        <v>0.59739999999999305</v>
      </c>
      <c r="AD404">
        <v>-9.5778799999999997E-2</v>
      </c>
      <c r="AE404">
        <v>-3.8999999999873498E-3</v>
      </c>
      <c r="AF404">
        <v>9.7560386086194203E-3</v>
      </c>
      <c r="AG404">
        <v>-9.5778799999999997E-2</v>
      </c>
      <c r="AH404">
        <v>0.58236030164986996</v>
      </c>
      <c r="AI404">
        <v>99.338341948434106</v>
      </c>
      <c r="AJ404">
        <v>89.040237543864507</v>
      </c>
      <c r="AK404">
        <v>0.59026458453519004</v>
      </c>
      <c r="AL404">
        <v>87.763614502226602</v>
      </c>
      <c r="AM404">
        <v>90.148095815518801</v>
      </c>
      <c r="AN404">
        <v>1.00000000107985</v>
      </c>
    </row>
    <row r="405" spans="1:40" x14ac:dyDescent="0.3">
      <c r="A405" t="str">
        <f>"20200111150731518"</f>
        <v>20200111150731518</v>
      </c>
      <c r="B405" t="str">
        <f>"1578726451511240"</f>
        <v>1578726451511240</v>
      </c>
      <c r="C405" t="s">
        <v>40</v>
      </c>
      <c r="D405">
        <v>5.3675220000000001</v>
      </c>
      <c r="E405">
        <v>0.5050924</v>
      </c>
      <c r="F405" t="s">
        <v>41</v>
      </c>
      <c r="G405">
        <v>-281.23880000000003</v>
      </c>
      <c r="H405">
        <v>0.95004239999999995</v>
      </c>
      <c r="I405">
        <v>367.2731</v>
      </c>
      <c r="J405">
        <v>-281.99040000000002</v>
      </c>
      <c r="K405">
        <v>1.0589299999999999</v>
      </c>
      <c r="L405">
        <v>367.27879999999999</v>
      </c>
      <c r="M405">
        <v>0.9998802</v>
      </c>
      <c r="N405">
        <v>0</v>
      </c>
      <c r="O405">
        <v>1.024862E-2</v>
      </c>
      <c r="P405">
        <v>0.99952260000000004</v>
      </c>
      <c r="Q405">
        <v>2.8250310000000001E-2</v>
      </c>
      <c r="R405">
        <v>1.251527E-2</v>
      </c>
      <c r="S405">
        <v>3.0100099999999999</v>
      </c>
      <c r="T405">
        <v>-0.31044100000000002</v>
      </c>
      <c r="U405">
        <v>-6.6833500000000002E-3</v>
      </c>
      <c r="V405">
        <v>-2.280153E-3</v>
      </c>
      <c r="W405">
        <v>3.9854279999999999E-2</v>
      </c>
      <c r="X405">
        <v>0.9992029</v>
      </c>
      <c r="Y405">
        <v>1.234967E-2</v>
      </c>
      <c r="Z405">
        <v>-1.68943E-3</v>
      </c>
      <c r="AA405">
        <v>0.99992230000000004</v>
      </c>
      <c r="AB405">
        <v>52</v>
      </c>
      <c r="AC405">
        <v>0.75159999999999605</v>
      </c>
      <c r="AD405">
        <v>-0.108887599999999</v>
      </c>
      <c r="AE405">
        <v>-5.6999999999902597E-3</v>
      </c>
      <c r="AF405">
        <v>1.31275683326395E-2</v>
      </c>
      <c r="AG405">
        <v>-0.108887599999999</v>
      </c>
      <c r="AH405">
        <v>0.73605424681994402</v>
      </c>
      <c r="AI405">
        <v>98.413654999389095</v>
      </c>
      <c r="AJ405">
        <v>88.978234921570404</v>
      </c>
      <c r="AK405">
        <v>0.74418055386160298</v>
      </c>
      <c r="AL405">
        <v>87.715913025841402</v>
      </c>
      <c r="AM405">
        <v>90.130747135316099</v>
      </c>
      <c r="AN405">
        <v>0.99999999905021497</v>
      </c>
    </row>
    <row r="406" spans="1:40" x14ac:dyDescent="0.3">
      <c r="A406" t="str">
        <f>"20200111150731532"</f>
        <v>20200111150731532</v>
      </c>
      <c r="B406" t="str">
        <f>"1578726451521975"</f>
        <v>1578726451521975</v>
      </c>
      <c r="C406" t="s">
        <v>40</v>
      </c>
      <c r="D406">
        <v>5.4309880000000001</v>
      </c>
      <c r="E406">
        <v>0.50444840000000002</v>
      </c>
      <c r="F406" t="s">
        <v>41</v>
      </c>
      <c r="G406">
        <v>-281.22190000000001</v>
      </c>
      <c r="H406">
        <v>0.98461500000000002</v>
      </c>
      <c r="I406">
        <v>367.27640000000002</v>
      </c>
      <c r="J406">
        <v>-281.65589999999997</v>
      </c>
      <c r="K406">
        <v>1.0589329999999999</v>
      </c>
      <c r="L406">
        <v>367.28219999999999</v>
      </c>
      <c r="M406">
        <v>0.99987890000000001</v>
      </c>
      <c r="N406">
        <v>0</v>
      </c>
      <c r="O406">
        <v>1.027029E-2</v>
      </c>
      <c r="P406">
        <v>0.99949920000000003</v>
      </c>
      <c r="Q406">
        <v>2.933643E-2</v>
      </c>
      <c r="R406">
        <v>1.187275E-2</v>
      </c>
      <c r="S406">
        <v>3.0097659999999999</v>
      </c>
      <c r="T406">
        <v>-0.29121580000000002</v>
      </c>
      <c r="U406">
        <v>-8.6669920000000001E-3</v>
      </c>
      <c r="V406">
        <v>-1.615418E-3</v>
      </c>
      <c r="W406">
        <v>4.1022059999999999E-2</v>
      </c>
      <c r="X406">
        <v>0.99915699999999996</v>
      </c>
      <c r="Y406">
        <v>1.3041540000000001E-2</v>
      </c>
      <c r="Z406">
        <v>-1.6209219999999999E-3</v>
      </c>
      <c r="AA406">
        <v>0.99991359999999996</v>
      </c>
      <c r="AB406">
        <v>52</v>
      </c>
      <c r="AC406">
        <v>0.43399999999996902</v>
      </c>
      <c r="AD406">
        <v>-7.4317999999999801E-2</v>
      </c>
      <c r="AE406">
        <v>-5.7999999999651603E-3</v>
      </c>
      <c r="AF406">
        <v>9.9651486359324092E-3</v>
      </c>
      <c r="AG406">
        <v>-7.4317999999999801E-2</v>
      </c>
      <c r="AH406">
        <v>0.42155838171304899</v>
      </c>
      <c r="AI406">
        <v>99.995403226216197</v>
      </c>
      <c r="AJ406">
        <v>88.645846768746793</v>
      </c>
      <c r="AK406">
        <v>0.42817512597517998</v>
      </c>
      <c r="AL406">
        <v>87.648949537853497</v>
      </c>
      <c r="AM406">
        <v>90.092634643907303</v>
      </c>
      <c r="AN406">
        <v>1.0000000648154701</v>
      </c>
    </row>
    <row r="407" spans="1:40" x14ac:dyDescent="0.3">
      <c r="A407" t="str">
        <f>"20200111150731546"</f>
        <v>20200111150731546</v>
      </c>
      <c r="B407" t="str">
        <f>"1578726451541495"</f>
        <v>1578726451541495</v>
      </c>
      <c r="C407" t="s">
        <v>40</v>
      </c>
      <c r="D407">
        <v>5.3141629999999997</v>
      </c>
      <c r="E407">
        <v>0.50442189999999998</v>
      </c>
      <c r="F407" t="s">
        <v>41</v>
      </c>
      <c r="G407">
        <v>-280.76389999999998</v>
      </c>
      <c r="H407">
        <v>0.96976419999999997</v>
      </c>
      <c r="I407">
        <v>367.28039999999999</v>
      </c>
      <c r="J407">
        <v>-281.34480000000002</v>
      </c>
      <c r="K407">
        <v>1.0589329999999999</v>
      </c>
      <c r="L407">
        <v>367.28539999999998</v>
      </c>
      <c r="M407">
        <v>0.99987800000000004</v>
      </c>
      <c r="N407">
        <v>0</v>
      </c>
      <c r="O407">
        <v>1.028224E-2</v>
      </c>
      <c r="P407">
        <v>0.99949370000000004</v>
      </c>
      <c r="Q407">
        <v>2.9574449999999999E-2</v>
      </c>
      <c r="R407">
        <v>1.174905E-2</v>
      </c>
      <c r="S407">
        <v>3.0104060000000001</v>
      </c>
      <c r="T407">
        <v>-0.30102489999999998</v>
      </c>
      <c r="U407">
        <v>-5.8898930000000002E-3</v>
      </c>
      <c r="V407">
        <v>-1.479139E-3</v>
      </c>
      <c r="W407">
        <v>4.1340790000000002E-2</v>
      </c>
      <c r="X407">
        <v>0.99914400000000003</v>
      </c>
      <c r="Y407">
        <v>1.2127580000000001E-2</v>
      </c>
      <c r="Z407">
        <v>-1.6305110000000001E-3</v>
      </c>
      <c r="AA407">
        <v>0.99992510000000001</v>
      </c>
      <c r="AB407">
        <v>52</v>
      </c>
      <c r="AC407">
        <v>0.58090000000004205</v>
      </c>
      <c r="AD407">
        <v>-8.9168799999999895E-2</v>
      </c>
      <c r="AE407">
        <v>-4.9999999999954499E-3</v>
      </c>
      <c r="AF407">
        <v>1.07205173370345E-2</v>
      </c>
      <c r="AG407">
        <v>-8.9168799999999895E-2</v>
      </c>
      <c r="AH407">
        <v>0.56744830916576405</v>
      </c>
      <c r="AI407">
        <v>98.928859999613493</v>
      </c>
      <c r="AJ407">
        <v>88.917668228519005</v>
      </c>
      <c r="AK407">
        <v>0.57451160820343505</v>
      </c>
      <c r="AL407">
        <v>87.630671974602095</v>
      </c>
      <c r="AM407">
        <v>90.084820966849193</v>
      </c>
      <c r="AN407">
        <v>0.99999999075300205</v>
      </c>
    </row>
    <row r="408" spans="1:40" x14ac:dyDescent="0.3">
      <c r="A408" t="str">
        <f>"20200111150731559"</f>
        <v>20200111150731559</v>
      </c>
      <c r="B408" t="str">
        <f>"1578726451551255"</f>
        <v>1578726451551255</v>
      </c>
      <c r="C408" t="s">
        <v>40</v>
      </c>
      <c r="D408">
        <v>5.2809220000000003</v>
      </c>
      <c r="E408">
        <v>0.50454769999999904</v>
      </c>
      <c r="F408" t="s">
        <v>41</v>
      </c>
      <c r="G408">
        <v>-280.30759999999998</v>
      </c>
      <c r="H408">
        <v>0.95170299999999997</v>
      </c>
      <c r="I408">
        <v>367.28309999999999</v>
      </c>
      <c r="J408">
        <v>-281.04320000000001</v>
      </c>
      <c r="K408">
        <v>1.0589360000000001</v>
      </c>
      <c r="L408">
        <v>367.2885</v>
      </c>
      <c r="M408">
        <v>0.99987680000000001</v>
      </c>
      <c r="N408">
        <v>0</v>
      </c>
      <c r="O408">
        <v>1.028512E-2</v>
      </c>
      <c r="P408">
        <v>0.9994885</v>
      </c>
      <c r="Q408">
        <v>2.9925239999999999E-2</v>
      </c>
      <c r="R408">
        <v>1.128618E-2</v>
      </c>
      <c r="S408">
        <v>3.0108030000000001</v>
      </c>
      <c r="T408">
        <v>-0.3114575</v>
      </c>
      <c r="U408">
        <v>-6.1645509999999999E-3</v>
      </c>
      <c r="V408">
        <v>-1.0122200000000001E-3</v>
      </c>
      <c r="W408">
        <v>4.1773869999999998E-2</v>
      </c>
      <c r="X408">
        <v>0.99912659999999998</v>
      </c>
      <c r="Y408">
        <v>1.2213119999999999E-2</v>
      </c>
      <c r="Z408">
        <v>-1.69121299999999E-3</v>
      </c>
      <c r="AA408">
        <v>0.99992400000000004</v>
      </c>
      <c r="AB408">
        <v>52</v>
      </c>
      <c r="AC408">
        <v>0.73560000000003301</v>
      </c>
      <c r="AD408">
        <v>-0.10723299999999999</v>
      </c>
      <c r="AE408">
        <v>-5.4000000000087303E-3</v>
      </c>
      <c r="AF408">
        <v>1.26961919684517E-2</v>
      </c>
      <c r="AG408">
        <v>-0.10723299999999999</v>
      </c>
      <c r="AH408">
        <v>0.720201571749297</v>
      </c>
      <c r="AI408">
        <v>98.467430421120298</v>
      </c>
      <c r="AJ408">
        <v>88.990056530033598</v>
      </c>
      <c r="AK408">
        <v>0.72825161416206796</v>
      </c>
      <c r="AL408">
        <v>87.605836937867707</v>
      </c>
      <c r="AM408">
        <v>90.058046612007601</v>
      </c>
      <c r="AN408">
        <v>1.00000002181583</v>
      </c>
    </row>
    <row r="409" spans="1:40" x14ac:dyDescent="0.3">
      <c r="A409" t="str">
        <f>"20200111150731570"</f>
        <v>20200111150731570</v>
      </c>
      <c r="B409" t="str">
        <f>"1578726451561991"</f>
        <v>1578726451561991</v>
      </c>
      <c r="C409" t="s">
        <v>40</v>
      </c>
      <c r="D409">
        <v>5.3592649999999997</v>
      </c>
      <c r="E409">
        <v>0.50411300000000003</v>
      </c>
      <c r="F409" t="s">
        <v>41</v>
      </c>
      <c r="G409">
        <v>-280.29180000000002</v>
      </c>
      <c r="H409">
        <v>0.98410569999999997</v>
      </c>
      <c r="I409">
        <v>367.28620000000001</v>
      </c>
      <c r="J409">
        <v>-280.76400000000001</v>
      </c>
      <c r="K409">
        <v>1.0590889999999999</v>
      </c>
      <c r="L409">
        <v>367.29140000000001</v>
      </c>
      <c r="M409">
        <v>0.99986940000000002</v>
      </c>
      <c r="N409">
        <v>0</v>
      </c>
      <c r="O409">
        <v>1.0280040000000001E-2</v>
      </c>
      <c r="P409">
        <v>0.99948409999999999</v>
      </c>
      <c r="Q409">
        <v>3.0106730000000002E-2</v>
      </c>
      <c r="R409">
        <v>1.1199779999999999E-2</v>
      </c>
      <c r="S409">
        <v>3.0105900000000001</v>
      </c>
      <c r="T409">
        <v>-0.300091099999999</v>
      </c>
      <c r="U409">
        <v>-8.5144039999999997E-3</v>
      </c>
      <c r="V409">
        <v>-9.3024380000000003E-4</v>
      </c>
      <c r="W409">
        <v>4.2577570000000002E-2</v>
      </c>
      <c r="X409">
        <v>0.9990928</v>
      </c>
      <c r="Y409">
        <v>1.299346E-2</v>
      </c>
      <c r="Z409">
        <v>-1.6682170000000001E-3</v>
      </c>
      <c r="AA409">
        <v>0.99991419999999998</v>
      </c>
      <c r="AB409">
        <v>52</v>
      </c>
      <c r="AC409">
        <v>0.47219999999998602</v>
      </c>
      <c r="AD409">
        <v>-7.4983300000000003E-2</v>
      </c>
      <c r="AE409">
        <v>-5.2000000000020901E-3</v>
      </c>
      <c r="AF409">
        <v>9.8070718693923295E-3</v>
      </c>
      <c r="AG409">
        <v>-7.4983300000000003E-2</v>
      </c>
      <c r="AH409">
        <v>0.46051072866530202</v>
      </c>
      <c r="AI409">
        <v>99.246044828330398</v>
      </c>
      <c r="AJ409">
        <v>88.780009085092303</v>
      </c>
      <c r="AK409">
        <v>0.46667848156240099</v>
      </c>
      <c r="AL409">
        <v>87.559747424476001</v>
      </c>
      <c r="AM409">
        <v>90.053347425040101</v>
      </c>
      <c r="AN409">
        <v>1.0000000689162301</v>
      </c>
    </row>
    <row r="410" spans="1:40" x14ac:dyDescent="0.3">
      <c r="A410" t="str">
        <f>"20200111150731582"</f>
        <v>20200111150731582</v>
      </c>
      <c r="B410" t="str">
        <f>"1578726451571751"</f>
        <v>1578726451571751</v>
      </c>
      <c r="C410" t="s">
        <v>40</v>
      </c>
      <c r="D410">
        <v>5.2588359999999996</v>
      </c>
      <c r="E410">
        <v>0.50375249999999905</v>
      </c>
      <c r="F410" t="s">
        <v>41</v>
      </c>
      <c r="G410">
        <v>-279.83920000000001</v>
      </c>
      <c r="H410">
        <v>0.96556120000000001</v>
      </c>
      <c r="I410">
        <v>367.28960000000001</v>
      </c>
      <c r="J410">
        <v>-280.4966</v>
      </c>
      <c r="K410">
        <v>1.059299</v>
      </c>
      <c r="L410">
        <v>367.29410000000001</v>
      </c>
      <c r="M410">
        <v>0.99986050000000004</v>
      </c>
      <c r="N410">
        <v>0</v>
      </c>
      <c r="O410">
        <v>1.0272659999999999E-2</v>
      </c>
      <c r="P410">
        <v>0.99947600000000003</v>
      </c>
      <c r="Q410">
        <v>3.0400549999999998E-2</v>
      </c>
      <c r="R410">
        <v>1.1123050000000001E-2</v>
      </c>
      <c r="S410">
        <v>3.0108030000000001</v>
      </c>
      <c r="T410">
        <v>-0.30463849999999998</v>
      </c>
      <c r="U410">
        <v>-5.7373049999999998E-3</v>
      </c>
      <c r="V410">
        <v>-8.6017590000000001E-4</v>
      </c>
      <c r="W410">
        <v>4.3559420000000001E-2</v>
      </c>
      <c r="X410">
        <v>0.99905040000000001</v>
      </c>
      <c r="Y410">
        <v>1.206495E-2</v>
      </c>
      <c r="Z410">
        <v>-1.6456589999999901E-3</v>
      </c>
      <c r="AA410">
        <v>0.99992590000000003</v>
      </c>
      <c r="AB410">
        <v>52</v>
      </c>
      <c r="AC410">
        <v>0.65739999999999499</v>
      </c>
      <c r="AD410">
        <v>-9.3737800000000093E-2</v>
      </c>
      <c r="AE410">
        <v>-4.5000000000072699E-3</v>
      </c>
      <c r="AF410">
        <v>1.1029361643943501E-2</v>
      </c>
      <c r="AG410">
        <v>-9.3737800000000093E-2</v>
      </c>
      <c r="AH410">
        <v>0.64422167499810201</v>
      </c>
      <c r="AI410">
        <v>98.277555851391099</v>
      </c>
      <c r="AJ410">
        <v>89.019166591040502</v>
      </c>
      <c r="AK410">
        <v>0.65109906197480605</v>
      </c>
      <c r="AL410">
        <v>87.503438976764301</v>
      </c>
      <c r="AM410">
        <v>90.049331281515407</v>
      </c>
      <c r="AN410">
        <v>0.99999993235673501</v>
      </c>
    </row>
    <row r="411" spans="1:40" x14ac:dyDescent="0.3">
      <c r="A411" t="str">
        <f>"20200111150731594"</f>
        <v>20200111150731594</v>
      </c>
      <c r="B411" t="str">
        <f>"1578726451591271"</f>
        <v>1578726451591271</v>
      </c>
      <c r="C411" t="s">
        <v>40</v>
      </c>
      <c r="D411">
        <v>5.3195079999999999</v>
      </c>
      <c r="E411">
        <v>0.50387870000000001</v>
      </c>
      <c r="F411" t="s">
        <v>41</v>
      </c>
      <c r="G411">
        <v>-279.39100000000002</v>
      </c>
      <c r="H411">
        <v>0.94669040000000004</v>
      </c>
      <c r="I411">
        <v>367.29259999999999</v>
      </c>
      <c r="J411">
        <v>-280.20740000000001</v>
      </c>
      <c r="K411">
        <v>1.0597019999999999</v>
      </c>
      <c r="L411">
        <v>367.2971</v>
      </c>
      <c r="M411">
        <v>0.99984850000000003</v>
      </c>
      <c r="N411">
        <v>0</v>
      </c>
      <c r="O411">
        <v>1.025684E-2</v>
      </c>
      <c r="P411">
        <v>0.99946919999999995</v>
      </c>
      <c r="Q411">
        <v>3.0640460000000001E-2</v>
      </c>
      <c r="R411">
        <v>1.1062539999999999E-2</v>
      </c>
      <c r="S411">
        <v>3.0109859999999999</v>
      </c>
      <c r="T411">
        <v>-0.30686200000000002</v>
      </c>
      <c r="U411">
        <v>-3.0822750000000002E-3</v>
      </c>
      <c r="V411">
        <v>-8.1392580000000001E-4</v>
      </c>
      <c r="W411">
        <v>4.4692240000000001E-2</v>
      </c>
      <c r="X411">
        <v>0.99900049999999996</v>
      </c>
      <c r="Y411">
        <v>1.117048E-2</v>
      </c>
      <c r="Z411">
        <v>-1.6104509999999999E-3</v>
      </c>
      <c r="AA411">
        <v>0.9999363</v>
      </c>
      <c r="AB411">
        <v>52</v>
      </c>
      <c r="AC411">
        <v>0.81640000000004398</v>
      </c>
      <c r="AD411">
        <v>-0.1130116</v>
      </c>
      <c r="AE411">
        <v>-4.5000000000072699E-3</v>
      </c>
      <c r="AF411">
        <v>1.26322246889055E-2</v>
      </c>
      <c r="AG411">
        <v>-0.1130116</v>
      </c>
      <c r="AH411">
        <v>0.80096332098488199</v>
      </c>
      <c r="AI411">
        <v>98.030125936505996</v>
      </c>
      <c r="AJ411">
        <v>89.096446564241802</v>
      </c>
      <c r="AK411">
        <v>0.808995325325359</v>
      </c>
      <c r="AL411">
        <v>87.438470130253805</v>
      </c>
      <c r="AM411">
        <v>90.046681160678204</v>
      </c>
      <c r="AN411">
        <v>1.00000002889583</v>
      </c>
    </row>
    <row r="412" spans="1:40" x14ac:dyDescent="0.3">
      <c r="A412" t="str">
        <f>"20200111150731607"</f>
        <v>20200111150731607</v>
      </c>
      <c r="B412" t="str">
        <f>"1578726451601031"</f>
        <v>1578726451601031</v>
      </c>
      <c r="C412" t="s">
        <v>40</v>
      </c>
      <c r="D412">
        <v>4.6963460000000001</v>
      </c>
      <c r="E412">
        <v>0.50387870000000001</v>
      </c>
      <c r="F412" t="s">
        <v>41</v>
      </c>
      <c r="G412">
        <v>-279.3759</v>
      </c>
      <c r="H412">
        <v>0.97735369999999999</v>
      </c>
      <c r="I412">
        <v>367.29559999999998</v>
      </c>
      <c r="J412">
        <v>-279.92039999999997</v>
      </c>
      <c r="K412">
        <v>1.0601020000000001</v>
      </c>
      <c r="L412">
        <v>367.3</v>
      </c>
      <c r="M412">
        <v>0.99984320000000004</v>
      </c>
      <c r="N412">
        <v>0</v>
      </c>
      <c r="O412">
        <v>1.022313E-2</v>
      </c>
      <c r="P412">
        <v>0.99943680000000001</v>
      </c>
      <c r="Q412">
        <v>3.1829709999999997E-2</v>
      </c>
      <c r="R412">
        <v>1.062424E-2</v>
      </c>
      <c r="S412">
        <v>3.0108030000000001</v>
      </c>
      <c r="T412">
        <v>-0.29843629999999999</v>
      </c>
      <c r="U412">
        <v>-4.2419429999999998E-3</v>
      </c>
      <c r="V412">
        <v>-4.080369E-4</v>
      </c>
      <c r="W412">
        <v>4.6281320000000001E-2</v>
      </c>
      <c r="X412">
        <v>0.99892840000000005</v>
      </c>
      <c r="Y412">
        <v>1.1526430000000001E-2</v>
      </c>
      <c r="Z412">
        <v>-1.580815E-3</v>
      </c>
      <c r="AA412">
        <v>0.9999323</v>
      </c>
      <c r="AB412">
        <v>52</v>
      </c>
      <c r="AC412">
        <v>0.54449999999997001</v>
      </c>
      <c r="AD412">
        <v>-8.2748300000000094E-2</v>
      </c>
      <c r="AE412">
        <v>-4.4000000000323702E-3</v>
      </c>
      <c r="AF412">
        <v>9.7418701753018803E-3</v>
      </c>
      <c r="AG412">
        <v>-8.2748300000000094E-2</v>
      </c>
      <c r="AH412">
        <v>0.53213751465773995</v>
      </c>
      <c r="AI412">
        <v>98.837345579574006</v>
      </c>
      <c r="AJ412">
        <v>88.951200232215598</v>
      </c>
      <c r="AK412">
        <v>0.53862094249436598</v>
      </c>
      <c r="AL412">
        <v>87.347328232006603</v>
      </c>
      <c r="AM412">
        <v>90.023403870543007</v>
      </c>
      <c r="AN412">
        <v>1.0000000377008</v>
      </c>
    </row>
    <row r="413" spans="1:40" x14ac:dyDescent="0.3">
      <c r="A413" t="str">
        <f>"20200111150731621"</f>
        <v>20200111150731621</v>
      </c>
      <c r="B413" t="str">
        <f>"1578726451611769"</f>
        <v>1578726451611769</v>
      </c>
      <c r="C413" t="s">
        <v>40</v>
      </c>
      <c r="D413">
        <v>5.9742949999999997</v>
      </c>
      <c r="E413">
        <v>0.50387870000000001</v>
      </c>
      <c r="F413" t="s">
        <v>41</v>
      </c>
      <c r="G413">
        <v>-278.92570000000001</v>
      </c>
      <c r="H413">
        <v>0.96276589999999995</v>
      </c>
      <c r="I413">
        <v>367.29790000000003</v>
      </c>
      <c r="J413">
        <v>-279.596</v>
      </c>
      <c r="K413">
        <v>1.0605579999999999</v>
      </c>
      <c r="L413">
        <v>367.30329999999998</v>
      </c>
      <c r="M413">
        <v>0.99984419999999996</v>
      </c>
      <c r="N413">
        <v>0</v>
      </c>
      <c r="O413">
        <v>1.016908E-2</v>
      </c>
      <c r="P413">
        <v>0.99937010000000004</v>
      </c>
      <c r="Q413">
        <v>3.4217629999999999E-2</v>
      </c>
      <c r="R413">
        <v>9.3943780000000001E-3</v>
      </c>
      <c r="S413">
        <v>3.011139</v>
      </c>
      <c r="T413">
        <v>-0.294844299999999</v>
      </c>
      <c r="U413">
        <v>-5.6762699999999998E-3</v>
      </c>
      <c r="V413">
        <v>7.7029270000000003E-4</v>
      </c>
      <c r="W413">
        <v>4.8633759999999998E-2</v>
      </c>
      <c r="X413">
        <v>0.99881640000000005</v>
      </c>
      <c r="Y413">
        <v>1.1949329999999999E-2</v>
      </c>
      <c r="Z413">
        <v>-1.5770809999999999E-3</v>
      </c>
      <c r="AA413">
        <v>0.99992729999999996</v>
      </c>
      <c r="AB413">
        <v>51</v>
      </c>
      <c r="AC413">
        <v>0.67029999999999701</v>
      </c>
      <c r="AD413">
        <v>-9.7792099999999896E-2</v>
      </c>
      <c r="AE413">
        <v>-5.3999999999518799E-3</v>
      </c>
      <c r="AF413">
        <v>1.19621690468178E-2</v>
      </c>
      <c r="AG413">
        <v>-9.7792099999999896E-2</v>
      </c>
      <c r="AH413">
        <v>0.65624332873237301</v>
      </c>
      <c r="AI413">
        <v>98.474346719689294</v>
      </c>
      <c r="AJ413">
        <v>88.955713719420501</v>
      </c>
      <c r="AK413">
        <v>0.66359753979084302</v>
      </c>
      <c r="AL413">
        <v>87.212391229061296</v>
      </c>
      <c r="AM413">
        <v>89.955813188540006</v>
      </c>
      <c r="AN413">
        <v>1.00000001843577</v>
      </c>
    </row>
    <row r="414" spans="1:40" x14ac:dyDescent="0.3">
      <c r="A414" t="str">
        <f>"20200111150731633"</f>
        <v>20200111150731633</v>
      </c>
      <c r="B414" t="str">
        <f>"1578726451621527"</f>
        <v>1578726451621527</v>
      </c>
      <c r="C414" t="s">
        <v>40</v>
      </c>
      <c r="D414">
        <v>5.121435</v>
      </c>
      <c r="E414">
        <v>0.50387870000000001</v>
      </c>
      <c r="F414" t="s">
        <v>41</v>
      </c>
      <c r="G414">
        <v>-278.47039999999998</v>
      </c>
      <c r="H414">
        <v>0.95306809999999997</v>
      </c>
      <c r="I414">
        <v>367.29989999999998</v>
      </c>
      <c r="J414">
        <v>-279.31810000000002</v>
      </c>
      <c r="K414">
        <v>1.060908</v>
      </c>
      <c r="L414">
        <v>367.30610000000001</v>
      </c>
      <c r="M414">
        <v>0.99985679999999999</v>
      </c>
      <c r="N414">
        <v>0</v>
      </c>
      <c r="O414">
        <v>1.010486E-2</v>
      </c>
      <c r="P414">
        <v>0.99931530000000002</v>
      </c>
      <c r="Q414">
        <v>3.5906670000000002E-2</v>
      </c>
      <c r="R414">
        <v>8.9273489999999994E-3</v>
      </c>
      <c r="S414">
        <v>3.0118100000000001</v>
      </c>
      <c r="T414">
        <v>-0.28771000000000002</v>
      </c>
      <c r="U414">
        <v>-8.9111329999999999E-3</v>
      </c>
      <c r="V414">
        <v>1.1755699999999999E-3</v>
      </c>
      <c r="W414">
        <v>4.9474839999999999E-2</v>
      </c>
      <c r="X414">
        <v>0.99877470000000002</v>
      </c>
      <c r="Y414">
        <v>1.295931E-2</v>
      </c>
      <c r="Z414">
        <v>-1.5807519999999999E-3</v>
      </c>
      <c r="AA414">
        <v>0.99991479999999999</v>
      </c>
      <c r="AB414">
        <v>51</v>
      </c>
      <c r="AC414">
        <v>0.84770000000003098</v>
      </c>
      <c r="AD414">
        <v>-0.107839899999999</v>
      </c>
      <c r="AE414">
        <v>-6.2000000000352797E-3</v>
      </c>
      <c r="AF414">
        <v>1.45312081690873E-2</v>
      </c>
      <c r="AG414">
        <v>-0.107839899999999</v>
      </c>
      <c r="AH414">
        <v>0.83409611764023195</v>
      </c>
      <c r="AI414">
        <v>97.365772989967397</v>
      </c>
      <c r="AJ414">
        <v>89.001922361728305</v>
      </c>
      <c r="AK414">
        <v>0.84116403483825397</v>
      </c>
      <c r="AL414">
        <v>87.164142817510395</v>
      </c>
      <c r="AM414">
        <v>89.932562200045098</v>
      </c>
      <c r="AN414">
        <v>1.0000000215589699</v>
      </c>
    </row>
    <row r="415" spans="1:40" x14ac:dyDescent="0.3">
      <c r="A415" t="str">
        <f>"20200111150731656"</f>
        <v>20200111150731656</v>
      </c>
      <c r="B415" t="str">
        <f>"1578726451651783"</f>
        <v>1578726451651783</v>
      </c>
      <c r="C415" t="s">
        <v>40</v>
      </c>
      <c r="D415">
        <v>5.1706329999999996</v>
      </c>
      <c r="E415">
        <v>0.50387870000000001</v>
      </c>
      <c r="F415" t="s">
        <v>41</v>
      </c>
      <c r="G415">
        <v>-278.45710000000003</v>
      </c>
      <c r="H415">
        <v>0.98016139999999996</v>
      </c>
      <c r="I415">
        <v>367.303</v>
      </c>
      <c r="J415">
        <v>-278.786</v>
      </c>
      <c r="K415">
        <v>1.0617490000000001</v>
      </c>
      <c r="L415">
        <v>367.31139999999999</v>
      </c>
      <c r="M415">
        <v>0.99988440000000001</v>
      </c>
      <c r="N415">
        <v>0</v>
      </c>
      <c r="O415">
        <v>9.9692679999999999E-3</v>
      </c>
      <c r="P415">
        <v>0.99919259999999999</v>
      </c>
      <c r="Q415">
        <v>3.9354889999999997E-2</v>
      </c>
      <c r="R415">
        <v>8.1093669999999993E-3</v>
      </c>
      <c r="S415">
        <v>3.0122990000000001</v>
      </c>
      <c r="T415">
        <v>-0.28260970000000002</v>
      </c>
      <c r="U415">
        <v>-1.019287E-2</v>
      </c>
      <c r="V415">
        <v>1.863174E-3</v>
      </c>
      <c r="W415">
        <v>5.0837359999999998E-2</v>
      </c>
      <c r="X415">
        <v>0.99870519999999996</v>
      </c>
      <c r="Y415">
        <v>1.325146E-2</v>
      </c>
      <c r="Z415">
        <v>-1.55355799999999E-3</v>
      </c>
      <c r="AA415">
        <v>0.99991099999999999</v>
      </c>
      <c r="AB415">
        <v>52</v>
      </c>
      <c r="AC415">
        <v>0.32889999999997599</v>
      </c>
      <c r="AD415">
        <v>-8.1587600000000093E-2</v>
      </c>
      <c r="AE415">
        <v>-8.3999999999377906E-3</v>
      </c>
      <c r="AF415">
        <v>1.1002119307524901E-2</v>
      </c>
      <c r="AG415">
        <v>-8.1587600000000093E-2</v>
      </c>
      <c r="AH415">
        <v>0.30975182389461098</v>
      </c>
      <c r="AI415">
        <v>104.747462883335</v>
      </c>
      <c r="AJ415">
        <v>87.965758203178495</v>
      </c>
      <c r="AK415">
        <v>0.320505499966936</v>
      </c>
      <c r="AL415">
        <v>87.085977703757095</v>
      </c>
      <c r="AM415">
        <v>89.893109715608404</v>
      </c>
      <c r="AN415">
        <v>0.99999999254808103</v>
      </c>
    </row>
    <row r="416" spans="1:40" x14ac:dyDescent="0.3">
      <c r="A416" t="str">
        <f>"20200111150731668"</f>
        <v>20200111150731668</v>
      </c>
      <c r="B416" t="str">
        <f>"1578726451661543"</f>
        <v>1578726451661543</v>
      </c>
      <c r="C416" t="s">
        <v>40</v>
      </c>
      <c r="D416">
        <v>5.9984039999999998</v>
      </c>
      <c r="E416">
        <v>0.50387870000000001</v>
      </c>
      <c r="F416" t="s">
        <v>41</v>
      </c>
      <c r="G416">
        <v>-277.99029999999999</v>
      </c>
      <c r="H416">
        <v>0.98986209999999997</v>
      </c>
      <c r="I416">
        <v>367.30810000000002</v>
      </c>
      <c r="J416">
        <v>-278.52670000000001</v>
      </c>
      <c r="K416">
        <v>1.0623800000000001</v>
      </c>
      <c r="L416">
        <v>367.31389999999999</v>
      </c>
      <c r="M416">
        <v>0.99989410000000001</v>
      </c>
      <c r="N416">
        <v>0</v>
      </c>
      <c r="O416">
        <v>9.88437E-3</v>
      </c>
      <c r="P416">
        <v>0.99914579999999997</v>
      </c>
      <c r="Q416">
        <v>4.0592910000000003E-2</v>
      </c>
      <c r="R416">
        <v>7.7283129999999997E-3</v>
      </c>
      <c r="S416">
        <v>3.0132750000000001</v>
      </c>
      <c r="T416">
        <v>-0.2721886</v>
      </c>
      <c r="U416">
        <v>-1.275635E-2</v>
      </c>
      <c r="V416">
        <v>2.1619500000000002E-3</v>
      </c>
      <c r="W416">
        <v>5.1261189999999998E-2</v>
      </c>
      <c r="X416">
        <v>0.99868290000000004</v>
      </c>
      <c r="Y416">
        <v>1.4020660000000001E-2</v>
      </c>
      <c r="Z416">
        <v>-1.5230329999999901E-3</v>
      </c>
      <c r="AA416">
        <v>0.99990049999999997</v>
      </c>
      <c r="AB416">
        <v>52</v>
      </c>
      <c r="AC416">
        <v>0.53640000000001398</v>
      </c>
      <c r="AD416">
        <v>-7.2517899999999899E-2</v>
      </c>
      <c r="AE416">
        <v>-5.7999999999651603E-3</v>
      </c>
      <c r="AF416">
        <v>1.0902745322549199E-2</v>
      </c>
      <c r="AG416">
        <v>-7.2517899999999899E-2</v>
      </c>
      <c r="AH416">
        <v>0.52669107592388797</v>
      </c>
      <c r="AI416">
        <v>97.837867935619798</v>
      </c>
      <c r="AJ416">
        <v>88.814120617539999</v>
      </c>
      <c r="AK416">
        <v>0.53177176037642404</v>
      </c>
      <c r="AL416">
        <v>87.061662231110205</v>
      </c>
      <c r="AM416">
        <v>89.875966218087896</v>
      </c>
      <c r="AN416">
        <v>0.99999995919021301</v>
      </c>
    </row>
    <row r="417" spans="1:40" x14ac:dyDescent="0.3">
      <c r="A417" t="str">
        <f>"20200111150731680"</f>
        <v>20200111150731680</v>
      </c>
      <c r="B417" t="str">
        <f>"1578726451671304"</f>
        <v>1578726451671304</v>
      </c>
      <c r="C417" t="s">
        <v>40</v>
      </c>
      <c r="D417">
        <v>6.509474</v>
      </c>
      <c r="E417">
        <v>0.50387870000000001</v>
      </c>
      <c r="F417" t="s">
        <v>41</v>
      </c>
      <c r="G417">
        <v>-277.53870000000001</v>
      </c>
      <c r="H417">
        <v>0.97445800000000005</v>
      </c>
      <c r="I417">
        <v>367.30880000000002</v>
      </c>
      <c r="J417">
        <v>-278.2466</v>
      </c>
      <c r="K417">
        <v>1.0631539999999999</v>
      </c>
      <c r="L417">
        <v>367.31659999999999</v>
      </c>
      <c r="M417">
        <v>0.99990299999999999</v>
      </c>
      <c r="N417">
        <v>0</v>
      </c>
      <c r="O417">
        <v>9.7847100000000003E-3</v>
      </c>
      <c r="P417">
        <v>0.99910489999999996</v>
      </c>
      <c r="Q417">
        <v>4.1647919999999998E-2</v>
      </c>
      <c r="R417">
        <v>7.4376969999999896E-3</v>
      </c>
      <c r="S417">
        <v>3.0135800000000001</v>
      </c>
      <c r="T417">
        <v>-0.26845360000000001</v>
      </c>
      <c r="U417">
        <v>-1.434326E-2</v>
      </c>
      <c r="V417">
        <v>2.35564E-3</v>
      </c>
      <c r="W417">
        <v>5.1566910000000001E-2</v>
      </c>
      <c r="X417">
        <v>0.99866679999999997</v>
      </c>
      <c r="Y417">
        <v>1.444838E-2</v>
      </c>
      <c r="Z417">
        <v>-1.5122099999999999E-3</v>
      </c>
      <c r="AA417">
        <v>0.99989450000000002</v>
      </c>
      <c r="AB417">
        <v>52</v>
      </c>
      <c r="AC417">
        <v>0.70789999999999498</v>
      </c>
      <c r="AD417">
        <v>-8.8696000000000094E-2</v>
      </c>
      <c r="AE417">
        <v>-7.79999999997471E-3</v>
      </c>
      <c r="AF417">
        <v>1.4498975345615801E-2</v>
      </c>
      <c r="AG417">
        <v>-8.8696000000000094E-2</v>
      </c>
      <c r="AH417">
        <v>0.69685143639741598</v>
      </c>
      <c r="AI417">
        <v>97.252112424348198</v>
      </c>
      <c r="AJ417">
        <v>88.808052611895604</v>
      </c>
      <c r="AK417">
        <v>0.70262303201020604</v>
      </c>
      <c r="AL417">
        <v>87.044122795289297</v>
      </c>
      <c r="AM417">
        <v>89.864851840735994</v>
      </c>
      <c r="AN417">
        <v>1.0000000363344901</v>
      </c>
    </row>
    <row r="418" spans="1:40" x14ac:dyDescent="0.3">
      <c r="A418" t="str">
        <f>"20200111150731690"</f>
        <v>20200111150731690</v>
      </c>
      <c r="B418" t="str">
        <f>"1578726451682039"</f>
        <v>1578726451682039</v>
      </c>
      <c r="C418" t="s">
        <v>40</v>
      </c>
      <c r="D418">
        <v>4.7218159999999996</v>
      </c>
      <c r="E418">
        <v>0.58609440000000002</v>
      </c>
      <c r="F418" t="s">
        <v>41</v>
      </c>
      <c r="G418">
        <v>-277.08760000000001</v>
      </c>
      <c r="H418">
        <v>0.96123840000000005</v>
      </c>
      <c r="I418">
        <v>367.31040000000002</v>
      </c>
      <c r="J418">
        <v>-277.98110000000003</v>
      </c>
      <c r="K418">
        <v>1.064303</v>
      </c>
      <c r="L418">
        <v>367.31909999999999</v>
      </c>
      <c r="M418">
        <v>0.99990579999999996</v>
      </c>
      <c r="N418">
        <v>0</v>
      </c>
      <c r="O418">
        <v>9.6639329999999996E-3</v>
      </c>
      <c r="P418">
        <v>0.99908660000000005</v>
      </c>
      <c r="Q418">
        <v>4.2147579999999997E-2</v>
      </c>
      <c r="R418">
        <v>7.0423459999999997E-3</v>
      </c>
      <c r="S418">
        <v>3.013855</v>
      </c>
      <c r="T418">
        <v>-0.26526240000000001</v>
      </c>
      <c r="U418">
        <v>-1.5197749999999999E-2</v>
      </c>
      <c r="V418">
        <v>2.6328940000000002E-3</v>
      </c>
      <c r="W418">
        <v>5.1890260000000001E-2</v>
      </c>
      <c r="X418">
        <v>0.99864929999999996</v>
      </c>
      <c r="Y418">
        <v>1.4612750000000001E-2</v>
      </c>
      <c r="Z418">
        <v>-1.490775E-3</v>
      </c>
      <c r="AA418">
        <v>0.99989209999999995</v>
      </c>
      <c r="AB418">
        <v>52</v>
      </c>
      <c r="AC418">
        <v>0.89350000000001695</v>
      </c>
      <c r="AD418">
        <v>-0.10306459999999899</v>
      </c>
      <c r="AE418">
        <v>-8.6999999999761695E-3</v>
      </c>
      <c r="AF418">
        <v>1.71071313179651E-2</v>
      </c>
      <c r="AG418">
        <v>-0.10306459999999899</v>
      </c>
      <c r="AH418">
        <v>0.88164461605535605</v>
      </c>
      <c r="AI418">
        <v>96.666392722451803</v>
      </c>
      <c r="AJ418">
        <v>88.888391736877097</v>
      </c>
      <c r="AK418">
        <v>0.88781315305332498</v>
      </c>
      <c r="AL418">
        <v>87.025571194308796</v>
      </c>
      <c r="AM418">
        <v>89.848942602188799</v>
      </c>
      <c r="AN418">
        <v>0.99999997780208605</v>
      </c>
    </row>
    <row r="419" spans="1:40" x14ac:dyDescent="0.3">
      <c r="A419" t="str">
        <f>"20200111150731702"</f>
        <v>20200111150731702</v>
      </c>
      <c r="B419" t="str">
        <f>"1578726451691799"</f>
        <v>1578726451691799</v>
      </c>
      <c r="C419" t="s">
        <v>40</v>
      </c>
      <c r="D419">
        <v>4.6025660000000004</v>
      </c>
      <c r="E419">
        <v>0.58609440000000002</v>
      </c>
      <c r="F419" t="s">
        <v>47</v>
      </c>
      <c r="G419">
        <v>-163.471</v>
      </c>
      <c r="H419">
        <v>41.891770000000001</v>
      </c>
      <c r="I419">
        <v>342.18990000000002</v>
      </c>
      <c r="J419">
        <v>-277.73</v>
      </c>
      <c r="K419">
        <v>1.0654709999999901</v>
      </c>
      <c r="L419">
        <v>367.32150000000001</v>
      </c>
      <c r="M419">
        <v>0.99990789999999996</v>
      </c>
      <c r="N419">
        <v>0</v>
      </c>
      <c r="O419">
        <v>9.5429950000000003E-3</v>
      </c>
      <c r="P419">
        <v>0.99908319999999995</v>
      </c>
      <c r="Q419">
        <v>4.2307089999999999E-2</v>
      </c>
      <c r="R419">
        <v>6.575343E-3</v>
      </c>
      <c r="S419">
        <v>2.9627690000000002</v>
      </c>
      <c r="T419">
        <v>1.0563469999999999</v>
      </c>
      <c r="U419">
        <v>-0.650177</v>
      </c>
      <c r="V419">
        <v>2.9815319999999998E-3</v>
      </c>
      <c r="W419">
        <v>5.195454E-2</v>
      </c>
      <c r="X419">
        <v>0.998645</v>
      </c>
      <c r="Y419">
        <v>0.21068100000000001</v>
      </c>
      <c r="Z419">
        <v>3.9308610000000001E-2</v>
      </c>
      <c r="AA419">
        <v>0.97676419999999997</v>
      </c>
      <c r="AB419">
        <v>52</v>
      </c>
      <c r="AC419">
        <v>114.259</v>
      </c>
      <c r="AD419">
        <v>40.826298999999999</v>
      </c>
      <c r="AE419">
        <v>-25.131599999999899</v>
      </c>
      <c r="AF419">
        <v>23.3743229393998</v>
      </c>
      <c r="AG419">
        <v>40.826298999999999</v>
      </c>
      <c r="AH419">
        <v>101.636522662777</v>
      </c>
      <c r="AI419">
        <v>68.6211426609688</v>
      </c>
      <c r="AJ419">
        <v>77.0483476823769</v>
      </c>
      <c r="AK419">
        <v>111.996108869433</v>
      </c>
      <c r="AL419">
        <v>87.021883312776296</v>
      </c>
      <c r="AM419">
        <v>89.828939520536196</v>
      </c>
      <c r="AN419">
        <v>0.99999999989233901</v>
      </c>
    </row>
    <row r="420" spans="1:40" x14ac:dyDescent="0.3">
      <c r="A420" t="str">
        <f>"20200111150731714"</f>
        <v>20200111150731714</v>
      </c>
      <c r="B420" t="str">
        <f>"1578726451711625"</f>
        <v>1578726451711625</v>
      </c>
      <c r="C420" t="s">
        <v>40</v>
      </c>
      <c r="D420">
        <v>5.2423019999999996</v>
      </c>
      <c r="E420">
        <v>0.55120409999999997</v>
      </c>
      <c r="F420" t="s">
        <v>47</v>
      </c>
      <c r="G420">
        <v>-163.45339999999999</v>
      </c>
      <c r="H420">
        <v>41.83652</v>
      </c>
      <c r="I420">
        <v>342.18990000000002</v>
      </c>
      <c r="J420">
        <v>-277.44420000000002</v>
      </c>
      <c r="K420">
        <v>1.0670550000000001</v>
      </c>
      <c r="L420">
        <v>367.32409999999999</v>
      </c>
      <c r="M420">
        <v>0.99990820000000002</v>
      </c>
      <c r="N420">
        <v>0</v>
      </c>
      <c r="O420">
        <v>9.3848179999999996E-3</v>
      </c>
      <c r="P420">
        <v>0.99909700000000001</v>
      </c>
      <c r="Q420">
        <v>4.2073609999999997E-2</v>
      </c>
      <c r="R420">
        <v>5.9098309999999999E-3</v>
      </c>
      <c r="S420">
        <v>2.9622799999999998</v>
      </c>
      <c r="T420">
        <v>1.0568679999999999</v>
      </c>
      <c r="U420">
        <v>-0.65145869999999995</v>
      </c>
      <c r="V420">
        <v>3.4918240000000001E-3</v>
      </c>
      <c r="W420">
        <v>5.1827869999999998E-2</v>
      </c>
      <c r="X420">
        <v>0.99865000000000004</v>
      </c>
      <c r="Y420">
        <v>0.21094260000000001</v>
      </c>
      <c r="Z420">
        <v>3.9321849999999998E-2</v>
      </c>
      <c r="AA420">
        <v>0.9767072</v>
      </c>
      <c r="AB420">
        <v>51</v>
      </c>
      <c r="AC420">
        <v>113.99079999999999</v>
      </c>
      <c r="AD420">
        <v>40.769464999999997</v>
      </c>
      <c r="AE420">
        <v>-25.1341999999999</v>
      </c>
      <c r="AF420">
        <v>23.354038778308201</v>
      </c>
      <c r="AG420">
        <v>40.769464999999997</v>
      </c>
      <c r="AH420">
        <v>101.382540254367</v>
      </c>
      <c r="AI420">
        <v>68.601165054289595</v>
      </c>
      <c r="AJ420">
        <v>77.0278847144276</v>
      </c>
      <c r="AK420">
        <v>111.74068136571</v>
      </c>
      <c r="AL420">
        <v>87.029150973872007</v>
      </c>
      <c r="AM420">
        <v>89.799663583155706</v>
      </c>
      <c r="AN420">
        <v>1.0000000717217801</v>
      </c>
    </row>
    <row r="421" spans="1:40" x14ac:dyDescent="0.3">
      <c r="A421" t="str">
        <f>"20200111150731785"</f>
        <v>20200111150731785</v>
      </c>
      <c r="B421" t="str">
        <f>"1578726451781897"</f>
        <v>1578726451781897</v>
      </c>
      <c r="C421" t="s">
        <v>40</v>
      </c>
      <c r="D421">
        <v>5.168342</v>
      </c>
      <c r="E421">
        <v>0.55618159999999905</v>
      </c>
      <c r="F421" t="s">
        <v>41</v>
      </c>
      <c r="G421">
        <v>-275.23200000000003</v>
      </c>
      <c r="H421">
        <v>1.010494</v>
      </c>
      <c r="I421">
        <v>367.21429999999998</v>
      </c>
      <c r="J421">
        <v>-275.83510000000001</v>
      </c>
      <c r="K421">
        <v>1.0772120000000001</v>
      </c>
      <c r="L421">
        <v>367.33800000000002</v>
      </c>
      <c r="M421">
        <v>0.99992329999999996</v>
      </c>
      <c r="N421">
        <v>0</v>
      </c>
      <c r="O421">
        <v>8.2465070000000001E-3</v>
      </c>
      <c r="P421">
        <v>0.99902020000000002</v>
      </c>
      <c r="Q421">
        <v>4.4118909999999997E-2</v>
      </c>
      <c r="R421">
        <v>3.4937750000000002E-3</v>
      </c>
      <c r="S421">
        <v>3.0144959999999998</v>
      </c>
      <c r="T421">
        <v>-0.22905320000000001</v>
      </c>
      <c r="U421">
        <v>-0.42706300000000003</v>
      </c>
      <c r="V421">
        <v>4.7850810000000001E-3</v>
      </c>
      <c r="W421">
        <v>5.3346400000000002E-2</v>
      </c>
      <c r="X421">
        <v>0.99856460000000002</v>
      </c>
      <c r="Y421">
        <v>0.14798810000000001</v>
      </c>
      <c r="Z421">
        <v>-6.2092090000000003E-3</v>
      </c>
      <c r="AA421">
        <v>0.98896969999999995</v>
      </c>
      <c r="AB421">
        <v>51</v>
      </c>
      <c r="AC421">
        <v>0.60309999999998298</v>
      </c>
      <c r="AD421">
        <v>-6.6718E-2</v>
      </c>
      <c r="AE421">
        <v>-0.123700000000042</v>
      </c>
      <c r="AF421">
        <v>0.12717593745254899</v>
      </c>
      <c r="AG421">
        <v>-6.6718E-2</v>
      </c>
      <c r="AH421">
        <v>0.59507092337202805</v>
      </c>
      <c r="AI421">
        <v>96.257018334403995</v>
      </c>
      <c r="AJ421">
        <v>77.936477813391505</v>
      </c>
      <c r="AK421">
        <v>0.61215554758065605</v>
      </c>
      <c r="AL421">
        <v>86.942024832902206</v>
      </c>
      <c r="AM421">
        <v>89.725443053540303</v>
      </c>
      <c r="AN421">
        <v>0.99999999788314797</v>
      </c>
    </row>
    <row r="422" spans="1:40" x14ac:dyDescent="0.3">
      <c r="A422" t="str">
        <f>"20200111150731796"</f>
        <v>20200111150731796</v>
      </c>
      <c r="B422" t="str">
        <f>"1578726451791657"</f>
        <v>1578726451791657</v>
      </c>
      <c r="C422" t="s">
        <v>40</v>
      </c>
      <c r="D422">
        <v>5.1047539999999998</v>
      </c>
      <c r="E422">
        <v>0.55692180000000002</v>
      </c>
      <c r="F422" t="s">
        <v>41</v>
      </c>
      <c r="G422">
        <v>-274.77789999999999</v>
      </c>
      <c r="H422">
        <v>0.99748079999999995</v>
      </c>
      <c r="I422">
        <v>367.18189999999998</v>
      </c>
      <c r="J422">
        <v>-275.56119999999999</v>
      </c>
      <c r="K422">
        <v>1.0790059999999999</v>
      </c>
      <c r="L422">
        <v>367.34010000000001</v>
      </c>
      <c r="M422">
        <v>0.99992650000000005</v>
      </c>
      <c r="N422">
        <v>0</v>
      </c>
      <c r="O422">
        <v>8.0291129999999992E-3</v>
      </c>
      <c r="P422">
        <v>0.99899179999999999</v>
      </c>
      <c r="Q422">
        <v>4.4790480000000001E-2</v>
      </c>
      <c r="R422">
        <v>3.1371799999999998E-3</v>
      </c>
      <c r="S422">
        <v>3.0145569999999999</v>
      </c>
      <c r="T422">
        <v>-0.22767599999999999</v>
      </c>
      <c r="U422">
        <v>-0.44360349999999998</v>
      </c>
      <c r="V422">
        <v>4.9263400000000004E-3</v>
      </c>
      <c r="W422">
        <v>5.3878259999999997E-2</v>
      </c>
      <c r="X422">
        <v>0.99853530000000001</v>
      </c>
      <c r="Y422">
        <v>0.15307589999999999</v>
      </c>
      <c r="Z422">
        <v>-6.3439869999999997E-3</v>
      </c>
      <c r="AA422">
        <v>0.98819400000000002</v>
      </c>
      <c r="AB422">
        <v>51</v>
      </c>
      <c r="AC422">
        <v>0.783299999999997</v>
      </c>
      <c r="AD422">
        <v>-8.1525199999999798E-2</v>
      </c>
      <c r="AE422">
        <v>-0.15820000000002199</v>
      </c>
      <c r="AF422">
        <v>0.16279005679879399</v>
      </c>
      <c r="AG422">
        <v>-8.1525199999999798E-2</v>
      </c>
      <c r="AH422">
        <v>0.77394928291376897</v>
      </c>
      <c r="AI422">
        <v>95.885323207074407</v>
      </c>
      <c r="AJ422">
        <v>78.121737050437005</v>
      </c>
      <c r="AK422">
        <v>0.795075124343815</v>
      </c>
      <c r="AL422">
        <v>86.911507432784006</v>
      </c>
      <c r="AM422">
        <v>89.717329772502097</v>
      </c>
      <c r="AN422">
        <v>0.99999994053625396</v>
      </c>
    </row>
    <row r="423" spans="1:40" x14ac:dyDescent="0.3">
      <c r="A423" t="str">
        <f>"20200111150731812"</f>
        <v>20200111150731812</v>
      </c>
      <c r="B423" t="str">
        <f>"1578726451801418"</f>
        <v>1578726451801418</v>
      </c>
      <c r="C423" t="s">
        <v>40</v>
      </c>
      <c r="D423">
        <v>5.0873089999999896</v>
      </c>
      <c r="E423">
        <v>0.55792030000000004</v>
      </c>
      <c r="F423" t="s">
        <v>41</v>
      </c>
      <c r="G423">
        <v>-274.7577</v>
      </c>
      <c r="H423">
        <v>1.0177609999999999</v>
      </c>
      <c r="I423">
        <v>367.21949999999998</v>
      </c>
      <c r="J423">
        <v>-275.22140000000002</v>
      </c>
      <c r="K423">
        <v>1.0811949999999999</v>
      </c>
      <c r="L423">
        <v>367.34280000000001</v>
      </c>
      <c r="M423">
        <v>0.99992950000000003</v>
      </c>
      <c r="N423">
        <v>0</v>
      </c>
      <c r="O423">
        <v>7.7584400000000001E-3</v>
      </c>
      <c r="P423">
        <v>0.99894210000000006</v>
      </c>
      <c r="Q423">
        <v>4.5897229999999997E-2</v>
      </c>
      <c r="R423">
        <v>2.8376130000000001E-3</v>
      </c>
      <c r="S423">
        <v>3.0147710000000001</v>
      </c>
      <c r="T423">
        <v>-0.2302486</v>
      </c>
      <c r="U423">
        <v>-0.4507446</v>
      </c>
      <c r="V423">
        <v>4.9585699999999998E-3</v>
      </c>
      <c r="W423">
        <v>5.4872419999999998E-2</v>
      </c>
      <c r="X423">
        <v>0.99848099999999995</v>
      </c>
      <c r="Y423">
        <v>0.15507360000000001</v>
      </c>
      <c r="Z423">
        <v>-6.4691289999999997E-3</v>
      </c>
      <c r="AA423">
        <v>0.98788169999999997</v>
      </c>
      <c r="AB423">
        <v>51</v>
      </c>
      <c r="AC423">
        <v>0.46370000000001699</v>
      </c>
      <c r="AD423">
        <v>-6.3433999999999893E-2</v>
      </c>
      <c r="AE423">
        <v>-0.123300000000028</v>
      </c>
      <c r="AF423">
        <v>0.124714225722903</v>
      </c>
      <c r="AG423">
        <v>-6.3433999999999893E-2</v>
      </c>
      <c r="AH423">
        <v>0.454780581299287</v>
      </c>
      <c r="AI423">
        <v>97.661233044302605</v>
      </c>
      <c r="AJ423">
        <v>74.6648023965802</v>
      </c>
      <c r="AK423">
        <v>0.47581812447675897</v>
      </c>
      <c r="AL423">
        <v>86.854461853728495</v>
      </c>
      <c r="AM423">
        <v>89.7154649934307</v>
      </c>
      <c r="AN423">
        <v>0.99999993862704795</v>
      </c>
    </row>
    <row r="424" spans="1:40" x14ac:dyDescent="0.3">
      <c r="A424" t="str">
        <f>"20200111150731824"</f>
        <v>20200111150731824</v>
      </c>
      <c r="B424" t="str">
        <f>"1578726451821913"</f>
        <v>1578726451821913</v>
      </c>
      <c r="C424" t="s">
        <v>40</v>
      </c>
      <c r="D424">
        <v>5.0878899999999998</v>
      </c>
      <c r="E424">
        <v>0.56012779999999995</v>
      </c>
      <c r="F424" t="s">
        <v>41</v>
      </c>
      <c r="G424">
        <v>-274.31110000000001</v>
      </c>
      <c r="H424">
        <v>1.012289</v>
      </c>
      <c r="I424">
        <v>367.20389999999998</v>
      </c>
      <c r="J424">
        <v>-274.9384</v>
      </c>
      <c r="K424">
        <v>1.0829819999999999</v>
      </c>
      <c r="L424">
        <v>367.3449</v>
      </c>
      <c r="M424">
        <v>0.99993180000000004</v>
      </c>
      <c r="N424">
        <v>0</v>
      </c>
      <c r="O424">
        <v>7.5330179999999998E-3</v>
      </c>
      <c r="P424">
        <v>0.99894620000000001</v>
      </c>
      <c r="Q424">
        <v>4.5826720000000001E-2</v>
      </c>
      <c r="R424">
        <v>2.5312920000000001E-3</v>
      </c>
      <c r="S424">
        <v>3.0149840000000001</v>
      </c>
      <c r="T424">
        <v>-0.2284101</v>
      </c>
      <c r="U424">
        <v>-0.45947270000000001</v>
      </c>
      <c r="V424">
        <v>5.0413790000000003E-3</v>
      </c>
      <c r="W424">
        <v>5.474292E-2</v>
      </c>
      <c r="X424">
        <v>0.99848780000000004</v>
      </c>
      <c r="Y424">
        <v>0.15763729999999901</v>
      </c>
      <c r="Z424">
        <v>-6.4952589999999998E-3</v>
      </c>
      <c r="AA424">
        <v>0.98747569999999996</v>
      </c>
      <c r="AB424">
        <v>52</v>
      </c>
      <c r="AC424">
        <v>0.62729999999999098</v>
      </c>
      <c r="AD424">
        <v>-7.0692999999999895E-2</v>
      </c>
      <c r="AE424">
        <v>-0.141000000000019</v>
      </c>
      <c r="AF424">
        <v>0.14398103707951501</v>
      </c>
      <c r="AG424">
        <v>-7.0692999999999895E-2</v>
      </c>
      <c r="AH424">
        <v>0.61873994495297102</v>
      </c>
      <c r="AI424">
        <v>96.349750784340998</v>
      </c>
      <c r="AJ424">
        <v>76.900374078836194</v>
      </c>
      <c r="AK424">
        <v>0.63919258347379004</v>
      </c>
      <c r="AL424">
        <v>86.861893160333196</v>
      </c>
      <c r="AM424">
        <v>89.710715258455195</v>
      </c>
      <c r="AN424">
        <v>1.0000000447705899</v>
      </c>
    </row>
    <row r="425" spans="1:40" x14ac:dyDescent="0.3">
      <c r="A425" t="str">
        <f>"20200111150731836"</f>
        <v>20200111150731836</v>
      </c>
      <c r="B425" t="str">
        <f>"1578726451831675"</f>
        <v>1578726451831675</v>
      </c>
      <c r="C425" t="s">
        <v>40</v>
      </c>
      <c r="D425">
        <v>5.0493779999999999</v>
      </c>
      <c r="E425">
        <v>0.56143089999999995</v>
      </c>
      <c r="F425" t="s">
        <v>43</v>
      </c>
      <c r="G425">
        <v>-260.6961</v>
      </c>
      <c r="H425" s="1">
        <v>-4.7772510000000001E-6</v>
      </c>
      <c r="I425">
        <v>365.08600000000001</v>
      </c>
      <c r="J425">
        <v>-274.64400000000001</v>
      </c>
      <c r="K425">
        <v>1.084792</v>
      </c>
      <c r="L425">
        <v>367.34699999999998</v>
      </c>
      <c r="M425">
        <v>0.99993379999999998</v>
      </c>
      <c r="N425">
        <v>0</v>
      </c>
      <c r="O425">
        <v>7.2984440000000003E-3</v>
      </c>
      <c r="P425">
        <v>0.99891189999999996</v>
      </c>
      <c r="Q425">
        <v>4.6574339999999999E-2</v>
      </c>
      <c r="R425">
        <v>2.4703809999999998E-3</v>
      </c>
      <c r="S425">
        <v>3.0148619999999999</v>
      </c>
      <c r="T425">
        <v>-0.22925100000000001</v>
      </c>
      <c r="U425">
        <v>-0.47817989999999999</v>
      </c>
      <c r="V425">
        <v>4.8705670000000001E-3</v>
      </c>
      <c r="W425">
        <v>5.5471850000000003E-2</v>
      </c>
      <c r="X425">
        <v>0.99844840000000001</v>
      </c>
      <c r="Y425">
        <v>0.16337309999999999</v>
      </c>
      <c r="Z425">
        <v>-6.7149999999999996E-3</v>
      </c>
      <c r="AA425">
        <v>0.98654149999999996</v>
      </c>
      <c r="AB425">
        <v>52</v>
      </c>
      <c r="AC425">
        <v>13.947900000000001</v>
      </c>
      <c r="AD425">
        <v>-1.0847967772510001</v>
      </c>
      <c r="AE425">
        <v>-2.2609999999999602</v>
      </c>
      <c r="AF425">
        <v>2.3488972364871499</v>
      </c>
      <c r="AG425">
        <v>-1.0847967772510001</v>
      </c>
      <c r="AH425">
        <v>13.8493969130094</v>
      </c>
      <c r="AI425">
        <v>94.415917208306098</v>
      </c>
      <c r="AJ425">
        <v>80.374071806215795</v>
      </c>
      <c r="AK425">
        <v>14.0889991528705</v>
      </c>
      <c r="AL425">
        <v>86.820064934683899</v>
      </c>
      <c r="AM425">
        <v>89.720505617094901</v>
      </c>
      <c r="AN425">
        <v>1.0000000280139401</v>
      </c>
    </row>
    <row r="426" spans="1:40" x14ac:dyDescent="0.3">
      <c r="A426" t="str">
        <f>"20200111150731849"</f>
        <v>20200111150731849</v>
      </c>
      <c r="B426" t="str">
        <f>"1578726451841433"</f>
        <v>1578726451841433</v>
      </c>
      <c r="C426" t="s">
        <v>40</v>
      </c>
      <c r="D426">
        <v>5.03688</v>
      </c>
      <c r="E426">
        <v>0.562428699999999</v>
      </c>
      <c r="F426" t="s">
        <v>43</v>
      </c>
      <c r="G426">
        <v>-260.4966</v>
      </c>
      <c r="H426" s="1">
        <v>-4.8686950000000001E-6</v>
      </c>
      <c r="I426">
        <v>365.053</v>
      </c>
      <c r="J426">
        <v>-274.36860000000001</v>
      </c>
      <c r="K426">
        <v>1.0864119999999999</v>
      </c>
      <c r="L426">
        <v>367.34899999999999</v>
      </c>
      <c r="M426">
        <v>0.99993509999999997</v>
      </c>
      <c r="N426">
        <v>0</v>
      </c>
      <c r="O426">
        <v>7.0799299999999999E-3</v>
      </c>
      <c r="P426">
        <v>0.99889360000000005</v>
      </c>
      <c r="Q426">
        <v>4.6983669999999998E-2</v>
      </c>
      <c r="R426">
        <v>2.0979190000000002E-3</v>
      </c>
      <c r="S426">
        <v>3.0152589999999999</v>
      </c>
      <c r="T426">
        <v>-0.23120450000000001</v>
      </c>
      <c r="U426">
        <v>-0.48892210000000003</v>
      </c>
      <c r="V426">
        <v>5.0268190000000001E-3</v>
      </c>
      <c r="W426">
        <v>5.5907480000000002E-2</v>
      </c>
      <c r="X426">
        <v>0.99842330000000001</v>
      </c>
      <c r="Y426">
        <v>0.166547</v>
      </c>
      <c r="Z426">
        <v>-6.8733830000000003E-3</v>
      </c>
      <c r="AA426">
        <v>0.98600960000000004</v>
      </c>
      <c r="AB426">
        <v>52</v>
      </c>
      <c r="AC426">
        <v>13.872</v>
      </c>
      <c r="AD426">
        <v>-1.086416868695</v>
      </c>
      <c r="AE426">
        <v>-2.2959999999999301</v>
      </c>
      <c r="AF426">
        <v>2.3799507411959699</v>
      </c>
      <c r="AG426">
        <v>-1.086416868695</v>
      </c>
      <c r="AH426">
        <v>13.773169699776799</v>
      </c>
      <c r="AI426">
        <v>94.444512498594193</v>
      </c>
      <c r="AJ426">
        <v>80.196319149613203</v>
      </c>
      <c r="AK426">
        <v>14.0194390302164</v>
      </c>
      <c r="AL426">
        <v>86.795066292228398</v>
      </c>
      <c r="AM426">
        <v>89.711532093152101</v>
      </c>
      <c r="AN426">
        <v>1.0000000006060401</v>
      </c>
    </row>
    <row r="427" spans="1:40" x14ac:dyDescent="0.3">
      <c r="A427" t="str">
        <f>"20200111150731873"</f>
        <v>20200111150731873</v>
      </c>
      <c r="B427" t="str">
        <f>"1578726451871689"</f>
        <v>1578726451871689</v>
      </c>
      <c r="C427" t="s">
        <v>40</v>
      </c>
      <c r="D427">
        <v>4.7583669999999998</v>
      </c>
      <c r="E427">
        <v>0.562428699999999</v>
      </c>
      <c r="F427" t="s">
        <v>43</v>
      </c>
      <c r="G427">
        <v>-260.39019999999999</v>
      </c>
      <c r="H427" s="1">
        <v>-4.9165810000000002E-6</v>
      </c>
      <c r="I427">
        <v>365.0403</v>
      </c>
      <c r="J427">
        <v>-273.78460000000001</v>
      </c>
      <c r="K427">
        <v>1.0896619999999999</v>
      </c>
      <c r="L427">
        <v>367.35300000000001</v>
      </c>
      <c r="M427">
        <v>0.99993699999999996</v>
      </c>
      <c r="N427">
        <v>0</v>
      </c>
      <c r="O427">
        <v>6.6202040000000002E-3</v>
      </c>
      <c r="P427">
        <v>0.99884170000000005</v>
      </c>
      <c r="Q427">
        <v>4.8102930000000002E-2</v>
      </c>
      <c r="R427">
        <v>1.3428960000000001E-3</v>
      </c>
      <c r="S427">
        <v>3.0153500000000002</v>
      </c>
      <c r="T427">
        <v>-0.23435619999999999</v>
      </c>
      <c r="U427">
        <v>-0.49801640000000003</v>
      </c>
      <c r="V427">
        <v>5.3277519999999998E-3</v>
      </c>
      <c r="W427">
        <v>5.7162419999999999E-2</v>
      </c>
      <c r="X427">
        <v>0.99835070000000004</v>
      </c>
      <c r="Y427">
        <v>0.16896559999999999</v>
      </c>
      <c r="Z427">
        <v>-7.022693E-3</v>
      </c>
      <c r="AA427">
        <v>0.98559699999999995</v>
      </c>
      <c r="AB427">
        <v>52</v>
      </c>
      <c r="AC427">
        <v>13.394399999999999</v>
      </c>
      <c r="AD427">
        <v>-1.089666916581</v>
      </c>
      <c r="AE427">
        <v>-2.3127</v>
      </c>
      <c r="AF427">
        <v>2.3859927366538098</v>
      </c>
      <c r="AG427">
        <v>-1.089666916581</v>
      </c>
      <c r="AH427">
        <v>13.293363801552999</v>
      </c>
      <c r="AI427">
        <v>94.612714395841294</v>
      </c>
      <c r="AJ427">
        <v>79.824470942989905</v>
      </c>
      <c r="AK427">
        <v>13.549681047496801</v>
      </c>
      <c r="AL427">
        <v>86.723048413673695</v>
      </c>
      <c r="AM427">
        <v>89.694240905374699</v>
      </c>
      <c r="AN427">
        <v>1.00000002369605</v>
      </c>
    </row>
    <row r="428" spans="1:40" x14ac:dyDescent="0.3">
      <c r="A428" t="str">
        <f>"20200111150731886"</f>
        <v>20200111150731886</v>
      </c>
      <c r="B428" t="str">
        <f>"1578726451881450"</f>
        <v>1578726451881450</v>
      </c>
      <c r="C428" t="s">
        <v>40</v>
      </c>
      <c r="D428">
        <v>4.9958770000000001</v>
      </c>
      <c r="E428">
        <v>0.56314929999999996</v>
      </c>
      <c r="F428" t="s">
        <v>43</v>
      </c>
      <c r="G428">
        <v>-259.59050000000002</v>
      </c>
      <c r="H428" s="1">
        <v>-1.3535710000000001E-6</v>
      </c>
      <c r="I428">
        <v>365.00060000000002</v>
      </c>
      <c r="J428">
        <v>-273.50850000000003</v>
      </c>
      <c r="K428">
        <v>1.091078</v>
      </c>
      <c r="L428">
        <v>367.35489999999999</v>
      </c>
      <c r="M428">
        <v>0.99993750000000003</v>
      </c>
      <c r="N428">
        <v>0</v>
      </c>
      <c r="O428">
        <v>6.4052859999999996E-3</v>
      </c>
      <c r="P428">
        <v>0.99881679999999995</v>
      </c>
      <c r="Q428">
        <v>4.8624569999999999E-2</v>
      </c>
      <c r="R428">
        <v>9.3404610000000004E-4</v>
      </c>
      <c r="S428">
        <v>3.0152890000000001</v>
      </c>
      <c r="T428">
        <v>-0.2314775</v>
      </c>
      <c r="U428">
        <v>-0.49972529999999998</v>
      </c>
      <c r="V428">
        <v>5.5248220000000004E-3</v>
      </c>
      <c r="W428">
        <v>5.7783660000000001E-2</v>
      </c>
      <c r="X428">
        <v>0.99831380000000003</v>
      </c>
      <c r="Y428">
        <v>0.16931289999999999</v>
      </c>
      <c r="Z428">
        <v>-6.9333550000000004E-3</v>
      </c>
      <c r="AA428">
        <v>0.98553789999999997</v>
      </c>
      <c r="AB428">
        <v>52</v>
      </c>
      <c r="AC428">
        <v>13.917999999999999</v>
      </c>
      <c r="AD428">
        <v>-1.0910793535709999</v>
      </c>
      <c r="AE428">
        <v>-2.3542999999999599</v>
      </c>
      <c r="AF428">
        <v>2.4288926187949298</v>
      </c>
      <c r="AG428">
        <v>-1.0910793535709999</v>
      </c>
      <c r="AH428">
        <v>13.820064886710901</v>
      </c>
      <c r="AI428">
        <v>94.446210878399697</v>
      </c>
      <c r="AJ428">
        <v>80.031999672016497</v>
      </c>
      <c r="AK428">
        <v>14.074237705194699</v>
      </c>
      <c r="AL428">
        <v>86.687394836892494</v>
      </c>
      <c r="AM428">
        <v>89.682919587421395</v>
      </c>
      <c r="AN428">
        <v>0.99999995914578199</v>
      </c>
    </row>
    <row r="429" spans="1:40" x14ac:dyDescent="0.3">
      <c r="A429" t="str">
        <f>"20200111150731900"</f>
        <v>20200111150731900</v>
      </c>
      <c r="B429" t="str">
        <f>"1578726451891210"</f>
        <v>1578726451891210</v>
      </c>
      <c r="C429" t="s">
        <v>40</v>
      </c>
      <c r="D429">
        <v>4.9983409999999999</v>
      </c>
      <c r="E429">
        <v>0.56403289999999995</v>
      </c>
      <c r="F429" t="s">
        <v>43</v>
      </c>
      <c r="G429">
        <v>-259.39370000000002</v>
      </c>
      <c r="H429" s="1">
        <v>-1.42535E-6</v>
      </c>
      <c r="I429">
        <v>364.98250000000002</v>
      </c>
      <c r="J429">
        <v>-273.16460000000001</v>
      </c>
      <c r="K429">
        <v>1.0927579999999999</v>
      </c>
      <c r="L429">
        <v>367.35700000000003</v>
      </c>
      <c r="M429">
        <v>0.99993779999999999</v>
      </c>
      <c r="N429">
        <v>0</v>
      </c>
      <c r="O429">
        <v>6.1397719999999999E-3</v>
      </c>
      <c r="P429">
        <v>0.99875899999999995</v>
      </c>
      <c r="Q429">
        <v>4.9804719999999997E-2</v>
      </c>
      <c r="R429">
        <v>4.4555099999999998E-4</v>
      </c>
      <c r="S429">
        <v>3.0153810000000001</v>
      </c>
      <c r="T429">
        <v>-0.23308799999999999</v>
      </c>
      <c r="U429">
        <v>-0.50680539999999996</v>
      </c>
      <c r="V429">
        <v>5.7517089999999998E-3</v>
      </c>
      <c r="W429">
        <v>5.9106989999999998E-2</v>
      </c>
      <c r="X429">
        <v>0.99823510000000004</v>
      </c>
      <c r="Y429">
        <v>0.17128570000000001</v>
      </c>
      <c r="Z429">
        <v>-7.0351609999999998E-3</v>
      </c>
      <c r="AA429">
        <v>0.98519630000000002</v>
      </c>
      <c r="AB429">
        <v>52</v>
      </c>
      <c r="AC429">
        <v>13.7708999999999</v>
      </c>
      <c r="AD429">
        <v>-1.0927594253499999</v>
      </c>
      <c r="AE429">
        <v>-2.3744999999999501</v>
      </c>
      <c r="AF429">
        <v>2.44406350825939</v>
      </c>
      <c r="AG429">
        <v>-1.0927594253499999</v>
      </c>
      <c r="AH429">
        <v>13.6724530877049</v>
      </c>
      <c r="AI429">
        <v>94.498593650404402</v>
      </c>
      <c r="AJ429">
        <v>79.864956514477598</v>
      </c>
      <c r="AK429">
        <v>13.9321047594966</v>
      </c>
      <c r="AL429">
        <v>86.611443969436706</v>
      </c>
      <c r="AM429">
        <v>89.669872353878802</v>
      </c>
      <c r="AN429">
        <v>1.0000000166476399</v>
      </c>
    </row>
    <row r="430" spans="1:40" x14ac:dyDescent="0.3">
      <c r="A430" t="str">
        <f>"20200111150731912"</f>
        <v>20200111150731912</v>
      </c>
      <c r="B430" t="str">
        <f>"1578726451901538"</f>
        <v>1578726451901538</v>
      </c>
      <c r="C430" t="s">
        <v>40</v>
      </c>
      <c r="D430">
        <v>5.1677169999999997</v>
      </c>
      <c r="E430">
        <v>0.56466899999999998</v>
      </c>
      <c r="F430" t="s">
        <v>43</v>
      </c>
      <c r="G430">
        <v>-259.02199999999999</v>
      </c>
      <c r="H430" s="1">
        <v>-1.5629840000000001E-6</v>
      </c>
      <c r="I430">
        <v>364.94060000000002</v>
      </c>
      <c r="J430">
        <v>-272.8922</v>
      </c>
      <c r="K430">
        <v>1.0939700000000001</v>
      </c>
      <c r="L430">
        <v>367.35860000000002</v>
      </c>
      <c r="M430">
        <v>0.99993779999999999</v>
      </c>
      <c r="N430">
        <v>0</v>
      </c>
      <c r="O430">
        <v>5.9316409999999996E-3</v>
      </c>
      <c r="P430">
        <v>0.99874099999999999</v>
      </c>
      <c r="Q430">
        <v>5.0164689999999998E-2</v>
      </c>
      <c r="R430">
        <v>1.823948E-4</v>
      </c>
      <c r="S430">
        <v>3.015625</v>
      </c>
      <c r="T430">
        <v>-0.2330064</v>
      </c>
      <c r="U430">
        <v>-0.51522829999999997</v>
      </c>
      <c r="V430">
        <v>5.8096119999999996E-3</v>
      </c>
      <c r="W430">
        <v>5.9599640000000002E-2</v>
      </c>
      <c r="X430">
        <v>0.99820549999999997</v>
      </c>
      <c r="Y430">
        <v>0.17373629999999901</v>
      </c>
      <c r="Z430">
        <v>-7.1084310000000001E-3</v>
      </c>
      <c r="AA430">
        <v>0.98476649999999999</v>
      </c>
      <c r="AB430">
        <v>52</v>
      </c>
      <c r="AC430">
        <v>13.870200000000001</v>
      </c>
      <c r="AD430">
        <v>-1.0939715629839999</v>
      </c>
      <c r="AE430">
        <v>-2.4180000000000001</v>
      </c>
      <c r="AF430">
        <v>2.4852300355636698</v>
      </c>
      <c r="AG430">
        <v>-1.0939715629839999</v>
      </c>
      <c r="AH430">
        <v>13.7724637920817</v>
      </c>
      <c r="AI430">
        <v>94.469683087769496</v>
      </c>
      <c r="AJ430">
        <v>79.771098837372307</v>
      </c>
      <c r="AK430">
        <v>14.037588860430599</v>
      </c>
      <c r="AL430">
        <v>86.583167448367107</v>
      </c>
      <c r="AM430">
        <v>89.666539114554794</v>
      </c>
      <c r="AN430">
        <v>1.0000000444549799</v>
      </c>
    </row>
    <row r="431" spans="1:40" x14ac:dyDescent="0.3">
      <c r="A431" t="str">
        <f>"20200111150731924"</f>
        <v>20200111150731924</v>
      </c>
      <c r="B431" t="str">
        <f>"1578726451921058"</f>
        <v>1578726451921058</v>
      </c>
      <c r="C431" t="s">
        <v>40</v>
      </c>
      <c r="D431">
        <v>4.7314679999999996</v>
      </c>
      <c r="E431">
        <v>0.56496939999999995</v>
      </c>
      <c r="F431" t="s">
        <v>43</v>
      </c>
      <c r="G431">
        <v>-259.24619999999999</v>
      </c>
      <c r="H431" s="1">
        <v>-1.470838E-6</v>
      </c>
      <c r="I431">
        <v>365.00009999999997</v>
      </c>
      <c r="J431">
        <v>-272.61500000000001</v>
      </c>
      <c r="K431">
        <v>1.0951470000000001</v>
      </c>
      <c r="L431">
        <v>367.36020000000002</v>
      </c>
      <c r="M431">
        <v>0.99993759999999998</v>
      </c>
      <c r="N431">
        <v>0</v>
      </c>
      <c r="O431">
        <v>5.720719E-3</v>
      </c>
      <c r="P431">
        <v>0.9987355</v>
      </c>
      <c r="Q431">
        <v>5.0275849999999997E-2</v>
      </c>
      <c r="R431" s="1">
        <v>1.27809199999999E-5</v>
      </c>
      <c r="S431">
        <v>3.016022</v>
      </c>
      <c r="T431">
        <v>-0.241788</v>
      </c>
      <c r="U431">
        <v>-0.52127079999999903</v>
      </c>
      <c r="V431">
        <v>5.7707459999999898E-3</v>
      </c>
      <c r="W431">
        <v>5.9851439999999999E-2</v>
      </c>
      <c r="X431">
        <v>0.99819060000000004</v>
      </c>
      <c r="Y431">
        <v>0.17537920000000001</v>
      </c>
      <c r="Z431">
        <v>-7.4218319999999997E-3</v>
      </c>
      <c r="AA431">
        <v>0.98447300000000004</v>
      </c>
      <c r="AB431">
        <v>52</v>
      </c>
      <c r="AC431">
        <v>13.3688</v>
      </c>
      <c r="AD431">
        <v>-1.0951484708379999</v>
      </c>
      <c r="AE431">
        <v>-2.3601000000000401</v>
      </c>
      <c r="AF431">
        <v>2.42079008210828</v>
      </c>
      <c r="AG431">
        <v>-1.0951484708379999</v>
      </c>
      <c r="AH431">
        <v>13.268729187827301</v>
      </c>
      <c r="AI431">
        <v>94.641992600186697</v>
      </c>
      <c r="AJ431">
        <v>79.660489596915795</v>
      </c>
      <c r="AK431">
        <v>13.5321376380346</v>
      </c>
      <c r="AL431">
        <v>86.5687143672194</v>
      </c>
      <c r="AM431">
        <v>89.6687649563778</v>
      </c>
      <c r="AN431">
        <v>0.99999998515391497</v>
      </c>
    </row>
    <row r="432" spans="1:40" x14ac:dyDescent="0.3">
      <c r="A432" t="str">
        <f>"20200111150731948"</f>
        <v>20200111150731948</v>
      </c>
      <c r="B432" t="str">
        <f>"1578726451941553"</f>
        <v>1578726451941553</v>
      </c>
      <c r="C432" t="s">
        <v>40</v>
      </c>
      <c r="D432">
        <v>5.2205250000000003</v>
      </c>
      <c r="E432">
        <v>0.56496939999999995</v>
      </c>
      <c r="F432" t="s">
        <v>43</v>
      </c>
      <c r="G432">
        <v>-259.55259999999998</v>
      </c>
      <c r="H432" s="1">
        <v>-1.3431370000000001E-6</v>
      </c>
      <c r="I432">
        <v>365.08819999999997</v>
      </c>
      <c r="J432">
        <v>-272.05869999999999</v>
      </c>
      <c r="K432">
        <v>1.0972729999999999</v>
      </c>
      <c r="L432">
        <v>367.36309999999997</v>
      </c>
      <c r="M432">
        <v>0.99993710000000002</v>
      </c>
      <c r="N432">
        <v>0</v>
      </c>
      <c r="O432">
        <v>5.300791E-3</v>
      </c>
      <c r="P432">
        <v>0.99870510000000001</v>
      </c>
      <c r="Q432">
        <v>5.087593E-2</v>
      </c>
      <c r="R432">
        <v>-3.254423E-4</v>
      </c>
      <c r="S432">
        <v>3.0165410000000001</v>
      </c>
      <c r="T432">
        <v>-0.2529053</v>
      </c>
      <c r="U432">
        <v>-0.52465819999999996</v>
      </c>
      <c r="V432">
        <v>5.6942069999999997E-3</v>
      </c>
      <c r="W432">
        <v>6.0751029999999998E-2</v>
      </c>
      <c r="X432">
        <v>0.99813669999999999</v>
      </c>
      <c r="Y432">
        <v>0.17595749999999999</v>
      </c>
      <c r="Z432">
        <v>-7.74902199999999E-3</v>
      </c>
      <c r="AA432">
        <v>0.98436729999999995</v>
      </c>
      <c r="AB432">
        <v>52</v>
      </c>
      <c r="AC432">
        <v>12.5061</v>
      </c>
      <c r="AD432">
        <v>-1.097274343137</v>
      </c>
      <c r="AE432">
        <v>-2.2749000000000001</v>
      </c>
      <c r="AF432">
        <v>2.3238471386497399</v>
      </c>
      <c r="AG432">
        <v>-1.097274343137</v>
      </c>
      <c r="AH432">
        <v>12.401454357139601</v>
      </c>
      <c r="AI432">
        <v>94.970270558423906</v>
      </c>
      <c r="AJ432">
        <v>79.386707352974497</v>
      </c>
      <c r="AK432">
        <v>12.6649258458206</v>
      </c>
      <c r="AL432">
        <v>86.517077710290806</v>
      </c>
      <c r="AM432">
        <v>89.6731404731308</v>
      </c>
      <c r="AN432">
        <v>0.99999999176315402</v>
      </c>
    </row>
    <row r="433" spans="1:40" x14ac:dyDescent="0.3">
      <c r="A433" t="str">
        <f>"20200111150731960"</f>
        <v>20200111150731960</v>
      </c>
      <c r="B433" t="str">
        <f>"1578726451951313"</f>
        <v>1578726451951313</v>
      </c>
      <c r="C433" t="s">
        <v>40</v>
      </c>
      <c r="D433">
        <v>5.0094089999999998</v>
      </c>
      <c r="E433">
        <v>0.56496939999999995</v>
      </c>
      <c r="F433" t="s">
        <v>43</v>
      </c>
      <c r="G433">
        <v>-258.87860000000001</v>
      </c>
      <c r="H433" s="1">
        <v>-1.5782289999999999E-6</v>
      </c>
      <c r="I433">
        <v>365.06670000000003</v>
      </c>
      <c r="J433">
        <v>-271.78879999999998</v>
      </c>
      <c r="K433">
        <v>1.098222</v>
      </c>
      <c r="L433">
        <v>367.3646</v>
      </c>
      <c r="M433">
        <v>0.99993659999999995</v>
      </c>
      <c r="N433">
        <v>0</v>
      </c>
      <c r="O433">
        <v>5.0978660000000004E-3</v>
      </c>
      <c r="P433">
        <v>0.99868800000000002</v>
      </c>
      <c r="Q433">
        <v>5.1207120000000002E-2</v>
      </c>
      <c r="R433">
        <v>-5.1230049999999999E-4</v>
      </c>
      <c r="S433">
        <v>3.0165410000000001</v>
      </c>
      <c r="T433">
        <v>-0.25113279999999999</v>
      </c>
      <c r="U433">
        <v>-0.52557369999999903</v>
      </c>
      <c r="V433">
        <v>5.6805809999999997E-3</v>
      </c>
      <c r="W433">
        <v>6.1231260000000003E-2</v>
      </c>
      <c r="X433">
        <v>0.99810739999999998</v>
      </c>
      <c r="Y433">
        <v>0.17605670000000001</v>
      </c>
      <c r="Z433">
        <v>-7.6820480000000003E-3</v>
      </c>
      <c r="AA433">
        <v>0.98434999999999995</v>
      </c>
      <c r="AB433">
        <v>52</v>
      </c>
      <c r="AC433">
        <v>12.9101999999999</v>
      </c>
      <c r="AD433">
        <v>-1.098223578229</v>
      </c>
      <c r="AE433">
        <v>-2.2978999999999701</v>
      </c>
      <c r="AF433">
        <v>2.3472243238788599</v>
      </c>
      <c r="AG433">
        <v>-1.098223578229</v>
      </c>
      <c r="AH433">
        <v>12.8084776612311</v>
      </c>
      <c r="AI433">
        <v>94.820773904845097</v>
      </c>
      <c r="AJ433">
        <v>79.615455253514199</v>
      </c>
      <c r="AK433">
        <v>13.068001264640399</v>
      </c>
      <c r="AL433">
        <v>86.489511122375106</v>
      </c>
      <c r="AM433">
        <v>89.673913045468197</v>
      </c>
      <c r="AN433">
        <v>0.99999995906822103</v>
      </c>
    </row>
    <row r="434" spans="1:40" x14ac:dyDescent="0.3">
      <c r="A434" t="str">
        <f>"20200111150731971"</f>
        <v>20200111150731971</v>
      </c>
      <c r="B434" t="str">
        <f>"1578726451961073"</f>
        <v>1578726451961073</v>
      </c>
      <c r="C434" t="s">
        <v>40</v>
      </c>
      <c r="D434">
        <v>5.0198859999999996</v>
      </c>
      <c r="E434">
        <v>0.50713249999999999</v>
      </c>
      <c r="F434" t="s">
        <v>43</v>
      </c>
      <c r="G434">
        <v>-258.54809999999998</v>
      </c>
      <c r="H434" s="1">
        <v>-1.6938119999999999E-6</v>
      </c>
      <c r="I434">
        <v>365.05500000000001</v>
      </c>
      <c r="J434">
        <v>-271.51710000000003</v>
      </c>
      <c r="K434">
        <v>1.0990819999999999</v>
      </c>
      <c r="L434">
        <v>367.36579999999998</v>
      </c>
      <c r="M434">
        <v>0.99993609999999999</v>
      </c>
      <c r="N434">
        <v>0</v>
      </c>
      <c r="O434">
        <v>4.8944590000000003E-3</v>
      </c>
      <c r="P434">
        <v>0.99868049999999997</v>
      </c>
      <c r="Q434">
        <v>5.135431E-2</v>
      </c>
      <c r="R434">
        <v>-7.4794749999999995E-4</v>
      </c>
      <c r="S434">
        <v>3.0164789999999999</v>
      </c>
      <c r="T434">
        <v>-0.25019429999999998</v>
      </c>
      <c r="U434">
        <v>-0.5261536</v>
      </c>
      <c r="V434">
        <v>5.7147930000000001E-3</v>
      </c>
      <c r="W434">
        <v>6.1529199999999902E-2</v>
      </c>
      <c r="X434">
        <v>0.99808889999999995</v>
      </c>
      <c r="Y434">
        <v>0.1760487</v>
      </c>
      <c r="Z434">
        <v>-7.63641699999999E-3</v>
      </c>
      <c r="AA434">
        <v>0.9843518</v>
      </c>
      <c r="AB434">
        <v>52</v>
      </c>
      <c r="AC434">
        <v>12.968999999999999</v>
      </c>
      <c r="AD434">
        <v>-1.0990836938120001</v>
      </c>
      <c r="AE434">
        <v>-2.3107999999999702</v>
      </c>
      <c r="AF434">
        <v>2.3578388079650399</v>
      </c>
      <c r="AG434">
        <v>-1.0990836938120001</v>
      </c>
      <c r="AH434">
        <v>12.867959367943101</v>
      </c>
      <c r="AI434">
        <v>94.802353795673696</v>
      </c>
      <c r="AJ434">
        <v>79.616686752748095</v>
      </c>
      <c r="AK434">
        <v>13.1282811938724</v>
      </c>
      <c r="AL434">
        <v>86.472408231346506</v>
      </c>
      <c r="AM434">
        <v>89.6719431089127</v>
      </c>
      <c r="AN434">
        <v>0.99999997680744102</v>
      </c>
    </row>
    <row r="435" spans="1:40" x14ac:dyDescent="0.3">
      <c r="A435" t="str">
        <f>"20200111150731984"</f>
        <v>20200111150731984</v>
      </c>
      <c r="B435" t="str">
        <f>"1578726451981569"</f>
        <v>1578726451981569</v>
      </c>
      <c r="C435" t="s">
        <v>40</v>
      </c>
      <c r="D435">
        <v>4.180771</v>
      </c>
      <c r="E435">
        <v>0.50488420000000001</v>
      </c>
      <c r="F435" t="s">
        <v>41</v>
      </c>
      <c r="G435">
        <v>-270.62029999999999</v>
      </c>
      <c r="H435">
        <v>1.027728</v>
      </c>
      <c r="I435">
        <v>367.34640000000002</v>
      </c>
      <c r="J435">
        <v>-271.23680000000002</v>
      </c>
      <c r="K435">
        <v>1.0999209999999999</v>
      </c>
      <c r="L435">
        <v>367.36709999999999</v>
      </c>
      <c r="M435">
        <v>0.99993549999999998</v>
      </c>
      <c r="N435">
        <v>0</v>
      </c>
      <c r="O435">
        <v>4.6845259999999996E-3</v>
      </c>
      <c r="P435">
        <v>0.99866029999999995</v>
      </c>
      <c r="Q435">
        <v>5.1741919999999997E-2</v>
      </c>
      <c r="R435">
        <v>-9.2127870000000001E-4</v>
      </c>
      <c r="S435">
        <v>3.016235</v>
      </c>
      <c r="T435">
        <v>-0.240123</v>
      </c>
      <c r="U435">
        <v>-6.5032960000000001E-2</v>
      </c>
      <c r="V435">
        <v>5.6803280000000001E-3</v>
      </c>
      <c r="W435">
        <v>6.2071750000000002E-2</v>
      </c>
      <c r="X435">
        <v>0.99805549999999998</v>
      </c>
      <c r="Y435">
        <v>2.6141919999999999E-2</v>
      </c>
      <c r="Z435">
        <v>-1.4111449999999999E-3</v>
      </c>
      <c r="AA435">
        <v>0.99965729999999997</v>
      </c>
      <c r="AB435">
        <v>52</v>
      </c>
      <c r="AC435">
        <v>0.61650000000003002</v>
      </c>
      <c r="AD435">
        <v>-7.2192999999999896E-2</v>
      </c>
      <c r="AE435">
        <v>-2.0699999999976602E-2</v>
      </c>
      <c r="AF435">
        <v>2.3269212550818E-2</v>
      </c>
      <c r="AG435">
        <v>-7.2192999999999896E-2</v>
      </c>
      <c r="AH435">
        <v>0.60806738415154105</v>
      </c>
      <c r="AI435">
        <v>96.765859857156101</v>
      </c>
      <c r="AJ435">
        <v>87.808503655214906</v>
      </c>
      <c r="AK435">
        <v>0.61277991903344298</v>
      </c>
      <c r="AL435">
        <v>86.4412628638553</v>
      </c>
      <c r="AM435">
        <v>89.673910612552604</v>
      </c>
      <c r="AN435">
        <v>0.99999997467724899</v>
      </c>
    </row>
    <row r="436" spans="1:40" x14ac:dyDescent="0.3">
      <c r="A436" t="str">
        <f>"20200111150731998"</f>
        <v>20200111150731998</v>
      </c>
      <c r="B436" t="str">
        <f>"1578726451991328"</f>
        <v>1578726451991328</v>
      </c>
      <c r="C436" t="s">
        <v>40</v>
      </c>
      <c r="D436">
        <v>5.7090180000000004</v>
      </c>
      <c r="E436">
        <v>0.50488420000000001</v>
      </c>
      <c r="F436" t="s">
        <v>41</v>
      </c>
      <c r="G436">
        <v>-270.17</v>
      </c>
      <c r="H436">
        <v>1.005288</v>
      </c>
      <c r="I436">
        <v>367.34980000000002</v>
      </c>
      <c r="J436">
        <v>-270.92250000000001</v>
      </c>
      <c r="K436">
        <v>1.100792</v>
      </c>
      <c r="L436">
        <v>367.36849999999998</v>
      </c>
      <c r="M436">
        <v>0.99993469999999995</v>
      </c>
      <c r="N436">
        <v>0</v>
      </c>
      <c r="O436">
        <v>4.4490930000000003E-3</v>
      </c>
      <c r="P436">
        <v>0.99866319999999997</v>
      </c>
      <c r="Q436">
        <v>5.1681110000000002E-2</v>
      </c>
      <c r="R436">
        <v>-9.7799860000000009E-4</v>
      </c>
      <c r="S436">
        <v>3.0178219999999998</v>
      </c>
      <c r="T436">
        <v>-0.2679163</v>
      </c>
      <c r="U436">
        <v>-4.8492430000000003E-2</v>
      </c>
      <c r="V436">
        <v>5.5035739999999998E-3</v>
      </c>
      <c r="W436">
        <v>6.2183120000000001E-2</v>
      </c>
      <c r="X436">
        <v>0.99804959999999998</v>
      </c>
      <c r="Y436">
        <v>2.0417439999999999E-2</v>
      </c>
      <c r="Z436">
        <v>-1.2986789999999901E-3</v>
      </c>
      <c r="AA436">
        <v>0.99979070000000003</v>
      </c>
      <c r="AB436">
        <v>52</v>
      </c>
      <c r="AC436">
        <v>0.75249999999999695</v>
      </c>
      <c r="AD436">
        <v>-9.5504000000000006E-2</v>
      </c>
      <c r="AE436">
        <v>-1.8699999999967E-2</v>
      </c>
      <c r="AF436">
        <v>2.16986460536659E-2</v>
      </c>
      <c r="AG436">
        <v>-9.5504000000000006E-2</v>
      </c>
      <c r="AH436">
        <v>0.74048922564396202</v>
      </c>
      <c r="AI436">
        <v>97.345988153020002</v>
      </c>
      <c r="AJ436">
        <v>88.321535095393699</v>
      </c>
      <c r="AK436">
        <v>0.74693784115638295</v>
      </c>
      <c r="AL436">
        <v>86.434869632874594</v>
      </c>
      <c r="AM436">
        <v>89.684055415368306</v>
      </c>
      <c r="AN436">
        <v>1.0000000168999299</v>
      </c>
    </row>
    <row r="437" spans="1:40" x14ac:dyDescent="0.3">
      <c r="A437" t="str">
        <f>"20200111150732012"</f>
        <v>20200111150732012</v>
      </c>
      <c r="B437" t="str">
        <f>"1578726452001776"</f>
        <v>1578726452001776</v>
      </c>
      <c r="C437" t="s">
        <v>40</v>
      </c>
      <c r="D437">
        <v>5.0878930000000002</v>
      </c>
      <c r="E437">
        <v>0.50519720000000001</v>
      </c>
      <c r="F437" t="s">
        <v>41</v>
      </c>
      <c r="G437">
        <v>-270.15530000000001</v>
      </c>
      <c r="H437">
        <v>1.0326979999999999</v>
      </c>
      <c r="I437">
        <v>367.35599999999999</v>
      </c>
      <c r="J437">
        <v>-270.5847</v>
      </c>
      <c r="K437">
        <v>1.101623</v>
      </c>
      <c r="L437">
        <v>367.3698</v>
      </c>
      <c r="M437">
        <v>0.99993410000000005</v>
      </c>
      <c r="N437">
        <v>0</v>
      </c>
      <c r="O437">
        <v>4.1956129999999999E-3</v>
      </c>
      <c r="P437">
        <v>0.99865539999999997</v>
      </c>
      <c r="Q437">
        <v>5.1832610000000001E-2</v>
      </c>
      <c r="R437">
        <v>-1.057398E-3</v>
      </c>
      <c r="S437">
        <v>3.0178530000000001</v>
      </c>
      <c r="T437">
        <v>-0.26809229999999901</v>
      </c>
      <c r="U437">
        <v>-4.8461909999999997E-2</v>
      </c>
      <c r="V437">
        <v>5.3311309999999898E-3</v>
      </c>
      <c r="W437">
        <v>6.2514819999999999E-2</v>
      </c>
      <c r="X437">
        <v>0.99802979999999997</v>
      </c>
      <c r="Y437">
        <v>2.0155630000000001E-2</v>
      </c>
      <c r="Z437">
        <v>-1.2654369999999999E-3</v>
      </c>
      <c r="AA437">
        <v>0.99979600000000002</v>
      </c>
      <c r="AB437">
        <v>52</v>
      </c>
      <c r="AC437">
        <v>0.42939999999998602</v>
      </c>
      <c r="AD437">
        <v>-6.8925000000000097E-2</v>
      </c>
      <c r="AE437">
        <v>-1.3800000000003299E-2</v>
      </c>
      <c r="AF437">
        <v>1.52100944863852E-2</v>
      </c>
      <c r="AG437">
        <v>-6.8925000000000097E-2</v>
      </c>
      <c r="AH437">
        <v>0.41856513062251199</v>
      </c>
      <c r="AI437">
        <v>99.344902611961501</v>
      </c>
      <c r="AJ437">
        <v>87.918864074759895</v>
      </c>
      <c r="AK437">
        <v>0.42447470027355599</v>
      </c>
      <c r="AL437">
        <v>86.415827523988995</v>
      </c>
      <c r="AM437">
        <v>89.693948616358597</v>
      </c>
      <c r="AN437">
        <v>1.0000000026827001</v>
      </c>
    </row>
    <row r="438" spans="1:40" x14ac:dyDescent="0.3">
      <c r="A438" t="str">
        <f>"20200111150732025"</f>
        <v>20200111150732025</v>
      </c>
      <c r="B438" t="str">
        <f>"1578726452021296"</f>
        <v>1578726452021296</v>
      </c>
      <c r="C438" t="s">
        <v>40</v>
      </c>
      <c r="D438">
        <v>5.1430369999999996</v>
      </c>
      <c r="E438">
        <v>0.50772499999999998</v>
      </c>
      <c r="F438" t="s">
        <v>41</v>
      </c>
      <c r="G438">
        <v>-269.697</v>
      </c>
      <c r="H438">
        <v>1.02947099999999</v>
      </c>
      <c r="I438">
        <v>367.35469999999998</v>
      </c>
      <c r="J438">
        <v>-270.29689999999999</v>
      </c>
      <c r="K438">
        <v>1.102282</v>
      </c>
      <c r="L438">
        <v>367.37099999999998</v>
      </c>
      <c r="M438">
        <v>0.99993330000000002</v>
      </c>
      <c r="N438">
        <v>0</v>
      </c>
      <c r="O438">
        <v>3.9796429999999997E-3</v>
      </c>
      <c r="P438">
        <v>0.99864240000000004</v>
      </c>
      <c r="Q438">
        <v>5.207589E-2</v>
      </c>
      <c r="R438">
        <v>-1.3498339999999901E-3</v>
      </c>
      <c r="S438">
        <v>3.016724</v>
      </c>
      <c r="T438">
        <v>-0.24536169999999999</v>
      </c>
      <c r="U438">
        <v>-5.0811769999999999E-2</v>
      </c>
      <c r="V438">
        <v>5.4089969999999996E-3</v>
      </c>
      <c r="W438">
        <v>6.290743E-2</v>
      </c>
      <c r="X438">
        <v>0.99800469999999997</v>
      </c>
      <c r="Y438">
        <v>2.0738550000000001E-2</v>
      </c>
      <c r="Z438">
        <v>-1.165068E-3</v>
      </c>
      <c r="AA438">
        <v>0.99978420000000001</v>
      </c>
      <c r="AB438">
        <v>52</v>
      </c>
      <c r="AC438">
        <v>0.599899999999991</v>
      </c>
      <c r="AD438">
        <v>-7.2811000000000098E-2</v>
      </c>
      <c r="AE438">
        <v>-1.6300000000001001E-2</v>
      </c>
      <c r="AF438">
        <v>1.8416306097755599E-2</v>
      </c>
      <c r="AG438">
        <v>-7.2811000000000098E-2</v>
      </c>
      <c r="AH438">
        <v>0.59112880175127103</v>
      </c>
      <c r="AI438">
        <v>97.018542750477195</v>
      </c>
      <c r="AJ438">
        <v>88.215557381146994</v>
      </c>
      <c r="AK438">
        <v>0.59588074504147204</v>
      </c>
      <c r="AL438">
        <v>86.393288224352702</v>
      </c>
      <c r="AM438">
        <v>89.689470735901907</v>
      </c>
      <c r="AN438">
        <v>0.99999999160992004</v>
      </c>
    </row>
    <row r="439" spans="1:40" x14ac:dyDescent="0.3">
      <c r="A439" t="str">
        <f>"20200111150732036"</f>
        <v>20200111150732036</v>
      </c>
      <c r="B439" t="str">
        <f>"1578726452031057"</f>
        <v>1578726452031057</v>
      </c>
      <c r="C439" t="s">
        <v>40</v>
      </c>
      <c r="D439">
        <v>5.0772529999999998</v>
      </c>
      <c r="E439">
        <v>0.50839290000000004</v>
      </c>
      <c r="F439" t="s">
        <v>41</v>
      </c>
      <c r="G439">
        <v>-269.23719999999997</v>
      </c>
      <c r="H439">
        <v>1.026824</v>
      </c>
      <c r="I439">
        <v>367.34559999999999</v>
      </c>
      <c r="J439">
        <v>-270.01749999999998</v>
      </c>
      <c r="K439">
        <v>1.1028709999999999</v>
      </c>
      <c r="L439">
        <v>367.37200000000001</v>
      </c>
      <c r="M439">
        <v>0.9999325</v>
      </c>
      <c r="N439">
        <v>0</v>
      </c>
      <c r="O439">
        <v>3.7692139999999999E-3</v>
      </c>
      <c r="P439">
        <v>0.99864209999999998</v>
      </c>
      <c r="Q439">
        <v>5.2069339999999999E-2</v>
      </c>
      <c r="R439">
        <v>-1.650047E-3</v>
      </c>
      <c r="S439">
        <v>3.015228</v>
      </c>
      <c r="T439">
        <v>-0.2149693</v>
      </c>
      <c r="U439">
        <v>-7.1594240000000003E-2</v>
      </c>
      <c r="V439">
        <v>5.4999200000000002E-3</v>
      </c>
      <c r="W439">
        <v>6.3042599999999893E-2</v>
      </c>
      <c r="X439">
        <v>0.99799570000000004</v>
      </c>
      <c r="Y439">
        <v>2.7426599999999898E-2</v>
      </c>
      <c r="Z439">
        <v>-1.2446720000000001E-3</v>
      </c>
      <c r="AA439">
        <v>0.99962309999999999</v>
      </c>
      <c r="AB439">
        <v>52</v>
      </c>
      <c r="AC439">
        <v>0.78030000000001098</v>
      </c>
      <c r="AD439">
        <v>-7.6046999999999906E-2</v>
      </c>
      <c r="AE439">
        <v>-2.6399999999966801E-2</v>
      </c>
      <c r="AF439">
        <v>2.90653550882819E-2</v>
      </c>
      <c r="AG439">
        <v>-7.6046999999999906E-2</v>
      </c>
      <c r="AH439">
        <v>0.77286253943920102</v>
      </c>
      <c r="AI439">
        <v>95.615672549085204</v>
      </c>
      <c r="AJ439">
        <v>87.846269343618104</v>
      </c>
      <c r="AK439">
        <v>0.777138627237006</v>
      </c>
      <c r="AL439">
        <v>86.385528245890896</v>
      </c>
      <c r="AM439">
        <v>89.684248124964199</v>
      </c>
      <c r="AN439">
        <v>1.00000001787662</v>
      </c>
    </row>
    <row r="440" spans="1:40" x14ac:dyDescent="0.3">
      <c r="A440" t="str">
        <f>"20200111150732048"</f>
        <v>20200111150732048</v>
      </c>
      <c r="B440" t="str">
        <f>"1578726452041792"</f>
        <v>1578726452041792</v>
      </c>
      <c r="C440" t="s">
        <v>40</v>
      </c>
      <c r="D440">
        <v>5.0523889999999998</v>
      </c>
      <c r="E440">
        <v>0.50929609999999903</v>
      </c>
      <c r="F440" t="s">
        <v>43</v>
      </c>
      <c r="G440">
        <v>-252.851</v>
      </c>
      <c r="H440" s="1">
        <v>-3.5258639999999998E-6</v>
      </c>
      <c r="I440">
        <v>366.92930000000001</v>
      </c>
      <c r="J440">
        <v>-269.76769999999999</v>
      </c>
      <c r="K440">
        <v>1.1033459999999999</v>
      </c>
      <c r="L440">
        <v>367.37279999999998</v>
      </c>
      <c r="M440">
        <v>0.99993180000000004</v>
      </c>
      <c r="N440">
        <v>0</v>
      </c>
      <c r="O440">
        <v>3.5807909999999998E-3</v>
      </c>
      <c r="P440">
        <v>0.99865309999999896</v>
      </c>
      <c r="Q440">
        <v>5.1853389999999999E-2</v>
      </c>
      <c r="R440">
        <v>-1.918428E-3</v>
      </c>
      <c r="S440">
        <v>3.0140380000000002</v>
      </c>
      <c r="T440">
        <v>-0.193638</v>
      </c>
      <c r="U440">
        <v>-7.7728270000000002E-2</v>
      </c>
      <c r="V440">
        <v>5.5802639999999997E-3</v>
      </c>
      <c r="W440">
        <v>6.2948370000000003E-2</v>
      </c>
      <c r="X440">
        <v>0.99800120000000003</v>
      </c>
      <c r="Y440">
        <v>2.929211E-2</v>
      </c>
      <c r="Z440">
        <v>-1.169607E-3</v>
      </c>
      <c r="AA440">
        <v>0.99957019999999996</v>
      </c>
      <c r="AB440">
        <v>52</v>
      </c>
      <c r="AC440">
        <v>16.916699999999899</v>
      </c>
      <c r="AD440">
        <v>-1.103349525864</v>
      </c>
      <c r="AE440">
        <v>-0.44349999999997097</v>
      </c>
      <c r="AF440">
        <v>0.50194228321218304</v>
      </c>
      <c r="AG440">
        <v>-1.103349525864</v>
      </c>
      <c r="AH440">
        <v>16.8434011601374</v>
      </c>
      <c r="AI440">
        <v>93.746223636953601</v>
      </c>
      <c r="AJ440">
        <v>88.293060573374902</v>
      </c>
      <c r="AK440">
        <v>16.8869620972281</v>
      </c>
      <c r="AL440">
        <v>86.390937964749597</v>
      </c>
      <c r="AM440">
        <v>89.679637415423102</v>
      </c>
      <c r="AN440">
        <v>1.0000000159167</v>
      </c>
    </row>
    <row r="441" spans="1:40" x14ac:dyDescent="0.3">
      <c r="A441" t="str">
        <f>"20200111150732060"</f>
        <v>20200111150732060</v>
      </c>
      <c r="B441" t="str">
        <f>"1578726452051553"</f>
        <v>1578726452051553</v>
      </c>
      <c r="C441" t="s">
        <v>40</v>
      </c>
      <c r="D441">
        <v>5.7022690000000003</v>
      </c>
      <c r="E441">
        <v>0.50929609999999903</v>
      </c>
      <c r="F441" t="s">
        <v>41</v>
      </c>
      <c r="G441">
        <v>-268.77100000000002</v>
      </c>
      <c r="H441">
        <v>1.0368200000000001</v>
      </c>
      <c r="I441">
        <v>367.34440000000001</v>
      </c>
      <c r="J441">
        <v>-269.48169999999999</v>
      </c>
      <c r="K441">
        <v>1.103866</v>
      </c>
      <c r="L441">
        <v>367.37369999999999</v>
      </c>
      <c r="M441">
        <v>0.99993100000000001</v>
      </c>
      <c r="N441">
        <v>0</v>
      </c>
      <c r="O441">
        <v>3.3652040000000001E-3</v>
      </c>
      <c r="P441">
        <v>0.99865669999999995</v>
      </c>
      <c r="Q441">
        <v>5.1768639999999998E-2</v>
      </c>
      <c r="R441">
        <v>-2.123022E-3</v>
      </c>
      <c r="S441">
        <v>3.0143430000000002</v>
      </c>
      <c r="T441">
        <v>-0.201297</v>
      </c>
      <c r="U441">
        <v>-8.5815429999999998E-2</v>
      </c>
      <c r="V441">
        <v>5.5700180000000004E-3</v>
      </c>
      <c r="W441">
        <v>6.3000710000000001E-2</v>
      </c>
      <c r="X441">
        <v>0.99799789999999999</v>
      </c>
      <c r="Y441">
        <v>3.1743260000000002E-2</v>
      </c>
      <c r="Z441">
        <v>-1.282959E-3</v>
      </c>
      <c r="AA441">
        <v>0.99949520000000003</v>
      </c>
      <c r="AB441">
        <v>52</v>
      </c>
      <c r="AC441">
        <v>0.71070000000003097</v>
      </c>
      <c r="AD441">
        <v>-6.7045999999999897E-2</v>
      </c>
      <c r="AE441">
        <v>-2.9299999999977899E-2</v>
      </c>
      <c r="AF441">
        <v>3.1412549581565002E-2</v>
      </c>
      <c r="AG441">
        <v>-6.7045999999999897E-2</v>
      </c>
      <c r="AH441">
        <v>0.70433962575605902</v>
      </c>
      <c r="AI441">
        <v>95.432226553111704</v>
      </c>
      <c r="AJ441">
        <v>87.446381576200594</v>
      </c>
      <c r="AK441">
        <v>0.70822046200134503</v>
      </c>
      <c r="AL441">
        <v>86.387932942641399</v>
      </c>
      <c r="AM441">
        <v>89.680224568024101</v>
      </c>
      <c r="AN441">
        <v>0.99999996148271597</v>
      </c>
    </row>
    <row r="442" spans="1:40" x14ac:dyDescent="0.3">
      <c r="A442" t="str">
        <f>"20200111150732072"</f>
        <v>20200111150732072</v>
      </c>
      <c r="B442" t="str">
        <f>"1578726452061312"</f>
        <v>1578726452061312</v>
      </c>
      <c r="C442" t="s">
        <v>40</v>
      </c>
      <c r="D442">
        <v>5.267385</v>
      </c>
      <c r="E442">
        <v>0.51575020000000005</v>
      </c>
      <c r="F442" t="s">
        <v>41</v>
      </c>
      <c r="G442">
        <v>-268.31549999999999</v>
      </c>
      <c r="H442">
        <v>1.025979</v>
      </c>
      <c r="I442">
        <v>367.34</v>
      </c>
      <c r="J442">
        <v>-269.20249999999999</v>
      </c>
      <c r="K442">
        <v>1.104306</v>
      </c>
      <c r="L442">
        <v>367.37450000000001</v>
      </c>
      <c r="M442">
        <v>0.99993030000000005</v>
      </c>
      <c r="N442">
        <v>0</v>
      </c>
      <c r="O442">
        <v>3.1538080000000001E-3</v>
      </c>
      <c r="P442">
        <v>0.9986642</v>
      </c>
      <c r="Q442">
        <v>5.161926E-2</v>
      </c>
      <c r="R442">
        <v>-2.332041E-3</v>
      </c>
      <c r="S442">
        <v>3.014313</v>
      </c>
      <c r="T442">
        <v>-0.20154710000000001</v>
      </c>
      <c r="U442">
        <v>-8.6212159999999996E-2</v>
      </c>
      <c r="V442">
        <v>5.5679359999999999E-3</v>
      </c>
      <c r="W442">
        <v>6.2977870000000005E-2</v>
      </c>
      <c r="X442">
        <v>0.99799939999999998</v>
      </c>
      <c r="Y442">
        <v>3.166414E-2</v>
      </c>
      <c r="Z442">
        <v>-1.2678019999999999E-3</v>
      </c>
      <c r="AA442">
        <v>0.99949779999999999</v>
      </c>
      <c r="AB442">
        <v>52</v>
      </c>
      <c r="AC442">
        <v>0.88700000000000001</v>
      </c>
      <c r="AD442">
        <v>-7.83269999999998E-2</v>
      </c>
      <c r="AE442">
        <v>-3.45000000000368E-2</v>
      </c>
      <c r="AF442">
        <v>3.70092797198181E-2</v>
      </c>
      <c r="AG442">
        <v>-7.83269999999998E-2</v>
      </c>
      <c r="AH442">
        <v>0.88003474799711301</v>
      </c>
      <c r="AI442">
        <v>95.081708350642799</v>
      </c>
      <c r="AJ442">
        <v>87.591882829149597</v>
      </c>
      <c r="AK442">
        <v>0.88428839379283997</v>
      </c>
      <c r="AL442">
        <v>86.389244351098696</v>
      </c>
      <c r="AM442">
        <v>89.6803445738596</v>
      </c>
      <c r="AN442">
        <v>1.0000000082106899</v>
      </c>
    </row>
    <row r="443" spans="1:40" x14ac:dyDescent="0.3">
      <c r="A443" t="str">
        <f>"20200111150732085"</f>
        <v>20200111150732085</v>
      </c>
      <c r="B443" t="str">
        <f>"1578726452081808"</f>
        <v>1578726452081808</v>
      </c>
      <c r="C443" t="s">
        <v>40</v>
      </c>
      <c r="D443">
        <v>5.0980290000000004</v>
      </c>
      <c r="E443">
        <v>0.52066650000000003</v>
      </c>
      <c r="F443" t="s">
        <v>42</v>
      </c>
      <c r="G443">
        <v>-158.19499999999999</v>
      </c>
      <c r="H443">
        <v>42.905720000000002</v>
      </c>
      <c r="I443">
        <v>362.99279999999999</v>
      </c>
      <c r="J443">
        <v>-268.91059999999999</v>
      </c>
      <c r="K443">
        <v>1.1047389999999999</v>
      </c>
      <c r="L443">
        <v>367.37529999999998</v>
      </c>
      <c r="M443">
        <v>0.99992939999999997</v>
      </c>
      <c r="N443">
        <v>0</v>
      </c>
      <c r="O443">
        <v>2.9326209999999998E-3</v>
      </c>
      <c r="P443">
        <v>0.99865700000000002</v>
      </c>
      <c r="Q443">
        <v>5.174521E-2</v>
      </c>
      <c r="R443">
        <v>-2.5784929999999998E-3</v>
      </c>
      <c r="S443">
        <v>2.9463810000000001</v>
      </c>
      <c r="T443">
        <v>1.1095010000000001</v>
      </c>
      <c r="U443">
        <v>-0.1163025</v>
      </c>
      <c r="V443">
        <v>5.5939500000000003E-3</v>
      </c>
      <c r="W443">
        <v>6.3231529999999994E-2</v>
      </c>
      <c r="X443">
        <v>0.99798319999999996</v>
      </c>
      <c r="Y443">
        <v>3.9470180000000001E-2</v>
      </c>
      <c r="Z443">
        <v>8.2501529999999997E-3</v>
      </c>
      <c r="AA443">
        <v>0.99918669999999998</v>
      </c>
      <c r="AB443">
        <v>52</v>
      </c>
      <c r="AC443">
        <v>110.71559999999999</v>
      </c>
      <c r="AD443">
        <v>41.800981</v>
      </c>
      <c r="AE443">
        <v>-4.3824999999999896</v>
      </c>
      <c r="AF443">
        <v>4.1207164627681498</v>
      </c>
      <c r="AG443">
        <v>41.800981</v>
      </c>
      <c r="AH443">
        <v>96.909772280004702</v>
      </c>
      <c r="AI443">
        <v>66.686385457097501</v>
      </c>
      <c r="AJ443">
        <v>87.565183394746199</v>
      </c>
      <c r="AK443">
        <v>105.62105036445701</v>
      </c>
      <c r="AL443">
        <v>86.374681624109698</v>
      </c>
      <c r="AM443">
        <v>89.678845927281102</v>
      </c>
      <c r="AN443">
        <v>0.99999999307249099</v>
      </c>
    </row>
    <row r="444" spans="1:40" x14ac:dyDescent="0.3">
      <c r="A444" t="str">
        <f>"20200111150732098"</f>
        <v>20200111150732098</v>
      </c>
      <c r="B444" t="str">
        <f>"1578726452091568"</f>
        <v>1578726452091568</v>
      </c>
      <c r="C444" t="s">
        <v>40</v>
      </c>
      <c r="D444">
        <v>5.1235739999999996</v>
      </c>
      <c r="E444">
        <v>0.51849350000000005</v>
      </c>
      <c r="F444" t="s">
        <v>41</v>
      </c>
      <c r="G444">
        <v>-267.86239999999998</v>
      </c>
      <c r="H444">
        <v>1.0102329999999999</v>
      </c>
      <c r="I444">
        <v>367.31259999999997</v>
      </c>
      <c r="J444">
        <v>-268.59050000000002</v>
      </c>
      <c r="K444">
        <v>1.105178</v>
      </c>
      <c r="L444">
        <v>367.37610000000001</v>
      </c>
      <c r="M444">
        <v>0.9999287</v>
      </c>
      <c r="N444">
        <v>0</v>
      </c>
      <c r="O444">
        <v>2.689692E-3</v>
      </c>
      <c r="P444">
        <v>0.99864730000000002</v>
      </c>
      <c r="Q444">
        <v>5.1940340000000002E-2</v>
      </c>
      <c r="R444">
        <v>-2.4966720000000001E-3</v>
      </c>
      <c r="S444">
        <v>3.0176699999999999</v>
      </c>
      <c r="T444">
        <v>-0.27221119999999999</v>
      </c>
      <c r="U444">
        <v>-0.1801758</v>
      </c>
      <c r="V444">
        <v>5.2700129999999996E-3</v>
      </c>
      <c r="W444">
        <v>6.3561770000000004E-2</v>
      </c>
      <c r="X444">
        <v>0.99796399999999996</v>
      </c>
      <c r="Y444">
        <v>6.2023839999999997E-2</v>
      </c>
      <c r="Z444">
        <v>-3.0312590000000001E-3</v>
      </c>
      <c r="AA444">
        <v>0.99807009999999996</v>
      </c>
      <c r="AB444">
        <v>52</v>
      </c>
      <c r="AC444">
        <v>0.72810000000004005</v>
      </c>
      <c r="AD444">
        <v>-9.4945000000000002E-2</v>
      </c>
      <c r="AE444">
        <v>-6.3500000000033197E-2</v>
      </c>
      <c r="AF444">
        <v>6.4371922495965198E-2</v>
      </c>
      <c r="AG444">
        <v>-9.4945000000000002E-2</v>
      </c>
      <c r="AH444">
        <v>0.71584589341757299</v>
      </c>
      <c r="AI444">
        <v>97.525216623499503</v>
      </c>
      <c r="AJ444">
        <v>84.861539371045396</v>
      </c>
      <c r="AK444">
        <v>0.72497837247301999</v>
      </c>
      <c r="AL444">
        <v>86.355722183098905</v>
      </c>
      <c r="AM444">
        <v>89.697437286157594</v>
      </c>
      <c r="AN444">
        <v>1.00000000846927</v>
      </c>
    </row>
    <row r="445" spans="1:40" x14ac:dyDescent="0.3">
      <c r="A445" t="str">
        <f>"20200111150732113"</f>
        <v>20200111150732113</v>
      </c>
      <c r="B445" t="str">
        <f>"1578726452101328"</f>
        <v>1578726452101328</v>
      </c>
      <c r="C445" t="s">
        <v>40</v>
      </c>
      <c r="D445">
        <v>5.136215</v>
      </c>
      <c r="E445">
        <v>0.51957659999999894</v>
      </c>
      <c r="F445" t="s">
        <v>43</v>
      </c>
      <c r="G445">
        <v>-252.7277</v>
      </c>
      <c r="H445" s="1">
        <v>-3.6503009999999998E-6</v>
      </c>
      <c r="I445">
        <v>366.52589999999998</v>
      </c>
      <c r="J445">
        <v>-268.27539999999999</v>
      </c>
      <c r="K445">
        <v>1.105556</v>
      </c>
      <c r="L445">
        <v>367.3768</v>
      </c>
      <c r="M445">
        <v>0.99992769999999997</v>
      </c>
      <c r="N445">
        <v>0</v>
      </c>
      <c r="O445">
        <v>2.4502930000000001E-3</v>
      </c>
      <c r="P445">
        <v>0.9985562</v>
      </c>
      <c r="Q445">
        <v>5.3662399999999999E-2</v>
      </c>
      <c r="R445">
        <v>-2.436849E-3</v>
      </c>
      <c r="S445">
        <v>3.0145870000000001</v>
      </c>
      <c r="T445">
        <v>-0.2100291</v>
      </c>
      <c r="U445">
        <v>-0.16156010000000001</v>
      </c>
      <c r="V445">
        <v>4.9734230000000003E-3</v>
      </c>
      <c r="W445">
        <v>6.5407110000000004E-2</v>
      </c>
      <c r="X445">
        <v>0.99784620000000002</v>
      </c>
      <c r="Y445">
        <v>5.5821900000000001E-2</v>
      </c>
      <c r="Z445">
        <v>-2.1112399999999999E-3</v>
      </c>
      <c r="AA445">
        <v>0.99843850000000001</v>
      </c>
      <c r="AB445">
        <v>52</v>
      </c>
      <c r="AC445">
        <v>15.547699999999899</v>
      </c>
      <c r="AD445">
        <v>-1.1055596503009999</v>
      </c>
      <c r="AE445">
        <v>-0.85090000000002397</v>
      </c>
      <c r="AF445">
        <v>0.88453738349711397</v>
      </c>
      <c r="AG445">
        <v>-1.1055596503009999</v>
      </c>
      <c r="AH445">
        <v>15.4675931204312</v>
      </c>
      <c r="AI445">
        <v>94.081666846602999</v>
      </c>
      <c r="AJ445">
        <v>86.727020151755795</v>
      </c>
      <c r="AK445">
        <v>15.532260153061699</v>
      </c>
      <c r="AL445">
        <v>86.249771173569798</v>
      </c>
      <c r="AM445">
        <v>89.714431153761197</v>
      </c>
      <c r="AN445">
        <v>0.99999993191466197</v>
      </c>
    </row>
    <row r="446" spans="1:40" x14ac:dyDescent="0.3">
      <c r="A446" t="str">
        <f>"20200111150732127"</f>
        <v>20200111150732127</v>
      </c>
      <c r="B446" t="str">
        <f>"1578726452121825"</f>
        <v>1578726452121825</v>
      </c>
      <c r="C446" t="s">
        <v>40</v>
      </c>
      <c r="D446">
        <v>5.0932430000000002</v>
      </c>
      <c r="E446">
        <v>0.52220100000000003</v>
      </c>
      <c r="F446" t="s">
        <v>41</v>
      </c>
      <c r="G446">
        <v>-267.38440000000003</v>
      </c>
      <c r="H446">
        <v>1.042977</v>
      </c>
      <c r="I446">
        <v>367.32619999999997</v>
      </c>
      <c r="J446">
        <v>-267.93119999999999</v>
      </c>
      <c r="K446">
        <v>1.1059289999999999</v>
      </c>
      <c r="L446">
        <v>367.3775</v>
      </c>
      <c r="M446">
        <v>0.9999268</v>
      </c>
      <c r="N446">
        <v>0</v>
      </c>
      <c r="O446">
        <v>2.1882640000000001E-3</v>
      </c>
      <c r="P446">
        <v>0.99850930000000004</v>
      </c>
      <c r="Q446">
        <v>5.4521960000000001E-2</v>
      </c>
      <c r="R446">
        <v>-2.5638420000000002E-3</v>
      </c>
      <c r="S446">
        <v>3.01532</v>
      </c>
      <c r="T446">
        <v>-0.21196870000000001</v>
      </c>
      <c r="U446">
        <v>-0.17050170000000001</v>
      </c>
      <c r="V446">
        <v>4.8400539999999999E-3</v>
      </c>
      <c r="W446">
        <v>6.6394869999999995E-2</v>
      </c>
      <c r="X446">
        <v>0.99778169999999999</v>
      </c>
      <c r="Y446">
        <v>5.8490500000000001E-2</v>
      </c>
      <c r="Z446">
        <v>-2.2052249999999999E-3</v>
      </c>
      <c r="AA446">
        <v>0.99828550000000005</v>
      </c>
      <c r="AB446">
        <v>52</v>
      </c>
      <c r="AC446">
        <v>0.54679999999996198</v>
      </c>
      <c r="AD446">
        <v>-6.2952000000000105E-2</v>
      </c>
      <c r="AE446">
        <v>-5.1300000000026102E-2</v>
      </c>
      <c r="AF446">
        <v>5.1815707717377001E-2</v>
      </c>
      <c r="AG446">
        <v>-6.2952000000000105E-2</v>
      </c>
      <c r="AH446">
        <v>0.53959676347195296</v>
      </c>
      <c r="AI446">
        <v>96.624126687344997</v>
      </c>
      <c r="AJ446">
        <v>84.514892554560703</v>
      </c>
      <c r="AK446">
        <v>0.545721988763198</v>
      </c>
      <c r="AL446">
        <v>86.193053701850104</v>
      </c>
      <c r="AM446">
        <v>89.722070978313596</v>
      </c>
      <c r="AN446">
        <v>1.00000001286996</v>
      </c>
    </row>
    <row r="447" spans="1:40" x14ac:dyDescent="0.3">
      <c r="A447" t="str">
        <f>"20200111150732142"</f>
        <v>20200111150732142</v>
      </c>
      <c r="B447" t="str">
        <f>"1578726452131584"</f>
        <v>1578726452131584</v>
      </c>
      <c r="C447" t="s">
        <v>40</v>
      </c>
      <c r="D447">
        <v>4.7117889999999996</v>
      </c>
      <c r="E447">
        <v>0.52177529999999905</v>
      </c>
      <c r="F447" t="s">
        <v>41</v>
      </c>
      <c r="G447">
        <v>-266.93</v>
      </c>
      <c r="H447">
        <v>1.0320609999999999</v>
      </c>
      <c r="I447">
        <v>367.31369999999998</v>
      </c>
      <c r="J447">
        <v>-267.59890000000001</v>
      </c>
      <c r="K447">
        <v>1.106255</v>
      </c>
      <c r="L447">
        <v>367.37799999999999</v>
      </c>
      <c r="M447">
        <v>0.99992599999999998</v>
      </c>
      <c r="N447">
        <v>0</v>
      </c>
      <c r="O447">
        <v>1.935422E-3</v>
      </c>
      <c r="P447">
        <v>0.99848970000000004</v>
      </c>
      <c r="Q447">
        <v>5.4872890000000001E-2</v>
      </c>
      <c r="R447">
        <v>-2.6955680000000002E-3</v>
      </c>
      <c r="S447">
        <v>3.0161440000000002</v>
      </c>
      <c r="T447">
        <v>-0.22269459999999999</v>
      </c>
      <c r="U447">
        <v>-0.1918945</v>
      </c>
      <c r="V447">
        <v>4.7197669999999997E-3</v>
      </c>
      <c r="W447">
        <v>6.6863989999999998E-2</v>
      </c>
      <c r="X447">
        <v>0.9977509</v>
      </c>
      <c r="Y447">
        <v>6.5243499999999996E-2</v>
      </c>
      <c r="Z447">
        <v>-2.5454829999999999E-3</v>
      </c>
      <c r="AA447">
        <v>0.99786620000000004</v>
      </c>
      <c r="AB447">
        <v>52</v>
      </c>
      <c r="AC447">
        <v>0.66890000000000704</v>
      </c>
      <c r="AD447">
        <v>-7.4193999999999802E-2</v>
      </c>
      <c r="AE447">
        <v>-6.4300000000059698E-2</v>
      </c>
      <c r="AF447">
        <v>6.48045784026441E-2</v>
      </c>
      <c r="AG447">
        <v>-7.4193999999999802E-2</v>
      </c>
      <c r="AH447">
        <v>0.66071980503459304</v>
      </c>
      <c r="AI447">
        <v>96.376711721658495</v>
      </c>
      <c r="AJ447">
        <v>84.398244805198701</v>
      </c>
      <c r="AK447">
        <v>0.66802323596031898</v>
      </c>
      <c r="AL447">
        <v>86.166115054953593</v>
      </c>
      <c r="AM447">
        <v>89.728969713430104</v>
      </c>
      <c r="AN447">
        <v>0.99999996390503099</v>
      </c>
    </row>
    <row r="448" spans="1:40" x14ac:dyDescent="0.3">
      <c r="A448" t="str">
        <f>"20200111150732154"</f>
        <v>20200111150732154</v>
      </c>
      <c r="B448" t="str">
        <f>"1578726452151103"</f>
        <v>1578726452151103</v>
      </c>
      <c r="C448" t="s">
        <v>40</v>
      </c>
      <c r="D448">
        <v>5.668018</v>
      </c>
      <c r="E448">
        <v>0.52538879999999999</v>
      </c>
      <c r="F448" t="s">
        <v>41</v>
      </c>
      <c r="G448">
        <v>-266.46660000000003</v>
      </c>
      <c r="H448">
        <v>1.0376069999999999</v>
      </c>
      <c r="I448">
        <v>367.30689999999998</v>
      </c>
      <c r="J448">
        <v>-267.31349999999998</v>
      </c>
      <c r="K448">
        <v>1.106495</v>
      </c>
      <c r="L448">
        <v>367.3784</v>
      </c>
      <c r="M448">
        <v>0.99992510000000001</v>
      </c>
      <c r="N448">
        <v>0</v>
      </c>
      <c r="O448">
        <v>1.717838E-3</v>
      </c>
      <c r="P448">
        <v>0.99847600000000003</v>
      </c>
      <c r="Q448">
        <v>5.5133689999999999E-2</v>
      </c>
      <c r="R448">
        <v>-2.4937359999999999E-3</v>
      </c>
      <c r="S448">
        <v>3.0140690000000001</v>
      </c>
      <c r="T448">
        <v>-0.1829413</v>
      </c>
      <c r="U448">
        <v>-0.18841550000000001</v>
      </c>
      <c r="V448">
        <v>4.3009379999999998E-3</v>
      </c>
      <c r="W448">
        <v>6.7220340000000003E-2</v>
      </c>
      <c r="X448">
        <v>0.99772890000000003</v>
      </c>
      <c r="Y448">
        <v>6.3984319999999997E-2</v>
      </c>
      <c r="Z448">
        <v>-2.042196E-3</v>
      </c>
      <c r="AA448">
        <v>0.99794879999999997</v>
      </c>
      <c r="AB448">
        <v>52</v>
      </c>
      <c r="AC448">
        <v>0.84689999999994803</v>
      </c>
      <c r="AD448">
        <v>-6.8888000000000005E-2</v>
      </c>
      <c r="AE448">
        <v>-7.1500000000014496E-2</v>
      </c>
      <c r="AF448">
        <v>7.2478682987836801E-2</v>
      </c>
      <c r="AG448">
        <v>-6.8888000000000005E-2</v>
      </c>
      <c r="AH448">
        <v>0.84124925196838196</v>
      </c>
      <c r="AI448">
        <v>94.664174629895598</v>
      </c>
      <c r="AJ448">
        <v>85.075783869929097</v>
      </c>
      <c r="AK448">
        <v>0.84717118693273197</v>
      </c>
      <c r="AL448">
        <v>86.145651860747193</v>
      </c>
      <c r="AM448">
        <v>89.753015003400805</v>
      </c>
      <c r="AN448">
        <v>1.0000000150363</v>
      </c>
    </row>
    <row r="449" spans="1:40" x14ac:dyDescent="0.3">
      <c r="A449" t="str">
        <f>"20200111150732170"</f>
        <v>20200111150732170</v>
      </c>
      <c r="B449" t="str">
        <f>"1578726452161840"</f>
        <v>1578726452161840</v>
      </c>
      <c r="C449" t="s">
        <v>40</v>
      </c>
      <c r="D449">
        <v>8.3337129999999995</v>
      </c>
      <c r="E449">
        <v>0.52538879999999999</v>
      </c>
      <c r="F449" t="s">
        <v>41</v>
      </c>
      <c r="G449">
        <v>-266.4581</v>
      </c>
      <c r="H449">
        <v>1.0489189999999999</v>
      </c>
      <c r="I449">
        <v>367.31639999999999</v>
      </c>
      <c r="J449">
        <v>-266.94749999999999</v>
      </c>
      <c r="K449">
        <v>1.1067689999999999</v>
      </c>
      <c r="L449">
        <v>367.37889999999999</v>
      </c>
      <c r="M449">
        <v>0.99992429999999999</v>
      </c>
      <c r="N449">
        <v>0</v>
      </c>
      <c r="O449">
        <v>1.438787E-3</v>
      </c>
      <c r="P449">
        <v>0.99852660000000004</v>
      </c>
      <c r="Q449">
        <v>5.4219799999999999E-2</v>
      </c>
      <c r="R449">
        <v>-2.2385009999999999E-3</v>
      </c>
      <c r="S449">
        <v>3.0152589999999999</v>
      </c>
      <c r="T449">
        <v>-0.20325109999999999</v>
      </c>
      <c r="U449">
        <v>-0.2172241</v>
      </c>
      <c r="V449">
        <v>3.7660300000000001E-3</v>
      </c>
      <c r="W449">
        <v>6.6422460000000003E-2</v>
      </c>
      <c r="X449">
        <v>0.99778449999999996</v>
      </c>
      <c r="Y449">
        <v>7.3122160000000005E-2</v>
      </c>
      <c r="Z449">
        <v>-2.5552819999999999E-3</v>
      </c>
      <c r="AA449">
        <v>0.99731970000000003</v>
      </c>
      <c r="AB449">
        <v>52</v>
      </c>
      <c r="AC449">
        <v>0.48939999999998901</v>
      </c>
      <c r="AD449">
        <v>-5.7849999999999902E-2</v>
      </c>
      <c r="AE449">
        <v>-6.25E-2</v>
      </c>
      <c r="AF449">
        <v>6.2346957763873299E-2</v>
      </c>
      <c r="AG449">
        <v>-5.7849999999999902E-2</v>
      </c>
      <c r="AH449">
        <v>0.48267356121691002</v>
      </c>
      <c r="AI449">
        <v>96.778698587649203</v>
      </c>
      <c r="AJ449">
        <v>82.639856371015895</v>
      </c>
      <c r="AK449">
        <v>0.49010971459482899</v>
      </c>
      <c r="AL449">
        <v>86.191469430935996</v>
      </c>
      <c r="AM449">
        <v>89.783744285594906</v>
      </c>
      <c r="AN449">
        <v>1.00000001730733</v>
      </c>
    </row>
    <row r="450" spans="1:40" x14ac:dyDescent="0.3">
      <c r="A450" t="str">
        <f>"20200111150732183"</f>
        <v>20200111150732183</v>
      </c>
      <c r="B450" t="str">
        <f>"1578726452171600"</f>
        <v>1578726452171600</v>
      </c>
      <c r="C450" t="s">
        <v>40</v>
      </c>
      <c r="D450">
        <v>5.2294799999999997</v>
      </c>
      <c r="E450">
        <v>0.52538879999999999</v>
      </c>
      <c r="F450" t="s">
        <v>41</v>
      </c>
      <c r="G450">
        <v>-266.00369999999998</v>
      </c>
      <c r="H450">
        <v>1.042232</v>
      </c>
      <c r="I450">
        <v>367.31130000000002</v>
      </c>
      <c r="J450">
        <v>-266.65570000000002</v>
      </c>
      <c r="K450">
        <v>1.1069690000000001</v>
      </c>
      <c r="L450">
        <v>367.37920000000003</v>
      </c>
      <c r="M450">
        <v>0.99992349999999997</v>
      </c>
      <c r="N450">
        <v>0</v>
      </c>
      <c r="O450">
        <v>1.2165450000000001E-3</v>
      </c>
      <c r="P450">
        <v>0.99856369999999905</v>
      </c>
      <c r="Q450">
        <v>5.3538389999999998E-2</v>
      </c>
      <c r="R450">
        <v>-2.1169029999999998E-3</v>
      </c>
      <c r="S450">
        <v>3.0151979999999998</v>
      </c>
      <c r="T450">
        <v>-0.20607880000000001</v>
      </c>
      <c r="U450">
        <v>-0.21624760000000001</v>
      </c>
      <c r="V450">
        <v>3.4215930000000001E-3</v>
      </c>
      <c r="W450">
        <v>6.5828199999999906E-2</v>
      </c>
      <c r="X450">
        <v>0.99782510000000002</v>
      </c>
      <c r="Y450">
        <v>7.2577639999999999E-2</v>
      </c>
      <c r="Z450">
        <v>-2.557115E-3</v>
      </c>
      <c r="AA450">
        <v>0.99735949999999995</v>
      </c>
      <c r="AB450">
        <v>52</v>
      </c>
      <c r="AC450">
        <v>0.65200000000004299</v>
      </c>
      <c r="AD450">
        <v>-6.4737000000000003E-2</v>
      </c>
      <c r="AE450">
        <v>-6.7900000000008703E-2</v>
      </c>
      <c r="AF450">
        <v>6.8029723157338004E-2</v>
      </c>
      <c r="AG450">
        <v>-6.4737000000000003E-2</v>
      </c>
      <c r="AH450">
        <v>0.64562036092244202</v>
      </c>
      <c r="AI450">
        <v>95.694648377470799</v>
      </c>
      <c r="AJ450">
        <v>83.984877651998403</v>
      </c>
      <c r="AK450">
        <v>0.65241441801932099</v>
      </c>
      <c r="AL450">
        <v>86.225592620092399</v>
      </c>
      <c r="AM450">
        <v>89.803530629030803</v>
      </c>
      <c r="AN450">
        <v>0.999999994701953</v>
      </c>
    </row>
    <row r="451" spans="1:40" x14ac:dyDescent="0.3">
      <c r="A451" t="str">
        <f>"20200111150732196"</f>
        <v>20200111150732196</v>
      </c>
      <c r="B451" t="str">
        <f>"1578726452191121"</f>
        <v>1578726452191121</v>
      </c>
      <c r="C451" t="s">
        <v>40</v>
      </c>
      <c r="D451">
        <v>5.2497109999999996</v>
      </c>
      <c r="E451">
        <v>0.52500550000000001</v>
      </c>
      <c r="F451" t="s">
        <v>41</v>
      </c>
      <c r="G451">
        <v>-265.5489</v>
      </c>
      <c r="H451">
        <v>1.030648</v>
      </c>
      <c r="I451">
        <v>367.29969999999997</v>
      </c>
      <c r="J451">
        <v>-266.3623</v>
      </c>
      <c r="K451">
        <v>1.1071470000000001</v>
      </c>
      <c r="L451">
        <v>367.37939999999998</v>
      </c>
      <c r="M451">
        <v>0.99992270000000005</v>
      </c>
      <c r="N451">
        <v>0</v>
      </c>
      <c r="O451">
        <v>9.9356930000000002E-4</v>
      </c>
      <c r="P451">
        <v>0.99858250000000004</v>
      </c>
      <c r="Q451">
        <v>5.3190069999999999E-2</v>
      </c>
      <c r="R451">
        <v>-1.951972E-3</v>
      </c>
      <c r="S451">
        <v>3.015015</v>
      </c>
      <c r="T451">
        <v>-0.2081298</v>
      </c>
      <c r="U451">
        <v>-0.2157288</v>
      </c>
      <c r="V451">
        <v>3.0335269999999998E-3</v>
      </c>
      <c r="W451">
        <v>6.5562700000000002E-2</v>
      </c>
      <c r="X451">
        <v>0.99784390000000001</v>
      </c>
      <c r="Y451">
        <v>7.2186840000000002E-2</v>
      </c>
      <c r="Z451">
        <v>-2.5538660000000001E-3</v>
      </c>
      <c r="AA451">
        <v>0.99738789999999999</v>
      </c>
      <c r="AB451">
        <v>52</v>
      </c>
      <c r="AC451">
        <v>0.81340000000000101</v>
      </c>
      <c r="AD451">
        <v>-7.6498999999999803E-2</v>
      </c>
      <c r="AE451">
        <v>-7.9700000000002505E-2</v>
      </c>
      <c r="AF451">
        <v>7.9808985789852599E-2</v>
      </c>
      <c r="AG451">
        <v>-7.6498999999999803E-2</v>
      </c>
      <c r="AH451">
        <v>0.80625679230696501</v>
      </c>
      <c r="AI451">
        <v>95.393889082219502</v>
      </c>
      <c r="AJ451">
        <v>84.346875427451593</v>
      </c>
      <c r="AK451">
        <v>0.81380070432196205</v>
      </c>
      <c r="AL451">
        <v>86.240837826402995</v>
      </c>
      <c r="AM451">
        <v>89.825816684662897</v>
      </c>
      <c r="AN451">
        <v>1.00000005934227</v>
      </c>
    </row>
    <row r="452" spans="1:40" x14ac:dyDescent="0.3">
      <c r="A452" t="str">
        <f>"20200111150732207"</f>
        <v>20200111150732207</v>
      </c>
      <c r="B452" t="str">
        <f>"1578726452201856"</f>
        <v>1578726452201856</v>
      </c>
      <c r="C452" t="s">
        <v>40</v>
      </c>
      <c r="D452">
        <v>4.2898290000000001</v>
      </c>
      <c r="E452">
        <v>0.52500550000000001</v>
      </c>
      <c r="F452" t="s">
        <v>43</v>
      </c>
      <c r="G452">
        <v>-249.16030000000001</v>
      </c>
      <c r="H452" s="1">
        <v>-1.2238470000000001E-6</v>
      </c>
      <c r="I452">
        <v>366.16930000000002</v>
      </c>
      <c r="J452">
        <v>-266.09690000000001</v>
      </c>
      <c r="K452">
        <v>1.1072949999999999</v>
      </c>
      <c r="L452">
        <v>367.37950000000001</v>
      </c>
      <c r="M452">
        <v>0.99992199999999998</v>
      </c>
      <c r="N452">
        <v>0</v>
      </c>
      <c r="O452">
        <v>7.9344309999999896E-4</v>
      </c>
      <c r="P452">
        <v>0.99858990000000003</v>
      </c>
      <c r="Q452">
        <v>5.3056029999999997E-2</v>
      </c>
      <c r="R452">
        <v>-1.7819660000000001E-3</v>
      </c>
      <c r="S452">
        <v>3.014221</v>
      </c>
      <c r="T452">
        <v>-0.1939997</v>
      </c>
      <c r="U452">
        <v>-0.21203610000000001</v>
      </c>
      <c r="V452">
        <v>2.663374E-3</v>
      </c>
      <c r="W452">
        <v>6.5498470000000003E-2</v>
      </c>
      <c r="X452">
        <v>0.99784910000000004</v>
      </c>
      <c r="Y452">
        <v>7.0815929999999999E-2</v>
      </c>
      <c r="Z452">
        <v>-2.324708E-3</v>
      </c>
      <c r="AA452">
        <v>0.99748669999999995</v>
      </c>
      <c r="AB452">
        <v>52</v>
      </c>
      <c r="AC452">
        <v>16.936599999999999</v>
      </c>
      <c r="AD452">
        <v>-1.1072962238470001</v>
      </c>
      <c r="AE452">
        <v>-1.21019999999998</v>
      </c>
      <c r="AF452">
        <v>1.2184571746002799</v>
      </c>
      <c r="AG452">
        <v>-1.1072962238470001</v>
      </c>
      <c r="AH452">
        <v>16.863917408211201</v>
      </c>
      <c r="AI452">
        <v>93.746947451370303</v>
      </c>
      <c r="AJ452">
        <v>85.867428183689796</v>
      </c>
      <c r="AK452">
        <v>16.944097885831699</v>
      </c>
      <c r="AL452">
        <v>86.244525580784497</v>
      </c>
      <c r="AM452">
        <v>89.847071338659106</v>
      </c>
      <c r="AN452">
        <v>0.99999998475210705</v>
      </c>
    </row>
    <row r="453" spans="1:40" x14ac:dyDescent="0.3">
      <c r="A453" t="str">
        <f>"20200111150732220"</f>
        <v>20200111150732220</v>
      </c>
      <c r="B453" t="str">
        <f>"1578726452211616"</f>
        <v>1578726452211616</v>
      </c>
      <c r="C453" t="s">
        <v>40</v>
      </c>
      <c r="D453">
        <v>5.0788000000000002</v>
      </c>
      <c r="E453">
        <v>0.52435480000000001</v>
      </c>
      <c r="F453" t="s">
        <v>41</v>
      </c>
      <c r="G453">
        <v>-265.0829</v>
      </c>
      <c r="H453">
        <v>1.0419719999999999</v>
      </c>
      <c r="I453">
        <v>367.3082</v>
      </c>
      <c r="J453">
        <v>-265.79329999999999</v>
      </c>
      <c r="K453">
        <v>1.1074520000000001</v>
      </c>
      <c r="L453">
        <v>367.37959999999998</v>
      </c>
      <c r="M453">
        <v>0.99992130000000001</v>
      </c>
      <c r="N453">
        <v>0</v>
      </c>
      <c r="O453">
        <v>5.6561640000000004E-4</v>
      </c>
      <c r="P453">
        <v>0.99857399999999996</v>
      </c>
      <c r="Q453">
        <v>5.3361359999999997E-2</v>
      </c>
      <c r="R453">
        <v>-1.697154E-3</v>
      </c>
      <c r="S453">
        <v>3.014221</v>
      </c>
      <c r="T453">
        <v>-0.19439580000000001</v>
      </c>
      <c r="U453">
        <v>-0.21145630000000001</v>
      </c>
      <c r="V453">
        <v>2.3511589999999998E-3</v>
      </c>
      <c r="W453">
        <v>6.5880069999999999E-2</v>
      </c>
      <c r="X453">
        <v>0.99782479999999996</v>
      </c>
      <c r="Y453">
        <v>7.0398440000000007E-2</v>
      </c>
      <c r="Z453">
        <v>-2.3013679999999998E-3</v>
      </c>
      <c r="AA453">
        <v>0.99751630000000002</v>
      </c>
      <c r="AB453">
        <v>51</v>
      </c>
      <c r="AC453">
        <v>0.71039999999999204</v>
      </c>
      <c r="AD453">
        <v>-6.5480000000000205E-2</v>
      </c>
      <c r="AE453">
        <v>-7.1399999999982797E-2</v>
      </c>
      <c r="AF453">
        <v>7.1202947771716402E-2</v>
      </c>
      <c r="AG453">
        <v>-6.5480000000000205E-2</v>
      </c>
      <c r="AH453">
        <v>0.70443451662755796</v>
      </c>
      <c r="AI453">
        <v>95.283841310933298</v>
      </c>
      <c r="AJ453">
        <v>84.228250779543899</v>
      </c>
      <c r="AK453">
        <v>0.71104534200547498</v>
      </c>
      <c r="AL453">
        <v>86.222614324167694</v>
      </c>
      <c r="AM453">
        <v>89.864995098983698</v>
      </c>
      <c r="AN453">
        <v>1.0000000215334399</v>
      </c>
    </row>
    <row r="454" spans="1:40" x14ac:dyDescent="0.3">
      <c r="A454" t="str">
        <f>"20200111150732233"</f>
        <v>20200111150732233</v>
      </c>
      <c r="B454" t="str">
        <f>"1578726452221377"</f>
        <v>1578726452221377</v>
      </c>
      <c r="C454" t="s">
        <v>40</v>
      </c>
      <c r="D454">
        <v>5.0911249999999999</v>
      </c>
      <c r="E454">
        <v>0.52399110000000004</v>
      </c>
      <c r="F454" t="s">
        <v>41</v>
      </c>
      <c r="G454">
        <v>-264.62860000000001</v>
      </c>
      <c r="H454">
        <v>1.029784</v>
      </c>
      <c r="I454">
        <v>367.29969999999997</v>
      </c>
      <c r="J454">
        <v>-265.4984</v>
      </c>
      <c r="K454">
        <v>1.107583</v>
      </c>
      <c r="L454">
        <v>367.37959999999998</v>
      </c>
      <c r="M454">
        <v>0.99992040000000004</v>
      </c>
      <c r="N454">
        <v>0</v>
      </c>
      <c r="O454">
        <v>3.464405E-4</v>
      </c>
      <c r="P454">
        <v>0.9985617</v>
      </c>
      <c r="Q454">
        <v>5.3589980000000002E-2</v>
      </c>
      <c r="R454">
        <v>-1.717332E-3</v>
      </c>
      <c r="S454">
        <v>3.0146790000000001</v>
      </c>
      <c r="T454">
        <v>-0.20112759999999999</v>
      </c>
      <c r="U454">
        <v>-0.20635990000000001</v>
      </c>
      <c r="V454">
        <v>2.1523089999999998E-3</v>
      </c>
      <c r="W454">
        <v>6.6175999999999999E-2</v>
      </c>
      <c r="X454">
        <v>0.99780570000000002</v>
      </c>
      <c r="Y454">
        <v>6.8485219999999999E-2</v>
      </c>
      <c r="Z454">
        <v>-2.3024009999999999E-3</v>
      </c>
      <c r="AA454">
        <v>0.99764949999999997</v>
      </c>
      <c r="AB454">
        <v>51</v>
      </c>
      <c r="AC454">
        <v>0.86979999999999702</v>
      </c>
      <c r="AD454">
        <v>-7.7798999999999896E-2</v>
      </c>
      <c r="AE454">
        <v>-7.9900000000009103E-2</v>
      </c>
      <c r="AF454">
        <v>7.9570090974987101E-2</v>
      </c>
      <c r="AG454">
        <v>-7.7798999999999896E-2</v>
      </c>
      <c r="AH454">
        <v>0.86292631682444099</v>
      </c>
      <c r="AI454">
        <v>95.130051219291701</v>
      </c>
      <c r="AJ454">
        <v>84.731676852742794</v>
      </c>
      <c r="AK454">
        <v>0.87007236023618395</v>
      </c>
      <c r="AL454">
        <v>86.205621830460998</v>
      </c>
      <c r="AM454">
        <v>89.876410777520107</v>
      </c>
      <c r="AN454">
        <v>1.00000005518125</v>
      </c>
    </row>
    <row r="455" spans="1:40" x14ac:dyDescent="0.3">
      <c r="A455" t="str">
        <f>"20200111150732247"</f>
        <v>20200111150732247</v>
      </c>
      <c r="B455" t="str">
        <f>"1578726452241875"</f>
        <v>1578726452241875</v>
      </c>
      <c r="C455" t="s">
        <v>40</v>
      </c>
      <c r="D455">
        <v>4.9633129999999896</v>
      </c>
      <c r="E455">
        <v>0.52318350000000002</v>
      </c>
      <c r="F455" t="s">
        <v>41</v>
      </c>
      <c r="G455">
        <v>-264.61790000000002</v>
      </c>
      <c r="H455">
        <v>1.04735</v>
      </c>
      <c r="I455">
        <v>367.32010000000002</v>
      </c>
      <c r="J455">
        <v>-265.17610000000002</v>
      </c>
      <c r="K455">
        <v>1.1077159999999999</v>
      </c>
      <c r="L455">
        <v>367.37959999999998</v>
      </c>
      <c r="M455">
        <v>0.99991960000000002</v>
      </c>
      <c r="N455">
        <v>0</v>
      </c>
      <c r="O455">
        <v>1.080033E-4</v>
      </c>
      <c r="P455">
        <v>0.99850919999999999</v>
      </c>
      <c r="Q455">
        <v>5.4568029999999997E-2</v>
      </c>
      <c r="R455">
        <v>-1.276169E-3</v>
      </c>
      <c r="S455">
        <v>3.0150760000000001</v>
      </c>
      <c r="T455">
        <v>-0.20638580000000001</v>
      </c>
      <c r="U455">
        <v>-0.2032166</v>
      </c>
      <c r="V455">
        <v>1.4743499999999999E-3</v>
      </c>
      <c r="W455">
        <v>6.7224619999999999E-2</v>
      </c>
      <c r="X455">
        <v>0.99773679999999998</v>
      </c>
      <c r="Y455">
        <v>6.7198560000000004E-2</v>
      </c>
      <c r="Z455">
        <v>-2.3020089999999998E-3</v>
      </c>
      <c r="AA455">
        <v>0.99773699999999999</v>
      </c>
      <c r="AB455">
        <v>51</v>
      </c>
      <c r="AC455">
        <v>0.55819999999999903</v>
      </c>
      <c r="AD455">
        <v>-6.0365999999999899E-2</v>
      </c>
      <c r="AE455">
        <v>-5.9499999999957198E-2</v>
      </c>
      <c r="AF455">
        <v>5.8879425278835502E-2</v>
      </c>
      <c r="AG455">
        <v>-6.0365999999999899E-2</v>
      </c>
      <c r="AH455">
        <v>0.55181255037694199</v>
      </c>
      <c r="AI455">
        <v>96.208131377651199</v>
      </c>
      <c r="AJ455">
        <v>83.909478130479897</v>
      </c>
      <c r="AK455">
        <v>0.55821853375776698</v>
      </c>
      <c r="AL455">
        <v>86.145406108282103</v>
      </c>
      <c r="AM455">
        <v>89.915334413805397</v>
      </c>
      <c r="AN455">
        <v>1.00000002265815</v>
      </c>
    </row>
    <row r="456" spans="1:40" x14ac:dyDescent="0.3">
      <c r="A456" t="str">
        <f>"20200111150732260"</f>
        <v>20200111150732260</v>
      </c>
      <c r="B456" t="str">
        <f>"1578726452251633"</f>
        <v>1578726452251633</v>
      </c>
      <c r="C456" t="s">
        <v>40</v>
      </c>
      <c r="D456">
        <v>5.1751060000000004</v>
      </c>
      <c r="E456">
        <v>0.52333079999999998</v>
      </c>
      <c r="F456" t="s">
        <v>41</v>
      </c>
      <c r="G456">
        <v>-264.16410000000002</v>
      </c>
      <c r="H456">
        <v>1.038691</v>
      </c>
      <c r="I456">
        <v>367.31369999999998</v>
      </c>
      <c r="J456">
        <v>-264.88049999999998</v>
      </c>
      <c r="K456">
        <v>1.1078239999999999</v>
      </c>
      <c r="L456">
        <v>367.37950000000001</v>
      </c>
      <c r="M456">
        <v>0.99991890000000005</v>
      </c>
      <c r="N456">
        <v>0</v>
      </c>
      <c r="O456">
        <v>-1.09869E-4</v>
      </c>
      <c r="P456">
        <v>0.99851140000000005</v>
      </c>
      <c r="Q456">
        <v>5.4533379999999999E-2</v>
      </c>
      <c r="R456">
        <v>-1.198534E-3</v>
      </c>
      <c r="S456">
        <v>3.0154109999999998</v>
      </c>
      <c r="T456">
        <v>-0.205763</v>
      </c>
      <c r="U456">
        <v>-0.1958618</v>
      </c>
      <c r="V456">
        <v>1.178622E-3</v>
      </c>
      <c r="W456">
        <v>6.7251249999999999E-2</v>
      </c>
      <c r="X456">
        <v>0.99773540000000005</v>
      </c>
      <c r="Y456">
        <v>6.4558110000000002E-2</v>
      </c>
      <c r="Z456">
        <v>-2.1902829999999999E-3</v>
      </c>
      <c r="AA456">
        <v>0.99791160000000001</v>
      </c>
      <c r="AB456">
        <v>51</v>
      </c>
      <c r="AC456">
        <v>0.71639999999996395</v>
      </c>
      <c r="AD456">
        <v>-6.9132999999999806E-2</v>
      </c>
      <c r="AE456">
        <v>-6.58000000000242E-2</v>
      </c>
      <c r="AF456">
        <v>6.5119935938750803E-2</v>
      </c>
      <c r="AG456">
        <v>-6.9132999999999806E-2</v>
      </c>
      <c r="AH456">
        <v>0.70985212798937003</v>
      </c>
      <c r="AI456">
        <v>95.539419173619194</v>
      </c>
      <c r="AJ456">
        <v>84.758509223499104</v>
      </c>
      <c r="AK456">
        <v>0.71617736724690195</v>
      </c>
      <c r="AL456">
        <v>86.143876866523101</v>
      </c>
      <c r="AM456">
        <v>89.932316689545701</v>
      </c>
      <c r="AN456">
        <v>1.00000002409477</v>
      </c>
    </row>
    <row r="457" spans="1:40" x14ac:dyDescent="0.3">
      <c r="A457" t="str">
        <f>"20200111150732273"</f>
        <v>20200111150732273</v>
      </c>
      <c r="B457" t="str">
        <f>"1578726452261393"</f>
        <v>1578726452261393</v>
      </c>
      <c r="C457" t="s">
        <v>40</v>
      </c>
      <c r="D457">
        <v>5.188447</v>
      </c>
      <c r="E457">
        <v>0.52338269999999998</v>
      </c>
      <c r="F457" t="s">
        <v>41</v>
      </c>
      <c r="G457">
        <v>-263.71030000000002</v>
      </c>
      <c r="H457">
        <v>1.0261290000000001</v>
      </c>
      <c r="I457">
        <v>367.30270000000002</v>
      </c>
      <c r="J457">
        <v>-264.58019999999999</v>
      </c>
      <c r="K457">
        <v>1.107918</v>
      </c>
      <c r="L457">
        <v>367.3793</v>
      </c>
      <c r="M457">
        <v>0.99991799999999997</v>
      </c>
      <c r="N457">
        <v>0</v>
      </c>
      <c r="O457">
        <v>-3.2800320000000001E-4</v>
      </c>
      <c r="P457">
        <v>0.99851529999999999</v>
      </c>
      <c r="Q457">
        <v>5.4460219999999997E-2</v>
      </c>
      <c r="R457">
        <v>-1.140758E-3</v>
      </c>
      <c r="S457">
        <v>3.0156860000000001</v>
      </c>
      <c r="T457">
        <v>-0.21072070000000001</v>
      </c>
      <c r="U457">
        <v>-0.19720460000000001</v>
      </c>
      <c r="V457">
        <v>9.0254549999999999E-4</v>
      </c>
      <c r="W457">
        <v>6.723461E-2</v>
      </c>
      <c r="X457">
        <v>0.99773679999999998</v>
      </c>
      <c r="Y457">
        <v>6.4769779999999999E-2</v>
      </c>
      <c r="Z457">
        <v>-2.234864E-3</v>
      </c>
      <c r="AA457">
        <v>0.9978977</v>
      </c>
      <c r="AB457">
        <v>51</v>
      </c>
      <c r="AC457">
        <v>0.86989999999997203</v>
      </c>
      <c r="AD457">
        <v>-8.1788999999999806E-2</v>
      </c>
      <c r="AE457">
        <v>-7.6599999999984902E-2</v>
      </c>
      <c r="AF457">
        <v>7.5651034638957504E-2</v>
      </c>
      <c r="AG457">
        <v>-8.1788999999999806E-2</v>
      </c>
      <c r="AH457">
        <v>0.86236048833404799</v>
      </c>
      <c r="AI457">
        <v>95.397301601981098</v>
      </c>
      <c r="AJ457">
        <v>84.986531671190605</v>
      </c>
      <c r="AK457">
        <v>0.86952753343564804</v>
      </c>
      <c r="AL457">
        <v>86.144832394877298</v>
      </c>
      <c r="AM457">
        <v>89.948170665987803</v>
      </c>
      <c r="AN457">
        <v>1.0000000147222301</v>
      </c>
    </row>
    <row r="458" spans="1:40" x14ac:dyDescent="0.3">
      <c r="A458" t="str">
        <f>"20200111150732286"</f>
        <v>20200111150732286</v>
      </c>
      <c r="B458" t="str">
        <f>"1578726452281888"</f>
        <v>1578726452281888</v>
      </c>
      <c r="C458" t="s">
        <v>40</v>
      </c>
      <c r="D458">
        <v>5.6476329999999999</v>
      </c>
      <c r="E458">
        <v>0.52363779999999904</v>
      </c>
      <c r="F458" t="s">
        <v>41</v>
      </c>
      <c r="G458">
        <v>-263.7011</v>
      </c>
      <c r="H458">
        <v>1.043617</v>
      </c>
      <c r="I458">
        <v>367.32150000000001</v>
      </c>
      <c r="J458">
        <v>-264.2842</v>
      </c>
      <c r="K458">
        <v>1.1080030000000001</v>
      </c>
      <c r="L458">
        <v>367.37900000000002</v>
      </c>
      <c r="M458">
        <v>0.99991739999999996</v>
      </c>
      <c r="N458">
        <v>0</v>
      </c>
      <c r="O458">
        <v>-5.4217999999999996E-4</v>
      </c>
      <c r="P458">
        <v>0.99852169999999896</v>
      </c>
      <c r="Q458">
        <v>5.4339430000000001E-2</v>
      </c>
      <c r="R458">
        <v>-1.392009E-3</v>
      </c>
      <c r="S458">
        <v>3.0162659999999999</v>
      </c>
      <c r="T458">
        <v>-0.2208532</v>
      </c>
      <c r="U458">
        <v>-0.1976318</v>
      </c>
      <c r="V458">
        <v>9.3935410000000003E-4</v>
      </c>
      <c r="W458">
        <v>6.7166089999999998E-2</v>
      </c>
      <c r="X458">
        <v>0.99774130000000005</v>
      </c>
      <c r="Y458">
        <v>6.4669820000000003E-2</v>
      </c>
      <c r="Z458">
        <v>-2.3222920000000001E-3</v>
      </c>
      <c r="AA458">
        <v>0.99790400000000001</v>
      </c>
      <c r="AB458">
        <v>51</v>
      </c>
      <c r="AC458">
        <v>0.58310000000000095</v>
      </c>
      <c r="AD458">
        <v>-6.4385999999999999E-2</v>
      </c>
      <c r="AE458">
        <v>-5.7500000000004499E-2</v>
      </c>
      <c r="AF458">
        <v>5.6501553156357999E-2</v>
      </c>
      <c r="AG458">
        <v>-6.4385999999999999E-2</v>
      </c>
      <c r="AH458">
        <v>0.57617368372445299</v>
      </c>
      <c r="AI458">
        <v>96.346020115793095</v>
      </c>
      <c r="AJ458">
        <v>84.399287929466794</v>
      </c>
      <c r="AK458">
        <v>0.58250673500113903</v>
      </c>
      <c r="AL458">
        <v>86.148766884428099</v>
      </c>
      <c r="AM458">
        <v>89.946057149787904</v>
      </c>
      <c r="AN458">
        <v>0.999999933878849</v>
      </c>
    </row>
    <row r="459" spans="1:40" x14ac:dyDescent="0.3">
      <c r="A459" t="str">
        <f>"20200111150732302"</f>
        <v>20200111150732302</v>
      </c>
      <c r="B459" t="str">
        <f>"1578726452291648"</f>
        <v>1578726452291648</v>
      </c>
      <c r="C459" t="s">
        <v>40</v>
      </c>
      <c r="D459">
        <v>7.4745460000000001</v>
      </c>
      <c r="E459">
        <v>0.56224110000000005</v>
      </c>
      <c r="F459" t="s">
        <v>41</v>
      </c>
      <c r="G459">
        <v>-263.24930000000001</v>
      </c>
      <c r="H459">
        <v>1.028308</v>
      </c>
      <c r="I459">
        <v>367.31009999999998</v>
      </c>
      <c r="J459">
        <v>-263.90140000000002</v>
      </c>
      <c r="K459">
        <v>1.1080920000000001</v>
      </c>
      <c r="L459">
        <v>367.37860000000001</v>
      </c>
      <c r="M459">
        <v>0.99991629999999998</v>
      </c>
      <c r="N459">
        <v>0</v>
      </c>
      <c r="O459">
        <v>-8.1697499999999995E-4</v>
      </c>
      <c r="P459">
        <v>0.99853210000000003</v>
      </c>
      <c r="Q459">
        <v>5.4124369999999998E-2</v>
      </c>
      <c r="R459">
        <v>-2.0735039999999999E-3</v>
      </c>
      <c r="S459">
        <v>3.0168149999999998</v>
      </c>
      <c r="T459">
        <v>-0.23235120000000001</v>
      </c>
      <c r="U459">
        <v>-0.2007446</v>
      </c>
      <c r="V459">
        <v>1.3456989999999999E-3</v>
      </c>
      <c r="W459">
        <v>6.7013370000000003E-2</v>
      </c>
      <c r="X459">
        <v>0.99775119999999895</v>
      </c>
      <c r="Y459">
        <v>6.5389439999999993E-2</v>
      </c>
      <c r="Z459">
        <v>-2.448853E-3</v>
      </c>
      <c r="AA459">
        <v>0.99785679999999999</v>
      </c>
      <c r="AB459">
        <v>51</v>
      </c>
      <c r="AC459">
        <v>0.652100000000018</v>
      </c>
      <c r="AD459">
        <v>-7.9783999999999994E-2</v>
      </c>
      <c r="AE459">
        <v>-6.8500000000028594E-2</v>
      </c>
      <c r="AF459">
        <v>6.6975544572658793E-2</v>
      </c>
      <c r="AG459">
        <v>-7.9783999999999994E-2</v>
      </c>
      <c r="AH459">
        <v>0.64264082096910202</v>
      </c>
      <c r="AI459">
        <v>97.039331104577499</v>
      </c>
      <c r="AJ459">
        <v>84.050156482276293</v>
      </c>
      <c r="AK459">
        <v>0.65102875128725701</v>
      </c>
      <c r="AL459">
        <v>86.157537225130994</v>
      </c>
      <c r="AM459">
        <v>89.922723393925295</v>
      </c>
      <c r="AN459">
        <v>1.0000000298829901</v>
      </c>
    </row>
    <row r="460" spans="1:40" x14ac:dyDescent="0.3">
      <c r="A460" t="str">
        <f>"20200111150732315"</f>
        <v>20200111150732315</v>
      </c>
      <c r="B460" t="str">
        <f>"1578726452311761"</f>
        <v>1578726452311761</v>
      </c>
      <c r="C460" t="s">
        <v>40</v>
      </c>
      <c r="D460">
        <v>6.6331419999999897</v>
      </c>
      <c r="E460">
        <v>0.54970719999999995</v>
      </c>
      <c r="F460" t="s">
        <v>49</v>
      </c>
      <c r="G460">
        <v>0</v>
      </c>
      <c r="H460">
        <v>0</v>
      </c>
      <c r="I460">
        <v>0</v>
      </c>
      <c r="J460">
        <v>-263.60849999999999</v>
      </c>
      <c r="K460">
        <v>1.108158</v>
      </c>
      <c r="L460">
        <v>367.37819999999999</v>
      </c>
      <c r="M460">
        <v>0.99991549999999996</v>
      </c>
      <c r="N460">
        <v>0</v>
      </c>
      <c r="O460">
        <v>-1.0259710000000001E-3</v>
      </c>
      <c r="P460">
        <v>0.99853499999999995</v>
      </c>
      <c r="Q460">
        <v>5.4055430000000002E-2</v>
      </c>
      <c r="R460">
        <v>-2.3874880000000001E-3</v>
      </c>
      <c r="S460">
        <v>2.9421390000000001</v>
      </c>
      <c r="T460">
        <v>1.1308</v>
      </c>
      <c r="U460">
        <v>-0.48480220000000002</v>
      </c>
      <c r="V460">
        <v>1.4505589999999999E-3</v>
      </c>
      <c r="W460">
        <v>6.6989119999999999E-2</v>
      </c>
      <c r="X460">
        <v>0.99775270000000005</v>
      </c>
      <c r="Y460">
        <v>0.1511422</v>
      </c>
      <c r="Z460">
        <v>2.7497379999999998E-2</v>
      </c>
      <c r="AA460">
        <v>0.98812949999999999</v>
      </c>
      <c r="AB460">
        <v>51</v>
      </c>
      <c r="AC460">
        <v>2.9421390000000001</v>
      </c>
      <c r="AD460">
        <v>1.1308</v>
      </c>
      <c r="AE460">
        <v>-0.48480220000000002</v>
      </c>
      <c r="AF460">
        <v>0.42120645687868102</v>
      </c>
      <c r="AG460">
        <v>1.1308</v>
      </c>
      <c r="AH460">
        <v>2.5726446323227399</v>
      </c>
      <c r="AI460">
        <v>66.550135491122205</v>
      </c>
      <c r="AJ460">
        <v>80.701740769214297</v>
      </c>
      <c r="AK460">
        <v>2.84158827480959</v>
      </c>
      <c r="AL460">
        <v>86.158929847952507</v>
      </c>
      <c r="AM460">
        <v>89.916701954221594</v>
      </c>
      <c r="AN460">
        <v>1.0000000483385301</v>
      </c>
    </row>
    <row r="461" spans="1:40" x14ac:dyDescent="0.3">
      <c r="A461" t="str">
        <f>"20200111150732327"</f>
        <v>20200111150732327</v>
      </c>
      <c r="B461" t="str">
        <f>"1578726452321520"</f>
        <v>1578726452321520</v>
      </c>
      <c r="C461" t="s">
        <v>40</v>
      </c>
      <c r="D461">
        <v>5.2409660000000002</v>
      </c>
      <c r="E461">
        <v>0.54970719999999995</v>
      </c>
      <c r="F461" t="s">
        <v>42</v>
      </c>
      <c r="G461">
        <v>-158.78319999999999</v>
      </c>
      <c r="H461">
        <v>41.626719999999999</v>
      </c>
      <c r="I461">
        <v>353.63040000000001</v>
      </c>
      <c r="J461">
        <v>-263.34449999999998</v>
      </c>
      <c r="K461">
        <v>1.1082099999999999</v>
      </c>
      <c r="L461">
        <v>367.37790000000001</v>
      </c>
      <c r="M461">
        <v>0.99991490000000005</v>
      </c>
      <c r="N461">
        <v>0</v>
      </c>
      <c r="O461">
        <v>-1.213233E-3</v>
      </c>
      <c r="P461">
        <v>0.9985349</v>
      </c>
      <c r="Q461">
        <v>5.4039730000000001E-2</v>
      </c>
      <c r="R461">
        <v>-2.7576329999999998E-3</v>
      </c>
      <c r="S461">
        <v>2.9419249999999999</v>
      </c>
      <c r="T461">
        <v>1.1371560000000001</v>
      </c>
      <c r="U461">
        <v>-0.3858337</v>
      </c>
      <c r="V461">
        <v>1.6334629999999999E-3</v>
      </c>
      <c r="W461">
        <v>6.7010529999999999E-2</v>
      </c>
      <c r="X461">
        <v>0.9977509</v>
      </c>
      <c r="Y461">
        <v>0.12038160000000001</v>
      </c>
      <c r="Z461">
        <v>2.1919020000000001E-2</v>
      </c>
      <c r="AA461">
        <v>0.99248570000000003</v>
      </c>
      <c r="AB461">
        <v>51</v>
      </c>
      <c r="AC461">
        <v>104.5613</v>
      </c>
      <c r="AD461">
        <v>40.518509999999999</v>
      </c>
      <c r="AE461">
        <v>-13.7475</v>
      </c>
      <c r="AF461">
        <v>11.8686644033354</v>
      </c>
      <c r="AG461">
        <v>40.518509999999999</v>
      </c>
      <c r="AH461">
        <v>91.126531728323201</v>
      </c>
      <c r="AI461">
        <v>66.206545422091096</v>
      </c>
      <c r="AJ461">
        <v>82.579352583641295</v>
      </c>
      <c r="AK461">
        <v>100.43236347001</v>
      </c>
      <c r="AL461">
        <v>86.157700077030995</v>
      </c>
      <c r="AM461">
        <v>89.906198578948107</v>
      </c>
      <c r="AN461">
        <v>0.99999996889153098</v>
      </c>
    </row>
    <row r="462" spans="1:40" x14ac:dyDescent="0.3">
      <c r="A462" t="str">
        <f>"20200111150732339"</f>
        <v>20200111150732339</v>
      </c>
      <c r="B462" t="str">
        <f>"1578726452331280"</f>
        <v>1578726452331280</v>
      </c>
      <c r="C462" t="s">
        <v>40</v>
      </c>
      <c r="D462">
        <v>5.1931079999999996</v>
      </c>
      <c r="E462">
        <v>0.52665139999999999</v>
      </c>
      <c r="F462" t="s">
        <v>42</v>
      </c>
      <c r="G462">
        <v>-158.78319999999999</v>
      </c>
      <c r="H462">
        <v>41.530810000000002</v>
      </c>
      <c r="I462">
        <v>353.6422</v>
      </c>
      <c r="J462">
        <v>-263.06599999999997</v>
      </c>
      <c r="K462">
        <v>1.1082590000000001</v>
      </c>
      <c r="L462">
        <v>367.37740000000002</v>
      </c>
      <c r="M462">
        <v>0.99991419999999998</v>
      </c>
      <c r="N462">
        <v>0</v>
      </c>
      <c r="O462">
        <v>-1.4100370000000001E-3</v>
      </c>
      <c r="P462">
        <v>0.99853780000000003</v>
      </c>
      <c r="Q462">
        <v>5.3977490000000003E-2</v>
      </c>
      <c r="R462">
        <v>-2.9227820000000001E-3</v>
      </c>
      <c r="S462">
        <v>2.9417719999999998</v>
      </c>
      <c r="T462">
        <v>1.1372679999999999</v>
      </c>
      <c r="U462">
        <v>-0.38644410000000001</v>
      </c>
      <c r="V462">
        <v>1.601835E-3</v>
      </c>
      <c r="W462">
        <v>6.6985779999999995E-2</v>
      </c>
      <c r="X462">
        <v>0.99775270000000005</v>
      </c>
      <c r="Y462">
        <v>0.1204056</v>
      </c>
      <c r="Z462">
        <v>2.1853129999999998E-2</v>
      </c>
      <c r="AA462">
        <v>0.99248420000000004</v>
      </c>
      <c r="AB462">
        <v>51</v>
      </c>
      <c r="AC462">
        <v>104.282799999999</v>
      </c>
      <c r="AD462">
        <v>40.422550999999999</v>
      </c>
      <c r="AE462">
        <v>-13.735200000000001</v>
      </c>
      <c r="AF462">
        <v>11.8395430206615</v>
      </c>
      <c r="AG462">
        <v>40.422550999999999</v>
      </c>
      <c r="AH462">
        <v>90.879957125804495</v>
      </c>
      <c r="AI462">
        <v>66.199475768886899</v>
      </c>
      <c r="AJ462">
        <v>82.577496848496693</v>
      </c>
      <c r="AK462">
        <v>100.16648149692401</v>
      </c>
      <c r="AL462">
        <v>86.159121674122304</v>
      </c>
      <c r="AM462">
        <v>89.9080149759302</v>
      </c>
      <c r="AN462">
        <v>1.00000005547743</v>
      </c>
    </row>
    <row r="463" spans="1:40" x14ac:dyDescent="0.3">
      <c r="A463" t="str">
        <f>"20200111150732349"</f>
        <v>20200111150732349</v>
      </c>
      <c r="B463" t="str">
        <f>"1578726452341040"</f>
        <v>1578726452341040</v>
      </c>
      <c r="C463" t="s">
        <v>40</v>
      </c>
      <c r="D463">
        <v>5.2114500000000001</v>
      </c>
      <c r="E463">
        <v>0.52665139999999999</v>
      </c>
      <c r="F463" t="s">
        <v>41</v>
      </c>
      <c r="G463">
        <v>-262.3263</v>
      </c>
      <c r="H463">
        <v>1.0350539999999999</v>
      </c>
      <c r="I463">
        <v>367.32080000000002</v>
      </c>
      <c r="J463">
        <v>-262.8193</v>
      </c>
      <c r="K463">
        <v>1.1082959999999999</v>
      </c>
      <c r="L463">
        <v>367.37700000000001</v>
      </c>
      <c r="M463">
        <v>0.99991339999999995</v>
      </c>
      <c r="N463">
        <v>0</v>
      </c>
      <c r="O463">
        <v>-1.58342799999999E-3</v>
      </c>
      <c r="P463">
        <v>0.99854940000000003</v>
      </c>
      <c r="Q463">
        <v>5.3748509999999999E-2</v>
      </c>
      <c r="R463">
        <v>-3.217878E-3</v>
      </c>
      <c r="S463">
        <v>3.0198969999999998</v>
      </c>
      <c r="T463">
        <v>-0.29902820000000002</v>
      </c>
      <c r="U463">
        <v>-0.23019410000000001</v>
      </c>
      <c r="V463">
        <v>1.7228250000000001E-3</v>
      </c>
      <c r="W463">
        <v>6.6786440000000002E-2</v>
      </c>
      <c r="X463">
        <v>0.99776580000000004</v>
      </c>
      <c r="Y463">
        <v>7.4073780000000006E-2</v>
      </c>
      <c r="Z463">
        <v>-3.4969670000000001E-3</v>
      </c>
      <c r="AA463">
        <v>0.99724659999999998</v>
      </c>
      <c r="AB463">
        <v>51</v>
      </c>
      <c r="AC463">
        <v>0.492999999999995</v>
      </c>
      <c r="AD463">
        <v>-7.3241999999999793E-2</v>
      </c>
      <c r="AE463">
        <v>-5.6199999999932901E-2</v>
      </c>
      <c r="AF463">
        <v>5.42375011886988E-2</v>
      </c>
      <c r="AG463">
        <v>-7.3241999999999793E-2</v>
      </c>
      <c r="AH463">
        <v>0.48257401075242101</v>
      </c>
      <c r="AI463">
        <v>98.576932689967705</v>
      </c>
      <c r="AJ463">
        <v>83.587318911449898</v>
      </c>
      <c r="AK463">
        <v>0.49110464562338701</v>
      </c>
      <c r="AL463">
        <v>86.170568413239806</v>
      </c>
      <c r="AM463">
        <v>89.901068463921902</v>
      </c>
      <c r="AN463">
        <v>0.99999999417174701</v>
      </c>
    </row>
    <row r="464" spans="1:40" x14ac:dyDescent="0.3">
      <c r="A464" t="str">
        <f>"20200111150732361"</f>
        <v>20200111150732361</v>
      </c>
      <c r="B464" t="str">
        <f>"1578726452351776"</f>
        <v>1578726452351776</v>
      </c>
      <c r="C464" t="s">
        <v>40</v>
      </c>
      <c r="D464">
        <v>5.2107400000000004</v>
      </c>
      <c r="E464">
        <v>0.52782289999999998</v>
      </c>
      <c r="F464" t="s">
        <v>41</v>
      </c>
      <c r="G464">
        <v>-261.87670000000003</v>
      </c>
      <c r="H464">
        <v>1.014856</v>
      </c>
      <c r="I464">
        <v>367.30459999999999</v>
      </c>
      <c r="J464">
        <v>-262.5342</v>
      </c>
      <c r="K464">
        <v>1.108344</v>
      </c>
      <c r="L464">
        <v>367.37639999999999</v>
      </c>
      <c r="M464">
        <v>0.99991269999999999</v>
      </c>
      <c r="N464">
        <v>0</v>
      </c>
      <c r="O464">
        <v>-1.7839010000000001E-3</v>
      </c>
      <c r="P464">
        <v>0.9985754</v>
      </c>
      <c r="Q464">
        <v>5.3251350000000003E-2</v>
      </c>
      <c r="R464">
        <v>-3.4046290000000002E-3</v>
      </c>
      <c r="S464">
        <v>3.0197750000000001</v>
      </c>
      <c r="T464">
        <v>-0.2995623</v>
      </c>
      <c r="U464">
        <v>-0.23132320000000001</v>
      </c>
      <c r="V464">
        <v>1.7086569999999999E-3</v>
      </c>
      <c r="W464">
        <v>6.6323499999999994E-2</v>
      </c>
      <c r="X464">
        <v>0.99779669999999998</v>
      </c>
      <c r="Y464">
        <v>7.4246480000000004E-2</v>
      </c>
      <c r="Z464">
        <v>-3.4919980000000001E-3</v>
      </c>
      <c r="AA464">
        <v>0.99723379999999995</v>
      </c>
      <c r="AB464">
        <v>51</v>
      </c>
      <c r="AC464">
        <v>0.65749999999997</v>
      </c>
      <c r="AD464">
        <v>-9.3488000000000002E-2</v>
      </c>
      <c r="AE464">
        <v>-7.1799999999996006E-2</v>
      </c>
      <c r="AF464">
        <v>6.9243461033467901E-2</v>
      </c>
      <c r="AG464">
        <v>-9.3488000000000002E-2</v>
      </c>
      <c r="AH464">
        <v>0.644745728282896</v>
      </c>
      <c r="AI464">
        <v>98.203847458041295</v>
      </c>
      <c r="AJ464">
        <v>83.870126768902594</v>
      </c>
      <c r="AK464">
        <v>0.65515778036968697</v>
      </c>
      <c r="AL464">
        <v>86.197151849125703</v>
      </c>
      <c r="AM464">
        <v>89.901885084364096</v>
      </c>
      <c r="AN464">
        <v>0.999999990345941</v>
      </c>
    </row>
    <row r="465" spans="1:40" x14ac:dyDescent="0.3">
      <c r="A465" t="str">
        <f>"20200111150732385"</f>
        <v>20200111150732385</v>
      </c>
      <c r="B465" t="str">
        <f>"1578726452381056"</f>
        <v>1578726452381056</v>
      </c>
      <c r="C465" t="s">
        <v>40</v>
      </c>
      <c r="D465">
        <v>5.2020239999999998</v>
      </c>
      <c r="E465">
        <v>0.52765550000000006</v>
      </c>
      <c r="F465" t="s">
        <v>41</v>
      </c>
      <c r="G465">
        <v>-261.42950000000002</v>
      </c>
      <c r="H465">
        <v>0.98993889999999995</v>
      </c>
      <c r="I465">
        <v>367.28809999999999</v>
      </c>
      <c r="J465">
        <v>-262.0027</v>
      </c>
      <c r="K465">
        <v>1.1084069999999999</v>
      </c>
      <c r="L465">
        <v>367.37509999999997</v>
      </c>
      <c r="M465">
        <v>0.99991140000000001</v>
      </c>
      <c r="N465">
        <v>0</v>
      </c>
      <c r="O465">
        <v>-2.1558160000000001E-3</v>
      </c>
      <c r="P465">
        <v>0.99858999999999998</v>
      </c>
      <c r="Q465">
        <v>5.2920910000000002E-2</v>
      </c>
      <c r="R465">
        <v>-4.2002410000000004E-3</v>
      </c>
      <c r="S465">
        <v>3.020721</v>
      </c>
      <c r="T465">
        <v>-0.32370359999999998</v>
      </c>
      <c r="U465">
        <v>-0.24160770000000001</v>
      </c>
      <c r="V465">
        <v>2.1321309999999998E-3</v>
      </c>
      <c r="W465">
        <v>6.6048969999999999E-2</v>
      </c>
      <c r="X465">
        <v>0.99781410000000004</v>
      </c>
      <c r="Y465">
        <v>7.715284E-2</v>
      </c>
      <c r="Z465">
        <v>-3.885562E-3</v>
      </c>
      <c r="AA465">
        <v>0.99701169999999995</v>
      </c>
      <c r="AB465">
        <v>51</v>
      </c>
      <c r="AC465">
        <v>0.57319999999998505</v>
      </c>
      <c r="AD465">
        <v>-0.11846809999999899</v>
      </c>
      <c r="AE465">
        <v>-8.6999999999989003E-2</v>
      </c>
      <c r="AF465">
        <v>8.2326508111717003E-2</v>
      </c>
      <c r="AG465">
        <v>-0.11846809999999899</v>
      </c>
      <c r="AH465">
        <v>0.55040459108741102</v>
      </c>
      <c r="AI465">
        <v>102.017190082051</v>
      </c>
      <c r="AJ465">
        <v>81.493077075809893</v>
      </c>
      <c r="AK465">
        <v>0.56899697586681297</v>
      </c>
      <c r="AL465">
        <v>86.212915844301705</v>
      </c>
      <c r="AM465">
        <v>89.877570459525501</v>
      </c>
      <c r="AN465">
        <v>0.99999999528973604</v>
      </c>
    </row>
    <row r="466" spans="1:40" x14ac:dyDescent="0.3">
      <c r="A466" t="str">
        <f>"20200111150732397"</f>
        <v>20200111150732397</v>
      </c>
      <c r="B466" t="str">
        <f>"1578726452391792"</f>
        <v>1578726452391792</v>
      </c>
      <c r="C466" t="s">
        <v>40</v>
      </c>
      <c r="D466">
        <v>5.2160679999999999</v>
      </c>
      <c r="E466">
        <v>0.52782510000000005</v>
      </c>
      <c r="F466" t="s">
        <v>41</v>
      </c>
      <c r="G466">
        <v>-260.96440000000001</v>
      </c>
      <c r="H466">
        <v>1.001595</v>
      </c>
      <c r="I466">
        <v>367.29149999999998</v>
      </c>
      <c r="J466">
        <v>-261.70420000000001</v>
      </c>
      <c r="K466">
        <v>1.1084400000000001</v>
      </c>
      <c r="L466">
        <v>367.37439999999998</v>
      </c>
      <c r="M466">
        <v>0.99991050000000004</v>
      </c>
      <c r="N466">
        <v>0</v>
      </c>
      <c r="O466">
        <v>-2.364012E-3</v>
      </c>
      <c r="P466">
        <v>0.99858239999999998</v>
      </c>
      <c r="Q466">
        <v>5.3049970000000002E-2</v>
      </c>
      <c r="R466">
        <v>-4.3871700000000001E-3</v>
      </c>
      <c r="S466">
        <v>3.0196529999999999</v>
      </c>
      <c r="T466">
        <v>-0.31076490000000001</v>
      </c>
      <c r="U466">
        <v>-0.2425842</v>
      </c>
      <c r="V466">
        <v>2.1109520000000001E-3</v>
      </c>
      <c r="W466">
        <v>6.6206920000000002E-2</v>
      </c>
      <c r="X466">
        <v>0.99780369999999996</v>
      </c>
      <c r="Y466">
        <v>7.7326919999999993E-2</v>
      </c>
      <c r="Z466">
        <v>-3.7199249999999998E-3</v>
      </c>
      <c r="AA466">
        <v>0.99699879999999996</v>
      </c>
      <c r="AB466">
        <v>51</v>
      </c>
      <c r="AC466">
        <v>0.73980000000000201</v>
      </c>
      <c r="AD466">
        <v>-0.106844999999999</v>
      </c>
      <c r="AE466">
        <v>-8.2899999999995005E-2</v>
      </c>
      <c r="AF466">
        <v>7.9512783197980899E-2</v>
      </c>
      <c r="AG466">
        <v>-0.106844999999999</v>
      </c>
      <c r="AH466">
        <v>0.72505796847971904</v>
      </c>
      <c r="AI466">
        <v>98.333558742657601</v>
      </c>
      <c r="AJ466">
        <v>83.741721388139197</v>
      </c>
      <c r="AK466">
        <v>0.73718871015013898</v>
      </c>
      <c r="AL466">
        <v>86.203846210177801</v>
      </c>
      <c r="AM466">
        <v>89.878785316280499</v>
      </c>
      <c r="AN466">
        <v>1.0000000180539601</v>
      </c>
    </row>
    <row r="467" spans="1:40" x14ac:dyDescent="0.3">
      <c r="A467" t="str">
        <f>"20200111150732410"</f>
        <v>20200111150732410</v>
      </c>
      <c r="B467" t="str">
        <f>"1578726452401953"</f>
        <v>1578726452401953</v>
      </c>
      <c r="C467" t="s">
        <v>40</v>
      </c>
      <c r="D467">
        <v>5.2612230000000002</v>
      </c>
      <c r="E467">
        <v>0.52813980000000005</v>
      </c>
      <c r="F467" t="s">
        <v>41</v>
      </c>
      <c r="G467">
        <v>-260.95010000000002</v>
      </c>
      <c r="H467">
        <v>1.030437</v>
      </c>
      <c r="I467">
        <v>367.31310000000002</v>
      </c>
      <c r="J467">
        <v>-261.42200000000003</v>
      </c>
      <c r="K467">
        <v>1.108468</v>
      </c>
      <c r="L467">
        <v>367.37360000000001</v>
      </c>
      <c r="M467">
        <v>0.99990959999999995</v>
      </c>
      <c r="N467">
        <v>0</v>
      </c>
      <c r="O467">
        <v>-2.5603869999999999E-3</v>
      </c>
      <c r="P467">
        <v>0.99857830000000003</v>
      </c>
      <c r="Q467">
        <v>5.3107870000000001E-2</v>
      </c>
      <c r="R467">
        <v>-4.6041789999999999E-3</v>
      </c>
      <c r="S467">
        <v>3.0197750000000001</v>
      </c>
      <c r="T467">
        <v>-0.31255480000000002</v>
      </c>
      <c r="U467">
        <v>-0.24462890000000001</v>
      </c>
      <c r="V467">
        <v>2.131731E-3</v>
      </c>
      <c r="W467">
        <v>6.6290680000000005E-2</v>
      </c>
      <c r="X467">
        <v>0.99779810000000002</v>
      </c>
      <c r="Y467">
        <v>7.7792689999999998E-2</v>
      </c>
      <c r="Z467">
        <v>-3.7447489999999999E-3</v>
      </c>
      <c r="AA467">
        <v>0.99696249999999997</v>
      </c>
      <c r="AB467">
        <v>51</v>
      </c>
      <c r="AC467">
        <v>0.47190000000000498</v>
      </c>
      <c r="AD467">
        <v>-7.8030999999999906E-2</v>
      </c>
      <c r="AE467">
        <v>-6.0499999999990402E-2</v>
      </c>
      <c r="AF467">
        <v>5.7738283374209998E-2</v>
      </c>
      <c r="AG467">
        <v>-7.8030999999999906E-2</v>
      </c>
      <c r="AH467">
        <v>0.45968771798650199</v>
      </c>
      <c r="AI467">
        <v>99.560288394364406</v>
      </c>
      <c r="AJ467">
        <v>82.840952777880204</v>
      </c>
      <c r="AK467">
        <v>0.469824801809822</v>
      </c>
      <c r="AL467">
        <v>86.199036570128797</v>
      </c>
      <c r="AM467">
        <v>89.877591465118201</v>
      </c>
      <c r="AN467">
        <v>1.00000002344776</v>
      </c>
    </row>
    <row r="468" spans="1:40" x14ac:dyDescent="0.3">
      <c r="A468" t="str">
        <f>"20200111150732425"</f>
        <v>20200111150732425</v>
      </c>
      <c r="B468" t="str">
        <f>"1578726452421473"</f>
        <v>1578726452421473</v>
      </c>
      <c r="C468" t="s">
        <v>40</v>
      </c>
      <c r="D468">
        <v>5.2003709999999996</v>
      </c>
      <c r="E468">
        <v>0.52832009999999996</v>
      </c>
      <c r="F468" t="s">
        <v>41</v>
      </c>
      <c r="G468">
        <v>-260.49790000000002</v>
      </c>
      <c r="H468">
        <v>1.0162709999999999</v>
      </c>
      <c r="I468">
        <v>367.29770000000002</v>
      </c>
      <c r="J468">
        <v>-261.09350000000001</v>
      </c>
      <c r="K468">
        <v>1.1084969999999901</v>
      </c>
      <c r="L468">
        <v>367.37259999999998</v>
      </c>
      <c r="M468">
        <v>0.99990860000000004</v>
      </c>
      <c r="N468">
        <v>0</v>
      </c>
      <c r="O468">
        <v>-2.7884960000000001E-3</v>
      </c>
      <c r="P468">
        <v>0.99856500000000004</v>
      </c>
      <c r="Q468">
        <v>5.3353209999999998E-2</v>
      </c>
      <c r="R468">
        <v>-4.6633029999999997E-3</v>
      </c>
      <c r="S468">
        <v>3.0191650000000001</v>
      </c>
      <c r="T468">
        <v>-0.30130390000000001</v>
      </c>
      <c r="U468">
        <v>-0.2475281</v>
      </c>
      <c r="V468">
        <v>1.9631039999999998E-3</v>
      </c>
      <c r="W468">
        <v>6.6567580000000001E-2</v>
      </c>
      <c r="X468">
        <v>0.99778</v>
      </c>
      <c r="Y468">
        <v>7.8557890000000005E-2</v>
      </c>
      <c r="Z468">
        <v>-3.6265630000000002E-3</v>
      </c>
      <c r="AA468">
        <v>0.99690290000000004</v>
      </c>
      <c r="AB468">
        <v>51</v>
      </c>
      <c r="AC468">
        <v>0.59559999999999003</v>
      </c>
      <c r="AD468">
        <v>-9.2225999999999905E-2</v>
      </c>
      <c r="AE468">
        <v>-7.4899999999956807E-2</v>
      </c>
      <c r="AF468">
        <v>7.1549881977937393E-2</v>
      </c>
      <c r="AG468">
        <v>-9.2225999999999905E-2</v>
      </c>
      <c r="AH468">
        <v>0.58206752193759903</v>
      </c>
      <c r="AI468">
        <v>98.937243929159393</v>
      </c>
      <c r="AJ468">
        <v>82.992147563760398</v>
      </c>
      <c r="AK468">
        <v>0.59365614692482904</v>
      </c>
      <c r="AL468">
        <v>86.183136205540904</v>
      </c>
      <c r="AM468">
        <v>89.887272315726804</v>
      </c>
      <c r="AN468">
        <v>1.00000001244218</v>
      </c>
    </row>
    <row r="469" spans="1:40" x14ac:dyDescent="0.3">
      <c r="A469" t="str">
        <f>"20200111150732439"</f>
        <v>20200111150732439</v>
      </c>
      <c r="B469" t="str">
        <f>"1578726452431232"</f>
        <v>1578726452431232</v>
      </c>
      <c r="C469" t="s">
        <v>40</v>
      </c>
      <c r="D469">
        <v>5.2632300000000001</v>
      </c>
      <c r="E469">
        <v>0.52867569999999997</v>
      </c>
      <c r="F469" t="s">
        <v>41</v>
      </c>
      <c r="G469">
        <v>-260.04559999999998</v>
      </c>
      <c r="H469">
        <v>1.0023470000000001</v>
      </c>
      <c r="I469">
        <v>367.28570000000002</v>
      </c>
      <c r="J469">
        <v>-260.75630000000001</v>
      </c>
      <c r="K469">
        <v>1.108528</v>
      </c>
      <c r="L469">
        <v>367.37150000000003</v>
      </c>
      <c r="M469">
        <v>0.99990749999999995</v>
      </c>
      <c r="N469">
        <v>0</v>
      </c>
      <c r="O469">
        <v>-3.0219779999999998E-3</v>
      </c>
      <c r="P469">
        <v>0.99856060000000002</v>
      </c>
      <c r="Q469">
        <v>5.3454019999999998E-2</v>
      </c>
      <c r="R469">
        <v>-4.4372839999999997E-3</v>
      </c>
      <c r="S469">
        <v>3.019501</v>
      </c>
      <c r="T469">
        <v>-0.30606090000000002</v>
      </c>
      <c r="U469">
        <v>-0.24966430000000001</v>
      </c>
      <c r="V469">
        <v>1.5036730000000001E-3</v>
      </c>
      <c r="W469">
        <v>6.6701750000000004E-2</v>
      </c>
      <c r="X469">
        <v>0.99777179999999999</v>
      </c>
      <c r="Y469">
        <v>7.9003770000000001E-2</v>
      </c>
      <c r="Z469">
        <v>-3.6819550000000002E-3</v>
      </c>
      <c r="AA469">
        <v>0.99686750000000002</v>
      </c>
      <c r="AB469">
        <v>51</v>
      </c>
      <c r="AC469">
        <v>0.71070000000003097</v>
      </c>
      <c r="AD469">
        <v>-0.106181</v>
      </c>
      <c r="AE469">
        <v>-8.5800000000006094E-2</v>
      </c>
      <c r="AF469">
        <v>8.1850920189029494E-2</v>
      </c>
      <c r="AG469">
        <v>-0.106181</v>
      </c>
      <c r="AH469">
        <v>0.69565123348366797</v>
      </c>
      <c r="AI469">
        <v>98.6198230869594</v>
      </c>
      <c r="AJ469">
        <v>83.289383418483297</v>
      </c>
      <c r="AK469">
        <v>0.70845226835979502</v>
      </c>
      <c r="AL469">
        <v>86.175431562552902</v>
      </c>
      <c r="AM469">
        <v>89.913653551398099</v>
      </c>
      <c r="AN469">
        <v>0.99999997468039603</v>
      </c>
    </row>
    <row r="470" spans="1:40" x14ac:dyDescent="0.3">
      <c r="A470" t="str">
        <f>"20200111150732452"</f>
        <v>20200111150732452</v>
      </c>
      <c r="B470" t="str">
        <f>"1578726452441970"</f>
        <v>1578726452441970</v>
      </c>
      <c r="C470" t="s">
        <v>40</v>
      </c>
      <c r="D470">
        <v>5.2599549999999997</v>
      </c>
      <c r="E470">
        <v>0.52894909999999995</v>
      </c>
      <c r="F470" t="s">
        <v>41</v>
      </c>
      <c r="G470">
        <v>-260.02820000000003</v>
      </c>
      <c r="H470">
        <v>1.0375190000000001</v>
      </c>
      <c r="I470">
        <v>367.31060000000002</v>
      </c>
      <c r="J470">
        <v>-260.45359999999999</v>
      </c>
      <c r="K470">
        <v>1.108549</v>
      </c>
      <c r="L470">
        <v>367.37040000000002</v>
      </c>
      <c r="M470">
        <v>0.99990650000000003</v>
      </c>
      <c r="N470">
        <v>0</v>
      </c>
      <c r="O470">
        <v>-3.2320669999999999E-3</v>
      </c>
      <c r="P470">
        <v>0.99856230000000001</v>
      </c>
      <c r="Q470">
        <v>5.3423310000000002E-2</v>
      </c>
      <c r="R470">
        <v>-4.4186640000000001E-3</v>
      </c>
      <c r="S470">
        <v>3.0189819999999998</v>
      </c>
      <c r="T470">
        <v>-0.29468369999999999</v>
      </c>
      <c r="U470">
        <v>-0.25137330000000002</v>
      </c>
      <c r="V470">
        <v>1.2750369999999999E-3</v>
      </c>
      <c r="W470">
        <v>6.6700309999999999E-2</v>
      </c>
      <c r="X470">
        <v>0.9977722</v>
      </c>
      <c r="Y470">
        <v>7.9396019999999998E-2</v>
      </c>
      <c r="Z470">
        <v>-3.5449069999999999E-3</v>
      </c>
      <c r="AA470">
        <v>0.99683679999999997</v>
      </c>
      <c r="AB470">
        <v>51</v>
      </c>
      <c r="AC470">
        <v>0.42539999999996703</v>
      </c>
      <c r="AD470">
        <v>-7.1029999999999899E-2</v>
      </c>
      <c r="AE470">
        <v>-5.97999999999956E-2</v>
      </c>
      <c r="AF470">
        <v>5.6869852578424501E-2</v>
      </c>
      <c r="AG470">
        <v>-7.1029999999999899E-2</v>
      </c>
      <c r="AH470">
        <v>0.41426527415750902</v>
      </c>
      <c r="AI470">
        <v>99.640641183095497</v>
      </c>
      <c r="AJ470">
        <v>82.183360773323002</v>
      </c>
      <c r="AK470">
        <v>0.42414049371061902</v>
      </c>
      <c r="AL470">
        <v>86.1755141967177</v>
      </c>
      <c r="AM470">
        <v>89.926782687413393</v>
      </c>
      <c r="AN470">
        <v>0.99999996008314196</v>
      </c>
    </row>
    <row r="471" spans="1:40" x14ac:dyDescent="0.3">
      <c r="A471" t="str">
        <f>"20200111150732482"</f>
        <v>20200111150732482</v>
      </c>
      <c r="B471" t="str">
        <f>"1578726452471250"</f>
        <v>1578726452471250</v>
      </c>
      <c r="C471" t="s">
        <v>40</v>
      </c>
      <c r="D471">
        <v>5.330012</v>
      </c>
      <c r="E471">
        <v>0.52929090000000001</v>
      </c>
      <c r="F471" t="s">
        <v>41</v>
      </c>
      <c r="G471">
        <v>-259.57650000000001</v>
      </c>
      <c r="H471">
        <v>1.0228469999999901</v>
      </c>
      <c r="I471">
        <v>367.29640000000001</v>
      </c>
      <c r="J471">
        <v>-259.77569999999997</v>
      </c>
      <c r="K471">
        <v>1.1085929999999999</v>
      </c>
      <c r="L471">
        <v>367.36779999999999</v>
      </c>
      <c r="M471">
        <v>0.99990389999999996</v>
      </c>
      <c r="N471">
        <v>0</v>
      </c>
      <c r="O471">
        <v>-3.699482E-3</v>
      </c>
      <c r="P471">
        <v>0.99861480000000002</v>
      </c>
      <c r="Q471">
        <v>5.2431650000000003E-2</v>
      </c>
      <c r="R471">
        <v>-4.4220279999999997E-3</v>
      </c>
      <c r="S471">
        <v>3.0189819999999998</v>
      </c>
      <c r="T471">
        <v>-0.29519959999999901</v>
      </c>
      <c r="U471">
        <v>-0.2538147</v>
      </c>
      <c r="V471">
        <v>8.0922160000000004E-4</v>
      </c>
      <c r="W471">
        <v>6.5775379999999994E-2</v>
      </c>
      <c r="X471">
        <v>0.99783409999999995</v>
      </c>
      <c r="Y471">
        <v>7.9729960000000002E-2</v>
      </c>
      <c r="Z471">
        <v>-3.5217069999999998E-3</v>
      </c>
      <c r="AA471">
        <v>0.99681030000000004</v>
      </c>
      <c r="AB471">
        <v>51</v>
      </c>
      <c r="AC471">
        <v>0.19919999999996199</v>
      </c>
      <c r="AD471">
        <v>-8.57460000000001E-2</v>
      </c>
      <c r="AE471">
        <v>-7.1399999999982797E-2</v>
      </c>
      <c r="AF471">
        <v>6.0696507611487503E-2</v>
      </c>
      <c r="AG471">
        <v>-8.57460000000001E-2</v>
      </c>
      <c r="AH471">
        <v>0.171331244423642</v>
      </c>
      <c r="AI471">
        <v>115.255190655343</v>
      </c>
      <c r="AJ471">
        <v>70.492591764762906</v>
      </c>
      <c r="AK471">
        <v>0.20097471947482601</v>
      </c>
      <c r="AL471">
        <v>86.228625475548498</v>
      </c>
      <c r="AM471">
        <v>89.953534387924407</v>
      </c>
      <c r="AN471">
        <v>0.99999997328827495</v>
      </c>
    </row>
    <row r="472" spans="1:40" x14ac:dyDescent="0.3">
      <c r="A472" t="str">
        <f>"20200111150732495"</f>
        <v>20200111150732495</v>
      </c>
      <c r="B472" t="str">
        <f>"1578726452491745"</f>
        <v>1578726452491745</v>
      </c>
      <c r="C472" t="s">
        <v>40</v>
      </c>
      <c r="D472">
        <v>5.2844720000000001</v>
      </c>
      <c r="E472">
        <v>0.53917009999999999</v>
      </c>
      <c r="F472" t="s">
        <v>41</v>
      </c>
      <c r="G472">
        <v>-258.6696</v>
      </c>
      <c r="H472">
        <v>1.0014419999999999</v>
      </c>
      <c r="I472">
        <v>367.27370000000002</v>
      </c>
      <c r="J472">
        <v>-259.46390000000002</v>
      </c>
      <c r="K472">
        <v>1.108611</v>
      </c>
      <c r="L472">
        <v>367.36649999999997</v>
      </c>
      <c r="M472">
        <v>0.99990270000000003</v>
      </c>
      <c r="N472">
        <v>0</v>
      </c>
      <c r="O472">
        <v>-3.913372E-3</v>
      </c>
      <c r="P472">
        <v>0.9986254</v>
      </c>
      <c r="Q472">
        <v>5.2219139999999997E-2</v>
      </c>
      <c r="R472">
        <v>-4.5586120000000001E-3</v>
      </c>
      <c r="S472">
        <v>3.0183409999999999</v>
      </c>
      <c r="T472">
        <v>-0.2924794</v>
      </c>
      <c r="U472">
        <v>-0.25646970000000002</v>
      </c>
      <c r="V472">
        <v>7.3136399999999997E-4</v>
      </c>
      <c r="W472">
        <v>6.5592200000000003E-2</v>
      </c>
      <c r="X472">
        <v>0.99784620000000002</v>
      </c>
      <c r="Y472">
        <v>8.0409309999999998E-2</v>
      </c>
      <c r="Z472">
        <v>-3.5021509999999998E-3</v>
      </c>
      <c r="AA472">
        <v>0.99675579999999997</v>
      </c>
      <c r="AB472">
        <v>51</v>
      </c>
      <c r="AC472">
        <v>0.79430000000002099</v>
      </c>
      <c r="AD472">
        <v>-0.107169</v>
      </c>
      <c r="AE472">
        <v>-9.2799999999954197E-2</v>
      </c>
      <c r="AF472">
        <v>8.8108285680666906E-2</v>
      </c>
      <c r="AG472">
        <v>-0.107169</v>
      </c>
      <c r="AH472">
        <v>0.78063766630051601</v>
      </c>
      <c r="AI472">
        <v>97.768210435280906</v>
      </c>
      <c r="AJ472">
        <v>83.560445442086703</v>
      </c>
      <c r="AK472">
        <v>0.79287037440788599</v>
      </c>
      <c r="AL472">
        <v>86.239143562783596</v>
      </c>
      <c r="AM472">
        <v>89.958005489238602</v>
      </c>
      <c r="AN472">
        <v>0.99999995522428897</v>
      </c>
    </row>
    <row r="473" spans="1:40" x14ac:dyDescent="0.3">
      <c r="A473" t="str">
        <f>"20200111150732508"</f>
        <v>20200111150732508</v>
      </c>
      <c r="B473" t="str">
        <f>"1578726452501505"</f>
        <v>1578726452501505</v>
      </c>
      <c r="C473" t="s">
        <v>40</v>
      </c>
      <c r="D473">
        <v>5.2354289999999999</v>
      </c>
      <c r="E473">
        <v>0.5497898</v>
      </c>
      <c r="F473" t="s">
        <v>42</v>
      </c>
      <c r="G473">
        <v>-168.84350000000001</v>
      </c>
      <c r="H473">
        <v>10.06108</v>
      </c>
      <c r="I473">
        <v>357.56799999999998</v>
      </c>
      <c r="J473">
        <v>-259.20089999999999</v>
      </c>
      <c r="K473">
        <v>1.1086259999999999</v>
      </c>
      <c r="L473">
        <v>367.36540000000002</v>
      </c>
      <c r="M473">
        <v>0.99990159999999995</v>
      </c>
      <c r="N473">
        <v>0</v>
      </c>
      <c r="O473">
        <v>-4.0927849999999998E-3</v>
      </c>
      <c r="P473">
        <v>0.9986334</v>
      </c>
      <c r="Q473">
        <v>5.2056110000000003E-2</v>
      </c>
      <c r="R473">
        <v>-4.6312189999999998E-3</v>
      </c>
      <c r="S473">
        <v>2.9872130000000001</v>
      </c>
      <c r="T473">
        <v>0.29511199999999999</v>
      </c>
      <c r="U473">
        <v>-0.32299800000000001</v>
      </c>
      <c r="V473">
        <v>6.2418119999999998E-4</v>
      </c>
      <c r="W473">
        <v>6.5454209999999999E-2</v>
      </c>
      <c r="X473">
        <v>0.99785539999999995</v>
      </c>
      <c r="Y473">
        <v>0.1029543</v>
      </c>
      <c r="Z473">
        <v>4.6563330000000003E-3</v>
      </c>
      <c r="AA473">
        <v>0.99467519999999998</v>
      </c>
      <c r="AB473">
        <v>51</v>
      </c>
      <c r="AC473">
        <v>90.357399999999899</v>
      </c>
      <c r="AD473">
        <v>8.9524539999999995</v>
      </c>
      <c r="AE473">
        <v>-9.7973999999999801</v>
      </c>
      <c r="AF473">
        <v>9.33688078134346</v>
      </c>
      <c r="AG473">
        <v>8.9524539999999995</v>
      </c>
      <c r="AH473">
        <v>89.528105095359095</v>
      </c>
      <c r="AI473">
        <v>84.320233870682799</v>
      </c>
      <c r="AJ473">
        <v>84.046149763357505</v>
      </c>
      <c r="AK473">
        <v>90.457754655489794</v>
      </c>
      <c r="AL473">
        <v>86.247067082687593</v>
      </c>
      <c r="AM473">
        <v>89.964160194205505</v>
      </c>
      <c r="AN473">
        <v>1.0000000212590201</v>
      </c>
    </row>
    <row r="474" spans="1:40" x14ac:dyDescent="0.3">
      <c r="A474" t="str">
        <f>"20200111150732520"</f>
        <v>20200111150732520</v>
      </c>
      <c r="B474" t="str">
        <f>"1578726452511265"</f>
        <v>1578726452511265</v>
      </c>
      <c r="C474" t="s">
        <v>40</v>
      </c>
      <c r="D474">
        <v>5.180402</v>
      </c>
      <c r="E474">
        <v>0.54975869999999905</v>
      </c>
      <c r="F474" t="s">
        <v>41</v>
      </c>
      <c r="G474">
        <v>-258.19760000000002</v>
      </c>
      <c r="H474">
        <v>1.027882</v>
      </c>
      <c r="I474">
        <v>367.22539999999998</v>
      </c>
      <c r="J474">
        <v>-258.90359999999998</v>
      </c>
      <c r="K474">
        <v>1.108643</v>
      </c>
      <c r="L474">
        <v>367.36399999999998</v>
      </c>
      <c r="M474">
        <v>0.99990029999999996</v>
      </c>
      <c r="N474">
        <v>0</v>
      </c>
      <c r="O474">
        <v>-4.2949829999999996E-3</v>
      </c>
      <c r="P474">
        <v>0.99862770000000001</v>
      </c>
      <c r="Q474">
        <v>5.2154880000000001E-2</v>
      </c>
      <c r="R474">
        <v>-4.7549860000000001E-3</v>
      </c>
      <c r="S474">
        <v>3.0148009999999998</v>
      </c>
      <c r="T474">
        <v>-0.24285950000000001</v>
      </c>
      <c r="U474">
        <v>-0.41958620000000002</v>
      </c>
      <c r="V474">
        <v>5.4562689999999999E-4</v>
      </c>
      <c r="W474">
        <v>6.5581249999999994E-2</v>
      </c>
      <c r="X474">
        <v>0.99784709999999999</v>
      </c>
      <c r="Y474">
        <v>0.13318160000000001</v>
      </c>
      <c r="Z474">
        <v>-4.986252E-3</v>
      </c>
      <c r="AA474">
        <v>0.99107909999999999</v>
      </c>
      <c r="AB474">
        <v>51</v>
      </c>
      <c r="AC474">
        <v>0.70599999999995999</v>
      </c>
      <c r="AD474">
        <v>-8.0760999999999999E-2</v>
      </c>
      <c r="AE474">
        <v>-0.13860000000005299</v>
      </c>
      <c r="AF474">
        <v>0.13387930971675299</v>
      </c>
      <c r="AG474">
        <v>-8.0760999999999999E-2</v>
      </c>
      <c r="AH474">
        <v>0.69779658850180704</v>
      </c>
      <c r="AI474">
        <v>96.484640812764098</v>
      </c>
      <c r="AJ474">
        <v>79.139206626992106</v>
      </c>
      <c r="AK474">
        <v>0.71509865586224797</v>
      </c>
      <c r="AL474">
        <v>86.239772536175096</v>
      </c>
      <c r="AM474">
        <v>89.968670435136701</v>
      </c>
      <c r="AN474">
        <v>1.0000000165193399</v>
      </c>
    </row>
    <row r="475" spans="1:40" x14ac:dyDescent="0.3">
      <c r="A475" t="str">
        <f>"20200111150732531"</f>
        <v>20200111150732531</v>
      </c>
      <c r="B475" t="str">
        <f>"1578726452521025"</f>
        <v>1578726452521025</v>
      </c>
      <c r="C475" t="s">
        <v>40</v>
      </c>
      <c r="D475">
        <v>5.1660450000000004</v>
      </c>
      <c r="E475">
        <v>0.55024989999999996</v>
      </c>
      <c r="F475" t="s">
        <v>41</v>
      </c>
      <c r="G475">
        <v>-257.74759999999998</v>
      </c>
      <c r="H475">
        <v>1.0101150000000001</v>
      </c>
      <c r="I475">
        <v>367.20299999999997</v>
      </c>
      <c r="J475">
        <v>-258.62180000000001</v>
      </c>
      <c r="K475">
        <v>1.10866</v>
      </c>
      <c r="L475">
        <v>367.36270000000002</v>
      </c>
      <c r="M475">
        <v>0.99989910000000004</v>
      </c>
      <c r="N475">
        <v>0</v>
      </c>
      <c r="O475">
        <v>-4.4828810000000002E-3</v>
      </c>
      <c r="P475">
        <v>0.99861310000000003</v>
      </c>
      <c r="Q475">
        <v>5.2418689999999997E-2</v>
      </c>
      <c r="R475">
        <v>-4.9406270000000004E-3</v>
      </c>
      <c r="S475">
        <v>3.015549</v>
      </c>
      <c r="T475">
        <v>-0.25706669999999998</v>
      </c>
      <c r="U475">
        <v>-0.4199524</v>
      </c>
      <c r="V475">
        <v>5.4345130000000002E-4</v>
      </c>
      <c r="W475">
        <v>6.5875310000000006E-2</v>
      </c>
      <c r="X475">
        <v>0.99782769999999998</v>
      </c>
      <c r="Y475">
        <v>0.13303209999999999</v>
      </c>
      <c r="Z475">
        <v>-5.2533609999999998E-3</v>
      </c>
      <c r="AA475">
        <v>0.99109780000000003</v>
      </c>
      <c r="AB475">
        <v>51</v>
      </c>
      <c r="AC475">
        <v>0.87420000000002995</v>
      </c>
      <c r="AD475">
        <v>-9.8545000000000105E-2</v>
      </c>
      <c r="AE475">
        <v>-0.15969999999998599</v>
      </c>
      <c r="AF475">
        <v>0.15388679537203101</v>
      </c>
      <c r="AG475">
        <v>-9.8545000000000105E-2</v>
      </c>
      <c r="AH475">
        <v>0.86427935951035495</v>
      </c>
      <c r="AI475">
        <v>96.404887804064998</v>
      </c>
      <c r="AJ475">
        <v>79.904164161974194</v>
      </c>
      <c r="AK475">
        <v>0.88338614098847201</v>
      </c>
      <c r="AL475">
        <v>86.222887508929105</v>
      </c>
      <c r="AM475">
        <v>89.968794750053306</v>
      </c>
      <c r="AN475">
        <v>0.9999999853471</v>
      </c>
    </row>
    <row r="476" spans="1:40" x14ac:dyDescent="0.3">
      <c r="A476" t="str">
        <f>"20200111150732545"</f>
        <v>20200111150732545</v>
      </c>
      <c r="B476" t="str">
        <f>"1578726452541521"</f>
        <v>1578726452541521</v>
      </c>
      <c r="C476" t="s">
        <v>40</v>
      </c>
      <c r="D476">
        <v>5.2046979999999996</v>
      </c>
      <c r="E476">
        <v>0.55073329999999998</v>
      </c>
      <c r="F476" t="s">
        <v>41</v>
      </c>
      <c r="G476">
        <v>-257.73750000000001</v>
      </c>
      <c r="H476">
        <v>1.0320009999999999</v>
      </c>
      <c r="I476">
        <v>367.23820000000001</v>
      </c>
      <c r="J476">
        <v>-258.3408</v>
      </c>
      <c r="K476">
        <v>1.1086750000000001</v>
      </c>
      <c r="L476">
        <v>367.36130000000003</v>
      </c>
      <c r="M476">
        <v>0.99989790000000001</v>
      </c>
      <c r="N476">
        <v>0</v>
      </c>
      <c r="O476">
        <v>-4.6680360000000004E-3</v>
      </c>
      <c r="P476">
        <v>0.99859319999999896</v>
      </c>
      <c r="Q476">
        <v>5.2758300000000001E-2</v>
      </c>
      <c r="R476">
        <v>-5.3415069999999997E-3</v>
      </c>
      <c r="S476">
        <v>3.0157929999999999</v>
      </c>
      <c r="T476">
        <v>-0.2614899</v>
      </c>
      <c r="U476">
        <v>-0.4245911</v>
      </c>
      <c r="V476">
        <v>7.5936860000000005E-4</v>
      </c>
      <c r="W476">
        <v>6.6244990000000004E-2</v>
      </c>
      <c r="X476">
        <v>0.99780310000000005</v>
      </c>
      <c r="Y476">
        <v>0.13431299999999999</v>
      </c>
      <c r="Z476">
        <v>-5.3816380000000002E-3</v>
      </c>
      <c r="AA476">
        <v>0.99092440000000004</v>
      </c>
      <c r="AB476">
        <v>51</v>
      </c>
      <c r="AC476">
        <v>0.60329999999998996</v>
      </c>
      <c r="AD476">
        <v>-7.6674000000000103E-2</v>
      </c>
      <c r="AE476">
        <v>-0.123100000000022</v>
      </c>
      <c r="AF476">
        <v>0.118445497866944</v>
      </c>
      <c r="AG476">
        <v>-7.6674000000000103E-2</v>
      </c>
      <c r="AH476">
        <v>0.59464720353835299</v>
      </c>
      <c r="AI476">
        <v>97.207148552450604</v>
      </c>
      <c r="AJ476">
        <v>78.734910237782501</v>
      </c>
      <c r="AK476">
        <v>0.61115753690593699</v>
      </c>
      <c r="AL476">
        <v>86.201660095328506</v>
      </c>
      <c r="AM476">
        <v>89.956395598014296</v>
      </c>
      <c r="AN476">
        <v>1.0000000008551899</v>
      </c>
    </row>
    <row r="477" spans="1:40" x14ac:dyDescent="0.3">
      <c r="A477" t="str">
        <f>"20200111150732560"</f>
        <v>20200111150732560</v>
      </c>
      <c r="B477" t="str">
        <f>"1578726452551281"</f>
        <v>1578726452551281</v>
      </c>
      <c r="C477" t="s">
        <v>40</v>
      </c>
      <c r="D477">
        <v>5.2140769999999996</v>
      </c>
      <c r="E477">
        <v>0.5511009</v>
      </c>
      <c r="F477" t="s">
        <v>41</v>
      </c>
      <c r="G477">
        <v>-257.28579999999999</v>
      </c>
      <c r="H477">
        <v>1.018173</v>
      </c>
      <c r="I477">
        <v>367.21080000000001</v>
      </c>
      <c r="J477">
        <v>-257.98349999999999</v>
      </c>
      <c r="K477">
        <v>1.1086959999999999</v>
      </c>
      <c r="L477">
        <v>367.35950000000003</v>
      </c>
      <c r="M477">
        <v>0.99989629999999996</v>
      </c>
      <c r="N477">
        <v>0</v>
      </c>
      <c r="O477">
        <v>-4.8995979999999998E-3</v>
      </c>
      <c r="P477">
        <v>0.99856990000000001</v>
      </c>
      <c r="Q477">
        <v>5.314286E-2</v>
      </c>
      <c r="R477">
        <v>-5.8700280000000002E-3</v>
      </c>
      <c r="S477">
        <v>3.0156100000000001</v>
      </c>
      <c r="T477">
        <v>-0.2588589</v>
      </c>
      <c r="U477">
        <v>-0.42971799999999999</v>
      </c>
      <c r="V477">
        <v>1.0560400000000001E-3</v>
      </c>
      <c r="W477">
        <v>6.6668939999999996E-2</v>
      </c>
      <c r="X477">
        <v>0.99777459999999996</v>
      </c>
      <c r="Y477">
        <v>0.13574849999999999</v>
      </c>
      <c r="Z477">
        <v>-5.3688310000000001E-3</v>
      </c>
      <c r="AA477">
        <v>0.99072879999999997</v>
      </c>
      <c r="AB477">
        <v>51</v>
      </c>
      <c r="AC477">
        <v>0.69769999999999699</v>
      </c>
      <c r="AD477">
        <v>-9.0522999999999895E-2</v>
      </c>
      <c r="AE477">
        <v>-0.14870000000001901</v>
      </c>
      <c r="AF477">
        <v>0.14297718972419701</v>
      </c>
      <c r="AG477">
        <v>-9.0522999999999895E-2</v>
      </c>
      <c r="AH477">
        <v>0.68735230562430505</v>
      </c>
      <c r="AI477">
        <v>97.347075649998303</v>
      </c>
      <c r="AJ477">
        <v>78.249384405084697</v>
      </c>
      <c r="AK477">
        <v>0.70787716615065099</v>
      </c>
      <c r="AL477">
        <v>86.177315756961505</v>
      </c>
      <c r="AM477">
        <v>89.939358435859305</v>
      </c>
      <c r="AN477">
        <v>1.0000000075931801</v>
      </c>
    </row>
    <row r="478" spans="1:40" x14ac:dyDescent="0.3">
      <c r="A478" t="str">
        <f>"20200111150732571"</f>
        <v>20200111150732571</v>
      </c>
      <c r="B478" t="str">
        <f>"1578726452561042"</f>
        <v>1578726452561042</v>
      </c>
      <c r="C478" t="s">
        <v>40</v>
      </c>
      <c r="D478">
        <v>5.2168219999999996</v>
      </c>
      <c r="E478">
        <v>0.55162169999999999</v>
      </c>
      <c r="F478" t="s">
        <v>41</v>
      </c>
      <c r="G478">
        <v>-256.83120000000002</v>
      </c>
      <c r="H478">
        <v>1.0106059999999999</v>
      </c>
      <c r="I478">
        <v>367.1936</v>
      </c>
      <c r="J478">
        <v>-257.70420000000001</v>
      </c>
      <c r="K478">
        <v>1.1087119999999999</v>
      </c>
      <c r="L478">
        <v>367.358</v>
      </c>
      <c r="M478">
        <v>0.99989490000000003</v>
      </c>
      <c r="N478">
        <v>0</v>
      </c>
      <c r="O478">
        <v>-5.0755569999999996E-3</v>
      </c>
      <c r="P478">
        <v>0.99854909999999997</v>
      </c>
      <c r="Q478">
        <v>5.3466710000000001E-2</v>
      </c>
      <c r="R478">
        <v>-6.4345890000000001E-3</v>
      </c>
      <c r="S478">
        <v>3.0153810000000001</v>
      </c>
      <c r="T478">
        <v>-0.25669059999999999</v>
      </c>
      <c r="U478">
        <v>-0.43420409999999998</v>
      </c>
      <c r="V478">
        <v>1.444411E-3</v>
      </c>
      <c r="W478">
        <v>6.7024799999999995E-2</v>
      </c>
      <c r="X478">
        <v>0.99775029999999998</v>
      </c>
      <c r="Y478">
        <v>0.13703280000000001</v>
      </c>
      <c r="Z478">
        <v>-5.3632749999999998E-3</v>
      </c>
      <c r="AA478">
        <v>0.99055199999999999</v>
      </c>
      <c r="AB478">
        <v>51</v>
      </c>
      <c r="AC478">
        <v>0.87299999999999001</v>
      </c>
      <c r="AD478">
        <v>-9.8106000000000207E-2</v>
      </c>
      <c r="AE478">
        <v>-0.16439999999999999</v>
      </c>
      <c r="AF478">
        <v>0.15803902089029001</v>
      </c>
      <c r="AG478">
        <v>-9.8106000000000207E-2</v>
      </c>
      <c r="AH478">
        <v>0.86329425636516299</v>
      </c>
      <c r="AI478">
        <v>96.3782598929009</v>
      </c>
      <c r="AJ478">
        <v>79.626013598978801</v>
      </c>
      <c r="AK478">
        <v>0.88310706736671496</v>
      </c>
      <c r="AL478">
        <v>86.156880880852</v>
      </c>
      <c r="AM478">
        <v>89.917054801818907</v>
      </c>
      <c r="AN478">
        <v>1.0000000356441301</v>
      </c>
    </row>
    <row r="479" spans="1:40" x14ac:dyDescent="0.3">
      <c r="A479" t="str">
        <f>"20200111150732585"</f>
        <v>20200111150732585</v>
      </c>
      <c r="B479" t="str">
        <f>"1578726452581538"</f>
        <v>1578726452581538</v>
      </c>
      <c r="C479" t="s">
        <v>40</v>
      </c>
      <c r="D479">
        <v>5.2342879999999896</v>
      </c>
      <c r="E479">
        <v>0.55241779999999996</v>
      </c>
      <c r="F479" t="s">
        <v>41</v>
      </c>
      <c r="G479">
        <v>-256.82100000000003</v>
      </c>
      <c r="H479">
        <v>1.0327850000000001</v>
      </c>
      <c r="I479">
        <v>367.22919999999999</v>
      </c>
      <c r="J479">
        <v>-257.43369999999999</v>
      </c>
      <c r="K479">
        <v>1.1087290000000001</v>
      </c>
      <c r="L479">
        <v>367.35649999999998</v>
      </c>
      <c r="M479">
        <v>0.9998937</v>
      </c>
      <c r="N479">
        <v>0</v>
      </c>
      <c r="O479">
        <v>-5.2442319999999997E-3</v>
      </c>
      <c r="P479">
        <v>0.99855989999999994</v>
      </c>
      <c r="Q479">
        <v>5.3231680000000003E-2</v>
      </c>
      <c r="R479">
        <v>-6.7010899999999998E-3</v>
      </c>
      <c r="S479">
        <v>3.0154420000000002</v>
      </c>
      <c r="T479">
        <v>-0.2592411</v>
      </c>
      <c r="U479">
        <v>-0.4398804</v>
      </c>
      <c r="V479">
        <v>1.54136299999999E-3</v>
      </c>
      <c r="W479">
        <v>6.6821160000000004E-2</v>
      </c>
      <c r="X479">
        <v>0.99776379999999998</v>
      </c>
      <c r="Y479">
        <v>0.13867449999999901</v>
      </c>
      <c r="Z479">
        <v>-5.4712169999999996E-3</v>
      </c>
      <c r="AA479">
        <v>0.99032290000000001</v>
      </c>
      <c r="AB479">
        <v>51</v>
      </c>
      <c r="AC479">
        <v>0.61270000000001801</v>
      </c>
      <c r="AD479">
        <v>-7.5943999999999998E-2</v>
      </c>
      <c r="AE479">
        <v>-0.127299999999991</v>
      </c>
      <c r="AF479">
        <v>0.122283842669052</v>
      </c>
      <c r="AG479">
        <v>-7.5943999999999998E-2</v>
      </c>
      <c r="AH479">
        <v>0.60445692390622896</v>
      </c>
      <c r="AI479">
        <v>97.020363872549396</v>
      </c>
      <c r="AJ479">
        <v>78.563210962489293</v>
      </c>
      <c r="AK479">
        <v>0.62136060558430195</v>
      </c>
      <c r="AL479">
        <v>86.168574756381901</v>
      </c>
      <c r="AM479">
        <v>89.9114885463419</v>
      </c>
      <c r="AN479">
        <v>1.00000002190704</v>
      </c>
    </row>
    <row r="480" spans="1:40" x14ac:dyDescent="0.3">
      <c r="A480" t="str">
        <f>"20200111150732597"</f>
        <v>20200111150732597</v>
      </c>
      <c r="B480" t="str">
        <f>"1578726452591299"</f>
        <v>1578726452591299</v>
      </c>
      <c r="C480" t="s">
        <v>40</v>
      </c>
      <c r="D480">
        <v>5.2408260000000002</v>
      </c>
      <c r="E480">
        <v>0.55273680000000003</v>
      </c>
      <c r="F480" t="s">
        <v>41</v>
      </c>
      <c r="G480">
        <v>-256.37119999999999</v>
      </c>
      <c r="H480">
        <v>1.0157149999999999</v>
      </c>
      <c r="I480">
        <v>367.1986</v>
      </c>
      <c r="J480">
        <v>-257.1336</v>
      </c>
      <c r="K480">
        <v>1.1087419999999999</v>
      </c>
      <c r="L480">
        <v>367.35489999999999</v>
      </c>
      <c r="M480">
        <v>0.99989209999999995</v>
      </c>
      <c r="N480">
        <v>0</v>
      </c>
      <c r="O480">
        <v>-5.4272110000000004E-3</v>
      </c>
      <c r="P480">
        <v>0.99855130000000003</v>
      </c>
      <c r="Q480">
        <v>5.3360530000000003E-2</v>
      </c>
      <c r="R480">
        <v>-6.9325560000000003E-3</v>
      </c>
      <c r="S480">
        <v>3.0154109999999998</v>
      </c>
      <c r="T480">
        <v>-0.2642447</v>
      </c>
      <c r="U480">
        <v>-0.44714359999999997</v>
      </c>
      <c r="V480">
        <v>1.5890450000000001E-3</v>
      </c>
      <c r="W480">
        <v>6.6983870000000001E-2</v>
      </c>
      <c r="X480">
        <v>0.9977528</v>
      </c>
      <c r="Y480">
        <v>0.1408035</v>
      </c>
      <c r="Z480">
        <v>-5.6521979999999998E-3</v>
      </c>
      <c r="AA480">
        <v>0.99002140000000005</v>
      </c>
      <c r="AB480">
        <v>51</v>
      </c>
      <c r="AC480">
        <v>0.76240000000001296</v>
      </c>
      <c r="AD480">
        <v>-9.3027000000000207E-2</v>
      </c>
      <c r="AE480">
        <v>-0.156299999999987</v>
      </c>
      <c r="AF480">
        <v>0.15001617104819501</v>
      </c>
      <c r="AG480">
        <v>-9.3027000000000207E-2</v>
      </c>
      <c r="AH480">
        <v>0.75248558593328896</v>
      </c>
      <c r="AI480">
        <v>96.912825509298401</v>
      </c>
      <c r="AJ480">
        <v>78.725283595177899</v>
      </c>
      <c r="AK480">
        <v>0.77291230507886599</v>
      </c>
      <c r="AL480">
        <v>86.159231168568397</v>
      </c>
      <c r="AM480">
        <v>89.908749446777804</v>
      </c>
      <c r="AN480">
        <v>1.00000000690601</v>
      </c>
    </row>
    <row r="481" spans="1:40" x14ac:dyDescent="0.3">
      <c r="A481" t="str">
        <f>"20200111150732609"</f>
        <v>20200111150732609</v>
      </c>
      <c r="B481" t="str">
        <f>"1578726452601057"</f>
        <v>1578726452601057</v>
      </c>
      <c r="C481" t="s">
        <v>40</v>
      </c>
      <c r="D481">
        <v>5.1917790000000004</v>
      </c>
      <c r="E481">
        <v>0.55309030000000003</v>
      </c>
      <c r="F481" t="s">
        <v>41</v>
      </c>
      <c r="G481">
        <v>-256.35809999999998</v>
      </c>
      <c r="H481">
        <v>1.041164</v>
      </c>
      <c r="I481">
        <v>367.23860000000002</v>
      </c>
      <c r="J481">
        <v>-256.85590000000002</v>
      </c>
      <c r="K481">
        <v>1.1087560000000001</v>
      </c>
      <c r="L481">
        <v>367.35320000000002</v>
      </c>
      <c r="M481">
        <v>0.99989079999999997</v>
      </c>
      <c r="N481">
        <v>0</v>
      </c>
      <c r="O481">
        <v>-5.5914509999999999E-3</v>
      </c>
      <c r="P481">
        <v>0.99854350000000003</v>
      </c>
      <c r="Q481">
        <v>5.3474649999999999E-2</v>
      </c>
      <c r="R481">
        <v>-7.173596E-3</v>
      </c>
      <c r="S481">
        <v>3.0152890000000001</v>
      </c>
      <c r="T481">
        <v>-0.26311000000000001</v>
      </c>
      <c r="U481">
        <v>-0.45059199999999999</v>
      </c>
      <c r="V481">
        <v>1.665124E-3</v>
      </c>
      <c r="W481">
        <v>6.712709E-2</v>
      </c>
      <c r="X481">
        <v>0.99774309999999999</v>
      </c>
      <c r="Y481">
        <v>0.14175579999999999</v>
      </c>
      <c r="Z481">
        <v>-5.6547910000000002E-3</v>
      </c>
      <c r="AA481">
        <v>0.98988549999999997</v>
      </c>
      <c r="AB481">
        <v>51</v>
      </c>
      <c r="AC481">
        <v>0.49780000000003999</v>
      </c>
      <c r="AD481">
        <v>-6.7591999999999805E-2</v>
      </c>
      <c r="AE481">
        <v>-0.114599999999995</v>
      </c>
      <c r="AF481">
        <v>0.109890486693972</v>
      </c>
      <c r="AG481">
        <v>-6.7591999999999805E-2</v>
      </c>
      <c r="AH481">
        <v>0.48985632222068498</v>
      </c>
      <c r="AI481">
        <v>97.668026384563504</v>
      </c>
      <c r="AJ481">
        <v>77.356046804713401</v>
      </c>
      <c r="AK481">
        <v>0.50656077024322999</v>
      </c>
      <c r="AL481">
        <v>86.151006946075697</v>
      </c>
      <c r="AM481">
        <v>89.904379705564807</v>
      </c>
      <c r="AN481">
        <v>1.0000000562236999</v>
      </c>
    </row>
    <row r="482" spans="1:40" x14ac:dyDescent="0.3">
      <c r="A482" t="str">
        <f>"20200111150732624"</f>
        <v>20200111150732624</v>
      </c>
      <c r="B482" t="str">
        <f>"1578726452621554"</f>
        <v>1578726452621554</v>
      </c>
      <c r="C482" t="s">
        <v>40</v>
      </c>
      <c r="D482">
        <v>5.2216829999999996</v>
      </c>
      <c r="E482">
        <v>0.55366070000000001</v>
      </c>
      <c r="F482" t="s">
        <v>41</v>
      </c>
      <c r="G482">
        <v>-255.9092</v>
      </c>
      <c r="H482">
        <v>1.0254829999999999</v>
      </c>
      <c r="I482">
        <v>367.2106</v>
      </c>
      <c r="J482">
        <v>-256.54689999999999</v>
      </c>
      <c r="K482">
        <v>1.108771</v>
      </c>
      <c r="L482">
        <v>367.35140000000001</v>
      </c>
      <c r="M482">
        <v>0.99988949999999999</v>
      </c>
      <c r="N482">
        <v>0</v>
      </c>
      <c r="O482">
        <v>-5.7713030000000002E-3</v>
      </c>
      <c r="P482">
        <v>0.99853599999999998</v>
      </c>
      <c r="Q482">
        <v>5.359299E-2</v>
      </c>
      <c r="R482">
        <v>-7.336268E-3</v>
      </c>
      <c r="S482">
        <v>3.01532</v>
      </c>
      <c r="T482">
        <v>-0.2651964</v>
      </c>
      <c r="U482">
        <v>-0.45416260000000003</v>
      </c>
      <c r="V482">
        <v>1.6472730000000001E-3</v>
      </c>
      <c r="W482">
        <v>6.7276489999999994E-2</v>
      </c>
      <c r="X482">
        <v>0.99773299999999998</v>
      </c>
      <c r="Y482">
        <v>0.1427117</v>
      </c>
      <c r="Z482">
        <v>-5.7249369999999898E-3</v>
      </c>
      <c r="AA482">
        <v>0.98974779999999996</v>
      </c>
      <c r="AB482">
        <v>51</v>
      </c>
      <c r="AC482">
        <v>0.63769999999999505</v>
      </c>
      <c r="AD482">
        <v>-8.3288000000000001E-2</v>
      </c>
      <c r="AE482">
        <v>-0.140800000000012</v>
      </c>
      <c r="AF482">
        <v>0.13492240561833199</v>
      </c>
      <c r="AG482">
        <v>-8.3288000000000001E-2</v>
      </c>
      <c r="AH482">
        <v>0.62828288889367501</v>
      </c>
      <c r="AI482">
        <v>97.384914086938593</v>
      </c>
      <c r="AJ482">
        <v>77.879928836614297</v>
      </c>
      <c r="AK482">
        <v>0.64798173967976802</v>
      </c>
      <c r="AL482">
        <v>86.142427304610095</v>
      </c>
      <c r="AM482">
        <v>89.905403845669099</v>
      </c>
      <c r="AN482">
        <v>0.99999998945202795</v>
      </c>
    </row>
    <row r="483" spans="1:40" x14ac:dyDescent="0.3">
      <c r="A483" t="str">
        <f>"20200111150732639"</f>
        <v>20200111150732639</v>
      </c>
      <c r="B483" t="str">
        <f>"1578726452631313"</f>
        <v>1578726452631313</v>
      </c>
      <c r="C483" t="s">
        <v>40</v>
      </c>
      <c r="D483">
        <v>5.2133949999999896</v>
      </c>
      <c r="E483">
        <v>0.55383079999999996</v>
      </c>
      <c r="F483" t="s">
        <v>41</v>
      </c>
      <c r="G483">
        <v>-255.4573</v>
      </c>
      <c r="H483">
        <v>1.013477</v>
      </c>
      <c r="I483">
        <v>367.18509999999998</v>
      </c>
      <c r="J483">
        <v>-256.1823</v>
      </c>
      <c r="K483">
        <v>1.1087910000000001</v>
      </c>
      <c r="L483">
        <v>367.3492</v>
      </c>
      <c r="M483">
        <v>0.99988779999999999</v>
      </c>
      <c r="N483">
        <v>0</v>
      </c>
      <c r="O483">
        <v>-5.97724E-3</v>
      </c>
      <c r="P483">
        <v>0.99853009999999998</v>
      </c>
      <c r="Q483">
        <v>5.366903E-2</v>
      </c>
      <c r="R483">
        <v>-7.5764939999999996E-3</v>
      </c>
      <c r="S483">
        <v>3.0151979999999998</v>
      </c>
      <c r="T483">
        <v>-0.26396449999999999</v>
      </c>
      <c r="U483">
        <v>-0.45904539999999999</v>
      </c>
      <c r="V483">
        <v>1.6804249999999999E-3</v>
      </c>
      <c r="W483">
        <v>6.7384479999999997E-2</v>
      </c>
      <c r="X483">
        <v>0.99772570000000005</v>
      </c>
      <c r="Y483">
        <v>0.14408109999999999</v>
      </c>
      <c r="Z483">
        <v>-5.7395809999999997E-3</v>
      </c>
      <c r="AA483">
        <v>0.98954920000000002</v>
      </c>
      <c r="AB483">
        <v>51</v>
      </c>
      <c r="AC483">
        <v>0.72499999999999398</v>
      </c>
      <c r="AD483">
        <v>-9.5314000000000093E-2</v>
      </c>
      <c r="AE483">
        <v>-0.16410000000001901</v>
      </c>
      <c r="AF483">
        <v>0.15717891856975</v>
      </c>
      <c r="AG483">
        <v>-9.5314000000000093E-2</v>
      </c>
      <c r="AH483">
        <v>0.714225142132211</v>
      </c>
      <c r="AI483">
        <v>97.425629118831097</v>
      </c>
      <c r="AJ483">
        <v>77.588802537150002</v>
      </c>
      <c r="AK483">
        <v>0.73750086419782102</v>
      </c>
      <c r="AL483">
        <v>86.136226025994603</v>
      </c>
      <c r="AM483">
        <v>89.903499359345403</v>
      </c>
      <c r="AN483">
        <v>1.0000000322067699</v>
      </c>
    </row>
    <row r="484" spans="1:40" x14ac:dyDescent="0.3">
      <c r="A484" t="str">
        <f>"20200111150732652"</f>
        <v>20200111150732652</v>
      </c>
      <c r="B484" t="str">
        <f>"1578726452641076"</f>
        <v>1578726452641076</v>
      </c>
      <c r="C484" t="s">
        <v>40</v>
      </c>
      <c r="D484">
        <v>5.2354589999999996</v>
      </c>
      <c r="E484">
        <v>0.55412700000000004</v>
      </c>
      <c r="F484" t="s">
        <v>41</v>
      </c>
      <c r="G484">
        <v>-255.44110000000001</v>
      </c>
      <c r="H484">
        <v>1.044011</v>
      </c>
      <c r="I484">
        <v>367.23540000000003</v>
      </c>
      <c r="J484">
        <v>-255.88079999999999</v>
      </c>
      <c r="K484">
        <v>1.108803</v>
      </c>
      <c r="L484">
        <v>367.34730000000002</v>
      </c>
      <c r="M484">
        <v>0.99988650000000001</v>
      </c>
      <c r="N484">
        <v>0</v>
      </c>
      <c r="O484">
        <v>-6.1412960000000001E-3</v>
      </c>
      <c r="P484">
        <v>0.99851880000000004</v>
      </c>
      <c r="Q484">
        <v>5.3871530000000001E-2</v>
      </c>
      <c r="R484">
        <v>-7.6386750000000002E-3</v>
      </c>
      <c r="S484">
        <v>3.0151059999999998</v>
      </c>
      <c r="T484">
        <v>-0.26391120000000001</v>
      </c>
      <c r="U484">
        <v>-0.46121220000000002</v>
      </c>
      <c r="V484">
        <v>1.5778789999999999E-3</v>
      </c>
      <c r="W484">
        <v>6.7608539999999995E-2</v>
      </c>
      <c r="X484">
        <v>0.99771069999999995</v>
      </c>
      <c r="Y484">
        <v>0.144617</v>
      </c>
      <c r="Z484">
        <v>-5.7473189999999999E-3</v>
      </c>
      <c r="AA484">
        <v>0.98947099999999999</v>
      </c>
      <c r="AB484">
        <v>51</v>
      </c>
      <c r="AC484">
        <v>0.43969999999998699</v>
      </c>
      <c r="AD484">
        <v>-6.4791999999999905E-2</v>
      </c>
      <c r="AE484">
        <v>-0.11189999999999101</v>
      </c>
      <c r="AF484">
        <v>0.107014976990849</v>
      </c>
      <c r="AG484">
        <v>-6.4791999999999905E-2</v>
      </c>
      <c r="AH484">
        <v>0.43157792476235102</v>
      </c>
      <c r="AI484">
        <v>98.290523528750995</v>
      </c>
      <c r="AJ484">
        <v>76.073702713548897</v>
      </c>
      <c r="AK484">
        <v>0.44934364767572899</v>
      </c>
      <c r="AL484">
        <v>86.123358953734893</v>
      </c>
      <c r="AM484">
        <v>89.909386827353899</v>
      </c>
      <c r="AN484">
        <v>1.00000002263877</v>
      </c>
    </row>
    <row r="485" spans="1:40" x14ac:dyDescent="0.3">
      <c r="A485" t="str">
        <f>"20200111150732667"</f>
        <v>20200111150732667</v>
      </c>
      <c r="B485" t="str">
        <f>"1578726452661569"</f>
        <v>1578726452661569</v>
      </c>
      <c r="C485" t="s">
        <v>40</v>
      </c>
      <c r="D485">
        <v>5.2476159999999998</v>
      </c>
      <c r="E485">
        <v>0.55445339999999999</v>
      </c>
      <c r="F485" t="s">
        <v>41</v>
      </c>
      <c r="G485">
        <v>-254.99199999999999</v>
      </c>
      <c r="H485">
        <v>1.0310979999999901</v>
      </c>
      <c r="I485">
        <v>367.21050000000002</v>
      </c>
      <c r="J485">
        <v>-255.54390000000001</v>
      </c>
      <c r="K485">
        <v>1.108814</v>
      </c>
      <c r="L485">
        <v>367.34500000000003</v>
      </c>
      <c r="M485">
        <v>0.99988500000000002</v>
      </c>
      <c r="N485">
        <v>0</v>
      </c>
      <c r="O485">
        <v>-6.3213150000000001E-3</v>
      </c>
      <c r="P485">
        <v>0.99851769999999995</v>
      </c>
      <c r="Q485">
        <v>5.3900669999999998E-2</v>
      </c>
      <c r="R485">
        <v>-7.5496000000000001E-3</v>
      </c>
      <c r="S485">
        <v>3.0151370000000002</v>
      </c>
      <c r="T485">
        <v>-0.26365359999999999</v>
      </c>
      <c r="U485">
        <v>-0.46353149999999999</v>
      </c>
      <c r="V485">
        <v>1.3080850000000001E-3</v>
      </c>
      <c r="W485">
        <v>6.7659929999999993E-2</v>
      </c>
      <c r="X485">
        <v>0.99770760000000003</v>
      </c>
      <c r="Y485">
        <v>0.14518059999999999</v>
      </c>
      <c r="Z485">
        <v>-5.7501779999999999E-3</v>
      </c>
      <c r="AA485">
        <v>0.9893885</v>
      </c>
      <c r="AB485">
        <v>51</v>
      </c>
      <c r="AC485">
        <v>0.55189999999998895</v>
      </c>
      <c r="AD485">
        <v>-7.7716000000000104E-2</v>
      </c>
      <c r="AE485">
        <v>-0.13450000000000201</v>
      </c>
      <c r="AF485">
        <v>0.12860117771217999</v>
      </c>
      <c r="AG485">
        <v>-7.7716000000000104E-2</v>
      </c>
      <c r="AH485">
        <v>0.54258355934609004</v>
      </c>
      <c r="AI485">
        <v>97.934316842176202</v>
      </c>
      <c r="AJ485">
        <v>76.666015599525196</v>
      </c>
      <c r="AK485">
        <v>0.56300529166041802</v>
      </c>
      <c r="AL485">
        <v>86.120407740824405</v>
      </c>
      <c r="AM485">
        <v>89.924880088313998</v>
      </c>
      <c r="AN485">
        <v>1.00000001615586</v>
      </c>
    </row>
    <row r="486" spans="1:40" x14ac:dyDescent="0.3">
      <c r="A486" t="str">
        <f>"20200111150732681"</f>
        <v>20200111150732681</v>
      </c>
      <c r="B486" t="str">
        <f>"1578726452671329"</f>
        <v>1578726452671329</v>
      </c>
      <c r="C486" t="s">
        <v>40</v>
      </c>
      <c r="D486">
        <v>5.2328330000000003</v>
      </c>
      <c r="E486">
        <v>0.55455109999999996</v>
      </c>
      <c r="F486" t="s">
        <v>41</v>
      </c>
      <c r="G486">
        <v>-254.54</v>
      </c>
      <c r="H486">
        <v>1.020497</v>
      </c>
      <c r="I486">
        <v>367.18959999999998</v>
      </c>
      <c r="J486">
        <v>-255.23269999999999</v>
      </c>
      <c r="K486">
        <v>1.108824</v>
      </c>
      <c r="L486">
        <v>367.34300000000002</v>
      </c>
      <c r="M486">
        <v>0.99988379999999999</v>
      </c>
      <c r="N486">
        <v>0</v>
      </c>
      <c r="O486">
        <v>-6.4842739999999999E-3</v>
      </c>
      <c r="P486">
        <v>0.99850649999999996</v>
      </c>
      <c r="Q486">
        <v>5.4096900000000003E-2</v>
      </c>
      <c r="R486">
        <v>-7.6152930000000004E-3</v>
      </c>
      <c r="S486">
        <v>3.0152739999999998</v>
      </c>
      <c r="T486">
        <v>-0.26552490000000001</v>
      </c>
      <c r="U486">
        <v>-0.4658813</v>
      </c>
      <c r="V486">
        <v>1.210224E-3</v>
      </c>
      <c r="W486">
        <v>6.7872109999999999E-2</v>
      </c>
      <c r="X486">
        <v>0.99769330000000001</v>
      </c>
      <c r="Y486">
        <v>0.14575689999999999</v>
      </c>
      <c r="Z486">
        <v>-5.8011769999999898E-3</v>
      </c>
      <c r="AA486">
        <v>0.98930340000000005</v>
      </c>
      <c r="AB486">
        <v>51</v>
      </c>
      <c r="AC486">
        <v>0.69270000000000198</v>
      </c>
      <c r="AD486">
        <v>-8.8327000000000003E-2</v>
      </c>
      <c r="AE486">
        <v>-0.15340000000003301</v>
      </c>
      <c r="AF486">
        <v>0.14663203827036</v>
      </c>
      <c r="AG486">
        <v>-8.8327000000000003E-2</v>
      </c>
      <c r="AH486">
        <v>0.68309294953284805</v>
      </c>
      <c r="AI486">
        <v>97.205369291794</v>
      </c>
      <c r="AJ486">
        <v>77.884796660364103</v>
      </c>
      <c r="AK486">
        <v>0.704214875785656</v>
      </c>
      <c r="AL486">
        <v>86.108222666281193</v>
      </c>
      <c r="AM486">
        <v>89.930498988561197</v>
      </c>
      <c r="AN486">
        <v>1.0000000044114301</v>
      </c>
    </row>
    <row r="487" spans="1:40" x14ac:dyDescent="0.3">
      <c r="A487" t="str">
        <f>"20200111150732693"</f>
        <v>20200111150732693</v>
      </c>
      <c r="B487" t="str">
        <f>"1578726452691825"</f>
        <v>1578726452691825</v>
      </c>
      <c r="C487" t="s">
        <v>40</v>
      </c>
      <c r="D487">
        <v>5.2898310000000004</v>
      </c>
      <c r="E487">
        <v>0.55491349999999995</v>
      </c>
      <c r="F487" t="s">
        <v>41</v>
      </c>
      <c r="G487">
        <v>-254.08879999999999</v>
      </c>
      <c r="H487">
        <v>1.0081249999999999</v>
      </c>
      <c r="I487">
        <v>367.16559999999998</v>
      </c>
      <c r="J487">
        <v>-254.93010000000001</v>
      </c>
      <c r="K487">
        <v>1.108835</v>
      </c>
      <c r="L487">
        <v>367.34089999999998</v>
      </c>
      <c r="M487">
        <v>0.99988259999999995</v>
      </c>
      <c r="N487">
        <v>0</v>
      </c>
      <c r="O487">
        <v>-6.6385189999999998E-3</v>
      </c>
      <c r="P487">
        <v>0.99848720000000002</v>
      </c>
      <c r="Q487">
        <v>5.4502580000000002E-2</v>
      </c>
      <c r="R487">
        <v>-7.2804019999999896E-3</v>
      </c>
      <c r="S487">
        <v>3.0153500000000002</v>
      </c>
      <c r="T487">
        <v>-0.2656038</v>
      </c>
      <c r="U487">
        <v>-0.46698000000000001</v>
      </c>
      <c r="V487">
        <v>7.2071859999999995E-4</v>
      </c>
      <c r="W487">
        <v>6.8290260000000005E-2</v>
      </c>
      <c r="X487">
        <v>0.99766520000000003</v>
      </c>
      <c r="Y487">
        <v>0.1459522</v>
      </c>
      <c r="Z487">
        <v>-5.7976449999999997E-3</v>
      </c>
      <c r="AA487">
        <v>0.98927469999999995</v>
      </c>
      <c r="AB487">
        <v>51</v>
      </c>
      <c r="AC487">
        <v>0.84130000000001803</v>
      </c>
      <c r="AD487">
        <v>-0.10070999999999999</v>
      </c>
      <c r="AE487">
        <v>-0.17529999999999199</v>
      </c>
      <c r="AF487">
        <v>0.16741145051776199</v>
      </c>
      <c r="AG487">
        <v>-0.10070999999999999</v>
      </c>
      <c r="AH487">
        <v>0.83103221087495405</v>
      </c>
      <c r="AI487">
        <v>96.774986768634705</v>
      </c>
      <c r="AJ487">
        <v>78.610205536934501</v>
      </c>
      <c r="AK487">
        <v>0.85368825303864604</v>
      </c>
      <c r="AL487">
        <v>86.084208564563994</v>
      </c>
      <c r="AM487">
        <v>89.958609234026397</v>
      </c>
      <c r="AN487">
        <v>0.99999996516860301</v>
      </c>
    </row>
    <row r="488" spans="1:40" x14ac:dyDescent="0.3">
      <c r="A488" t="str">
        <f>"20200111150732706"</f>
        <v>20200111150732706</v>
      </c>
      <c r="B488" t="str">
        <f>"1578726452701585"</f>
        <v>1578726452701585</v>
      </c>
      <c r="C488" t="s">
        <v>40</v>
      </c>
      <c r="D488">
        <v>5.2591919999999996</v>
      </c>
      <c r="E488">
        <v>0.55508859999999904</v>
      </c>
      <c r="F488" t="s">
        <v>41</v>
      </c>
      <c r="G488">
        <v>-254.07650000000001</v>
      </c>
      <c r="H488">
        <v>1.03409</v>
      </c>
      <c r="I488">
        <v>367.2079</v>
      </c>
      <c r="J488">
        <v>-254.65280000000001</v>
      </c>
      <c r="K488">
        <v>1.1088420000000001</v>
      </c>
      <c r="L488">
        <v>367.339</v>
      </c>
      <c r="M488">
        <v>0.99988140000000003</v>
      </c>
      <c r="N488">
        <v>0</v>
      </c>
      <c r="O488">
        <v>-6.7784480000000003E-3</v>
      </c>
      <c r="P488">
        <v>0.99848789999999998</v>
      </c>
      <c r="Q488">
        <v>5.448828E-2</v>
      </c>
      <c r="R488">
        <v>-7.2705390000000003E-3</v>
      </c>
      <c r="S488">
        <v>3.0155789999999998</v>
      </c>
      <c r="T488">
        <v>-0.26425759999999998</v>
      </c>
      <c r="U488">
        <v>-0.46887210000000001</v>
      </c>
      <c r="V488">
        <v>5.7044059999999995E-4</v>
      </c>
      <c r="W488">
        <v>6.828505E-2</v>
      </c>
      <c r="X488">
        <v>0.99766569999999999</v>
      </c>
      <c r="Y488">
        <v>0.14641270000000001</v>
      </c>
      <c r="Z488">
        <v>-5.7755219999999999E-3</v>
      </c>
      <c r="AA488">
        <v>0.98920669999999999</v>
      </c>
      <c r="AB488">
        <v>51</v>
      </c>
      <c r="AC488">
        <v>0.57630000000000303</v>
      </c>
      <c r="AD488">
        <v>-7.4752000000000096E-2</v>
      </c>
      <c r="AE488">
        <v>-0.13110000000000299</v>
      </c>
      <c r="AF488">
        <v>0.12518758046602199</v>
      </c>
      <c r="AG488">
        <v>-7.4752000000000096E-2</v>
      </c>
      <c r="AH488">
        <v>0.56808784939378898</v>
      </c>
      <c r="AI488">
        <v>97.322501512174398</v>
      </c>
      <c r="AJ488">
        <v>77.572548785336807</v>
      </c>
      <c r="AK488">
        <v>0.58650114785548102</v>
      </c>
      <c r="AL488">
        <v>86.084507954579493</v>
      </c>
      <c r="AM488">
        <v>89.967239692332598</v>
      </c>
      <c r="AN488">
        <v>1.0000000112062299</v>
      </c>
    </row>
    <row r="489" spans="1:40" x14ac:dyDescent="0.3">
      <c r="A489" t="str">
        <f>"20200111150732719"</f>
        <v>20200111150732719</v>
      </c>
      <c r="B489" t="str">
        <f>"1578726452711345"</f>
        <v>1578726452711345</v>
      </c>
      <c r="C489" t="s">
        <v>40</v>
      </c>
      <c r="D489">
        <v>5.239325</v>
      </c>
      <c r="E489">
        <v>0.55510819999999905</v>
      </c>
      <c r="F489" t="s">
        <v>41</v>
      </c>
      <c r="G489">
        <v>-253.62739999999999</v>
      </c>
      <c r="H489">
        <v>1.01857</v>
      </c>
      <c r="I489">
        <v>367.1789</v>
      </c>
      <c r="J489">
        <v>-254.3571</v>
      </c>
      <c r="K489">
        <v>1.1088480000000001</v>
      </c>
      <c r="L489">
        <v>367.33690000000001</v>
      </c>
      <c r="M489">
        <v>0.9998804</v>
      </c>
      <c r="N489">
        <v>0</v>
      </c>
      <c r="O489">
        <v>-6.926354E-3</v>
      </c>
      <c r="P489">
        <v>0.99847529999999995</v>
      </c>
      <c r="Q489">
        <v>5.4694640000000003E-2</v>
      </c>
      <c r="R489">
        <v>-7.4501609999999899E-3</v>
      </c>
      <c r="S489">
        <v>3.015625</v>
      </c>
      <c r="T489">
        <v>-0.26562039999999998</v>
      </c>
      <c r="U489">
        <v>-0.4701843</v>
      </c>
      <c r="V489">
        <v>6.0190000000000005E-4</v>
      </c>
      <c r="W489">
        <v>6.849864E-2</v>
      </c>
      <c r="X489">
        <v>0.99765099999999995</v>
      </c>
      <c r="Y489">
        <v>0.14667859999999999</v>
      </c>
      <c r="Z489">
        <v>-5.803613E-3</v>
      </c>
      <c r="AA489">
        <v>0.98916720000000002</v>
      </c>
      <c r="AB489">
        <v>51</v>
      </c>
      <c r="AC489">
        <v>0.72970000000000801</v>
      </c>
      <c r="AD489">
        <v>-9.0277999999999997E-2</v>
      </c>
      <c r="AE489">
        <v>-0.15800000000001499</v>
      </c>
      <c r="AF489">
        <v>0.150737633120441</v>
      </c>
      <c r="AG489">
        <v>-9.0277999999999997E-2</v>
      </c>
      <c r="AH489">
        <v>0.72024625346800697</v>
      </c>
      <c r="AI489">
        <v>96.994390689583895</v>
      </c>
      <c r="AJ489">
        <v>78.179394400291699</v>
      </c>
      <c r="AK489">
        <v>0.74136807117480696</v>
      </c>
      <c r="AL489">
        <v>86.072241272828805</v>
      </c>
      <c r="AM489">
        <v>89.965432475379899</v>
      </c>
      <c r="AN489">
        <v>0.99999997188322898</v>
      </c>
    </row>
    <row r="490" spans="1:40" x14ac:dyDescent="0.3">
      <c r="A490" t="str">
        <f>"20200111150732730"</f>
        <v>20200111150732730</v>
      </c>
      <c r="B490" t="str">
        <f>"1578726452721105"</f>
        <v>1578726452721105</v>
      </c>
      <c r="C490" t="s">
        <v>40</v>
      </c>
      <c r="D490">
        <v>5.226667</v>
      </c>
      <c r="E490">
        <v>0.5552589</v>
      </c>
      <c r="F490" t="s">
        <v>41</v>
      </c>
      <c r="G490">
        <v>-253.6139</v>
      </c>
      <c r="H490">
        <v>1.0432520000000001</v>
      </c>
      <c r="I490">
        <v>367.22070000000002</v>
      </c>
      <c r="J490">
        <v>-254.0806</v>
      </c>
      <c r="K490">
        <v>1.1088519999999999</v>
      </c>
      <c r="L490">
        <v>367.3349</v>
      </c>
      <c r="M490">
        <v>0.99987939999999997</v>
      </c>
      <c r="N490">
        <v>0</v>
      </c>
      <c r="O490">
        <v>-7.0628030000000003E-3</v>
      </c>
      <c r="P490">
        <v>0.99847540000000001</v>
      </c>
      <c r="Q490">
        <v>5.4672320000000003E-2</v>
      </c>
      <c r="R490">
        <v>-7.5747669999999996E-3</v>
      </c>
      <c r="S490">
        <v>3.015625</v>
      </c>
      <c r="T490">
        <v>-0.26632020000000001</v>
      </c>
      <c r="U490">
        <v>-0.47076420000000002</v>
      </c>
      <c r="V490">
        <v>5.8972129999999997E-4</v>
      </c>
      <c r="W490">
        <v>6.8480559999999996E-2</v>
      </c>
      <c r="X490">
        <v>0.99765230000000005</v>
      </c>
      <c r="Y490">
        <v>0.14672689999999999</v>
      </c>
      <c r="Z490">
        <v>-5.8089190000000001E-3</v>
      </c>
      <c r="AA490">
        <v>0.98916000000000004</v>
      </c>
      <c r="AB490">
        <v>51</v>
      </c>
      <c r="AC490">
        <v>0.466700000000003</v>
      </c>
      <c r="AD490">
        <v>-6.5599999999999797E-2</v>
      </c>
      <c r="AE490">
        <v>-0.114199999999982</v>
      </c>
      <c r="AF490">
        <v>0.108871123486897</v>
      </c>
      <c r="AG490">
        <v>-6.5599999999999797E-2</v>
      </c>
      <c r="AH490">
        <v>0.45893976092563799</v>
      </c>
      <c r="AI490">
        <v>97.917815249469996</v>
      </c>
      <c r="AJ490">
        <v>76.654799314110903</v>
      </c>
      <c r="AK490">
        <v>0.47621632236598199</v>
      </c>
      <c r="AL490">
        <v>86.073279820910003</v>
      </c>
      <c r="AM490">
        <v>89.966131950336106</v>
      </c>
      <c r="AN490">
        <v>1.0000000232821999</v>
      </c>
    </row>
    <row r="491" spans="1:40" x14ac:dyDescent="0.3">
      <c r="A491" t="str">
        <f>"20200111150732744"</f>
        <v>20200111150732744</v>
      </c>
      <c r="B491" t="str">
        <f>"1578726452741601"</f>
        <v>1578726452741601</v>
      </c>
      <c r="C491" t="s">
        <v>40</v>
      </c>
      <c r="D491">
        <v>5.2781900000000004</v>
      </c>
      <c r="E491">
        <v>0.55558890000000005</v>
      </c>
      <c r="F491" t="s">
        <v>41</v>
      </c>
      <c r="G491">
        <v>-253.16669999999999</v>
      </c>
      <c r="H491">
        <v>1.027803</v>
      </c>
      <c r="I491">
        <v>367.19170000000003</v>
      </c>
      <c r="J491">
        <v>-253.791</v>
      </c>
      <c r="K491">
        <v>1.1088549999999999</v>
      </c>
      <c r="L491">
        <v>367.33280000000002</v>
      </c>
      <c r="M491">
        <v>0.99987839999999995</v>
      </c>
      <c r="N491">
        <v>0</v>
      </c>
      <c r="O491">
        <v>-7.2050889999999996E-3</v>
      </c>
      <c r="P491">
        <v>0.99845819999999996</v>
      </c>
      <c r="Q491">
        <v>5.49626E-2</v>
      </c>
      <c r="R491">
        <v>-7.7711830000000001E-3</v>
      </c>
      <c r="S491">
        <v>3.015625</v>
      </c>
      <c r="T491">
        <v>-0.26754220000000001</v>
      </c>
      <c r="U491">
        <v>-0.4721069</v>
      </c>
      <c r="V491">
        <v>6.4378730000000004E-4</v>
      </c>
      <c r="W491">
        <v>6.8774070000000007E-2</v>
      </c>
      <c r="X491">
        <v>0.99763199999999996</v>
      </c>
      <c r="Y491">
        <v>0.14701069999999999</v>
      </c>
      <c r="Z491">
        <v>-5.8352439999999998E-3</v>
      </c>
      <c r="AA491">
        <v>0.98911769999999999</v>
      </c>
      <c r="AB491">
        <v>51</v>
      </c>
      <c r="AC491">
        <v>0.62430000000000496</v>
      </c>
      <c r="AD491">
        <v>-8.1051999999999902E-2</v>
      </c>
      <c r="AE491">
        <v>-0.14109999999999401</v>
      </c>
      <c r="AF491">
        <v>0.134441819823439</v>
      </c>
      <c r="AG491">
        <v>-8.1051999999999902E-2</v>
      </c>
      <c r="AH491">
        <v>0.61543128524272495</v>
      </c>
      <c r="AI491">
        <v>97.331695945891695</v>
      </c>
      <c r="AJ491">
        <v>77.677241511924606</v>
      </c>
      <c r="AK491">
        <v>0.63513754138528999</v>
      </c>
      <c r="AL491">
        <v>86.0564228951188</v>
      </c>
      <c r="AM491">
        <v>89.963026155863105</v>
      </c>
      <c r="AN491">
        <v>0.99999994729522401</v>
      </c>
    </row>
    <row r="492" spans="1:40" x14ac:dyDescent="0.3">
      <c r="A492" t="str">
        <f>"20200111150732757"</f>
        <v>20200111150732757</v>
      </c>
      <c r="B492" t="str">
        <f>"1578726452751361"</f>
        <v>1578726452751361</v>
      </c>
      <c r="C492" t="s">
        <v>40</v>
      </c>
      <c r="D492">
        <v>5.3117549999999998</v>
      </c>
      <c r="E492">
        <v>0.55557809999999996</v>
      </c>
      <c r="F492" t="s">
        <v>41</v>
      </c>
      <c r="G492">
        <v>-252.71680000000001</v>
      </c>
      <c r="H492">
        <v>1.0137929999999999</v>
      </c>
      <c r="I492">
        <v>367.16320000000002</v>
      </c>
      <c r="J492">
        <v>-253.48840000000001</v>
      </c>
      <c r="K492">
        <v>1.10886</v>
      </c>
      <c r="L492">
        <v>367.33049999999997</v>
      </c>
      <c r="M492">
        <v>0.99987729999999997</v>
      </c>
      <c r="N492">
        <v>0</v>
      </c>
      <c r="O492">
        <v>-7.353091E-3</v>
      </c>
      <c r="P492">
        <v>0.99846570000000001</v>
      </c>
      <c r="Q492">
        <v>5.4789070000000002E-2</v>
      </c>
      <c r="R492">
        <v>-8.0603810000000001E-3</v>
      </c>
      <c r="S492">
        <v>3.0156559999999999</v>
      </c>
      <c r="T492">
        <v>-0.26704709999999998</v>
      </c>
      <c r="U492">
        <v>-0.4756165</v>
      </c>
      <c r="V492">
        <v>7.8434369999999998E-4</v>
      </c>
      <c r="W492">
        <v>6.8602830000000004E-2</v>
      </c>
      <c r="X492">
        <v>0.99764379999999997</v>
      </c>
      <c r="Y492">
        <v>0.14798510000000001</v>
      </c>
      <c r="Z492">
        <v>-5.8537060000000002E-3</v>
      </c>
      <c r="AA492">
        <v>0.98897219999999997</v>
      </c>
      <c r="AB492">
        <v>51</v>
      </c>
      <c r="AC492">
        <v>0.77160000000000595</v>
      </c>
      <c r="AD492">
        <v>-9.5066999999999999E-2</v>
      </c>
      <c r="AE492">
        <v>-0.16729999999995401</v>
      </c>
      <c r="AF492">
        <v>0.15931150808526201</v>
      </c>
      <c r="AG492">
        <v>-9.5066999999999999E-2</v>
      </c>
      <c r="AH492">
        <v>0.76176496493480195</v>
      </c>
      <c r="AI492">
        <v>96.964492611864401</v>
      </c>
      <c r="AJ492">
        <v>78.187711637752102</v>
      </c>
      <c r="AK492">
        <v>0.78403045406381999</v>
      </c>
      <c r="AL492">
        <v>86.066257887102594</v>
      </c>
      <c r="AM492">
        <v>89.954954288856797</v>
      </c>
      <c r="AN492">
        <v>1.00000005757874</v>
      </c>
    </row>
    <row r="493" spans="1:40" x14ac:dyDescent="0.3">
      <c r="A493" t="str">
        <f>"20200111150732769"</f>
        <v>20200111150732769</v>
      </c>
      <c r="B493" t="str">
        <f>"1578726452761121"</f>
        <v>1578726452761121</v>
      </c>
      <c r="C493" t="s">
        <v>40</v>
      </c>
      <c r="D493">
        <v>5.3361839999999896</v>
      </c>
      <c r="E493">
        <v>0.55554989999999904</v>
      </c>
      <c r="F493" t="s">
        <v>41</v>
      </c>
      <c r="G493">
        <v>-252.70339999999999</v>
      </c>
      <c r="H493">
        <v>1.0395270000000001</v>
      </c>
      <c r="I493">
        <v>367.20639999999997</v>
      </c>
      <c r="J493">
        <v>-253.20269999999999</v>
      </c>
      <c r="K493">
        <v>1.1088610000000001</v>
      </c>
      <c r="L493">
        <v>367.32830000000001</v>
      </c>
      <c r="M493">
        <v>0.99987630000000005</v>
      </c>
      <c r="N493">
        <v>0</v>
      </c>
      <c r="O493">
        <v>-7.4923860000000002E-3</v>
      </c>
      <c r="P493">
        <v>0.99847249999999999</v>
      </c>
      <c r="Q493">
        <v>5.461448E-2</v>
      </c>
      <c r="R493">
        <v>-8.3757150000000006E-3</v>
      </c>
      <c r="S493">
        <v>3.0153660000000002</v>
      </c>
      <c r="T493">
        <v>-0.26655099999999998</v>
      </c>
      <c r="U493">
        <v>-0.47610469999999999</v>
      </c>
      <c r="V493">
        <v>9.5978359999999996E-4</v>
      </c>
      <c r="W493">
        <v>6.8429660000000003E-2</v>
      </c>
      <c r="X493">
        <v>0.99765550000000003</v>
      </c>
      <c r="Y493">
        <v>0.1480205</v>
      </c>
      <c r="Z493">
        <v>-5.8326920000000004E-3</v>
      </c>
      <c r="AA493">
        <v>0.98896709999999999</v>
      </c>
      <c r="AB493">
        <v>51</v>
      </c>
      <c r="AC493">
        <v>0.49930000000000502</v>
      </c>
      <c r="AD493">
        <v>-6.9334000000000007E-2</v>
      </c>
      <c r="AE493">
        <v>-0.121900000000039</v>
      </c>
      <c r="AF493">
        <v>0.116043504091037</v>
      </c>
      <c r="AG493">
        <v>-6.9334000000000007E-2</v>
      </c>
      <c r="AH493">
        <v>0.49125941951437602</v>
      </c>
      <c r="AI493">
        <v>97.820930471649405</v>
      </c>
      <c r="AJ493">
        <v>76.709422623280801</v>
      </c>
      <c r="AK493">
        <v>0.50951851355895605</v>
      </c>
      <c r="AL493">
        <v>86.076203012996203</v>
      </c>
      <c r="AM493">
        <v>89.944879236809996</v>
      </c>
      <c r="AN493">
        <v>1.00000001811626</v>
      </c>
    </row>
    <row r="494" spans="1:40" x14ac:dyDescent="0.3">
      <c r="A494" t="str">
        <f>"20200111150732782"</f>
        <v>20200111150732782</v>
      </c>
      <c r="B494" t="str">
        <f>"1578726452771857"</f>
        <v>1578726452771857</v>
      </c>
      <c r="C494" t="s">
        <v>40</v>
      </c>
      <c r="D494">
        <v>4.2652159999999997</v>
      </c>
      <c r="E494">
        <v>0.55554989999999904</v>
      </c>
      <c r="F494" t="s">
        <v>41</v>
      </c>
      <c r="G494">
        <v>-252.25530000000001</v>
      </c>
      <c r="H494">
        <v>1.0253219999999901</v>
      </c>
      <c r="I494">
        <v>367.17840000000001</v>
      </c>
      <c r="J494">
        <v>-252.8972</v>
      </c>
      <c r="K494">
        <v>1.108862</v>
      </c>
      <c r="L494">
        <v>367.32589999999999</v>
      </c>
      <c r="M494">
        <v>0.99987499999999996</v>
      </c>
      <c r="N494">
        <v>0</v>
      </c>
      <c r="O494">
        <v>-7.6415669999999897E-3</v>
      </c>
      <c r="P494">
        <v>0.99845680000000003</v>
      </c>
      <c r="Q494">
        <v>5.4776560000000002E-2</v>
      </c>
      <c r="R494">
        <v>-9.1471429999999999E-3</v>
      </c>
      <c r="S494">
        <v>3.0151210000000002</v>
      </c>
      <c r="T494">
        <v>-0.26592080000000001</v>
      </c>
      <c r="U494">
        <v>-0.47683720000000002</v>
      </c>
      <c r="V494">
        <v>1.581671E-3</v>
      </c>
      <c r="W494">
        <v>6.8592360000000005E-2</v>
      </c>
      <c r="X494">
        <v>0.99764350000000002</v>
      </c>
      <c r="Y494">
        <v>0.14812229999999901</v>
      </c>
      <c r="Z494">
        <v>-5.8107119999999896E-3</v>
      </c>
      <c r="AA494">
        <v>0.98895200000000005</v>
      </c>
      <c r="AB494">
        <v>51</v>
      </c>
      <c r="AC494">
        <v>0.64189999999999203</v>
      </c>
      <c r="AD494">
        <v>-8.35400000000001E-2</v>
      </c>
      <c r="AE494">
        <v>-0.14749999999997901</v>
      </c>
      <c r="AF494">
        <v>0.140332404531962</v>
      </c>
      <c r="AG494">
        <v>-8.35400000000001E-2</v>
      </c>
      <c r="AH494">
        <v>0.632827437430041</v>
      </c>
      <c r="AI494">
        <v>97.3437925217805</v>
      </c>
      <c r="AJ494">
        <v>77.496725960329698</v>
      </c>
      <c r="AK494">
        <v>0.65356153568428099</v>
      </c>
      <c r="AL494">
        <v>86.066858897745107</v>
      </c>
      <c r="AM494">
        <v>89.909162945530298</v>
      </c>
      <c r="AN494">
        <v>0.99999998331288498</v>
      </c>
    </row>
    <row r="495" spans="1:40" x14ac:dyDescent="0.3">
      <c r="A495" t="str">
        <f>"20200111150732796"</f>
        <v>20200111150732796</v>
      </c>
      <c r="B495" t="str">
        <f>"1578726452791378"</f>
        <v>1578726452791378</v>
      </c>
      <c r="C495" t="s">
        <v>40</v>
      </c>
      <c r="D495">
        <v>5.3400379999999998</v>
      </c>
      <c r="E495">
        <v>0.55544950000000004</v>
      </c>
      <c r="F495" t="s">
        <v>41</v>
      </c>
      <c r="G495">
        <v>-251.80500000000001</v>
      </c>
      <c r="H495">
        <v>1.012799</v>
      </c>
      <c r="I495">
        <v>367.15199999999999</v>
      </c>
      <c r="J495">
        <v>-252.59970000000001</v>
      </c>
      <c r="K495">
        <v>1.1088709999999999</v>
      </c>
      <c r="L495">
        <v>367.32350000000002</v>
      </c>
      <c r="M495">
        <v>0.99987389999999998</v>
      </c>
      <c r="N495">
        <v>0</v>
      </c>
      <c r="O495">
        <v>-7.7872879999999998E-3</v>
      </c>
      <c r="P495">
        <v>0.99846699999999999</v>
      </c>
      <c r="Q495">
        <v>5.4559450000000002E-2</v>
      </c>
      <c r="R495">
        <v>-9.3338259999999999E-3</v>
      </c>
      <c r="S495">
        <v>3.014786</v>
      </c>
      <c r="T495">
        <v>-0.26541779999999998</v>
      </c>
      <c r="U495">
        <v>-0.47900389999999998</v>
      </c>
      <c r="V495">
        <v>1.6219279999999999E-3</v>
      </c>
      <c r="W495">
        <v>6.8375909999999998E-2</v>
      </c>
      <c r="X495">
        <v>0.9976583</v>
      </c>
      <c r="Y495">
        <v>0.14868889999999901</v>
      </c>
      <c r="Z495">
        <v>-5.8120949999999998E-3</v>
      </c>
      <c r="AA495">
        <v>0.98886689999999999</v>
      </c>
      <c r="AB495">
        <v>51</v>
      </c>
      <c r="AC495">
        <v>0.79470000000000596</v>
      </c>
      <c r="AD495">
        <v>-9.6071999999999894E-2</v>
      </c>
      <c r="AE495">
        <v>-0.17150000000003701</v>
      </c>
      <c r="AF495">
        <v>0.163029066309818</v>
      </c>
      <c r="AG495">
        <v>-9.6071999999999894E-2</v>
      </c>
      <c r="AH495">
        <v>0.78504891119513698</v>
      </c>
      <c r="AI495">
        <v>96.832644819978796</v>
      </c>
      <c r="AJ495">
        <v>78.268283938458495</v>
      </c>
      <c r="AK495">
        <v>0.807533342107012</v>
      </c>
      <c r="AL495">
        <v>86.079289779390805</v>
      </c>
      <c r="AM495">
        <v>89.906852328895795</v>
      </c>
      <c r="AN495">
        <v>0.99999998963882697</v>
      </c>
    </row>
    <row r="496" spans="1:40" x14ac:dyDescent="0.3">
      <c r="A496" t="str">
        <f>"20200111150732806"</f>
        <v>20200111150732806</v>
      </c>
      <c r="B496" t="str">
        <f>"1578726452801138"</f>
        <v>1578726452801138</v>
      </c>
      <c r="C496" t="s">
        <v>40</v>
      </c>
      <c r="D496">
        <v>5.3064339999999897</v>
      </c>
      <c r="E496">
        <v>0.55541560000000001</v>
      </c>
      <c r="F496" t="s">
        <v>41</v>
      </c>
      <c r="G496">
        <v>-251.79230000000001</v>
      </c>
      <c r="H496">
        <v>1.037787</v>
      </c>
      <c r="I496">
        <v>367.19479999999999</v>
      </c>
      <c r="J496">
        <v>-252.35079999999999</v>
      </c>
      <c r="K496">
        <v>1.108873</v>
      </c>
      <c r="L496">
        <v>367.32150000000001</v>
      </c>
      <c r="M496">
        <v>0.99987300000000001</v>
      </c>
      <c r="N496">
        <v>0</v>
      </c>
      <c r="O496">
        <v>-7.9090610000000002E-3</v>
      </c>
      <c r="P496">
        <v>0.99845530000000005</v>
      </c>
      <c r="Q496">
        <v>5.4741449999999997E-2</v>
      </c>
      <c r="R496">
        <v>-9.5176730000000008E-3</v>
      </c>
      <c r="S496">
        <v>3.0146480000000002</v>
      </c>
      <c r="T496">
        <v>-0.26574619999999999</v>
      </c>
      <c r="U496">
        <v>-0.47918699999999997</v>
      </c>
      <c r="V496">
        <v>1.6839239999999901E-3</v>
      </c>
      <c r="W496">
        <v>6.8558110000000005E-2</v>
      </c>
      <c r="X496">
        <v>0.99764569999999997</v>
      </c>
      <c r="Y496">
        <v>0.1486333</v>
      </c>
      <c r="Z496">
        <v>-5.8064190000000002E-3</v>
      </c>
      <c r="AA496">
        <v>0.98887530000000001</v>
      </c>
      <c r="AB496">
        <v>51</v>
      </c>
      <c r="AC496">
        <v>0.55849999999998001</v>
      </c>
      <c r="AD496">
        <v>-7.1085999999999899E-2</v>
      </c>
      <c r="AE496">
        <v>-0.12670000000002801</v>
      </c>
      <c r="AF496">
        <v>0.120423006671323</v>
      </c>
      <c r="AG496">
        <v>-7.1085999999999899E-2</v>
      </c>
      <c r="AH496">
        <v>0.55099533839170001</v>
      </c>
      <c r="AI496">
        <v>97.183606228371104</v>
      </c>
      <c r="AJ496">
        <v>77.671553734653699</v>
      </c>
      <c r="AK496">
        <v>0.56846352817146095</v>
      </c>
      <c r="AL496">
        <v>86.068825960152907</v>
      </c>
      <c r="AM496">
        <v>89.903290670630298</v>
      </c>
      <c r="AN496">
        <v>0.99999999638764903</v>
      </c>
    </row>
    <row r="497" spans="1:40" x14ac:dyDescent="0.3">
      <c r="A497" t="str">
        <f>"20200111150732818"</f>
        <v>20200111150732818</v>
      </c>
      <c r="B497" t="str">
        <f>"1578726452811873"</f>
        <v>1578726452811873</v>
      </c>
      <c r="C497" t="s">
        <v>40</v>
      </c>
      <c r="D497">
        <v>5.3460279999999996</v>
      </c>
      <c r="E497">
        <v>0.55539879999999997</v>
      </c>
      <c r="F497" t="s">
        <v>41</v>
      </c>
      <c r="G497">
        <v>-251.34559999999999</v>
      </c>
      <c r="H497">
        <v>1.020586</v>
      </c>
      <c r="I497">
        <v>367.1617</v>
      </c>
      <c r="J497">
        <v>-252.08750000000001</v>
      </c>
      <c r="K497">
        <v>1.108876</v>
      </c>
      <c r="L497">
        <v>367.3193</v>
      </c>
      <c r="M497">
        <v>0.99987190000000004</v>
      </c>
      <c r="N497">
        <v>0</v>
      </c>
      <c r="O497">
        <v>-8.0377469999999996E-3</v>
      </c>
      <c r="P497">
        <v>0.99844630000000001</v>
      </c>
      <c r="Q497">
        <v>5.487802E-2</v>
      </c>
      <c r="R497">
        <v>-9.6561560000000008E-3</v>
      </c>
      <c r="S497">
        <v>3.0146030000000001</v>
      </c>
      <c r="T497">
        <v>-0.2648045</v>
      </c>
      <c r="U497">
        <v>-0.47930909999999899</v>
      </c>
      <c r="V497">
        <v>1.69366E-3</v>
      </c>
      <c r="W497">
        <v>6.8695110000000004E-2</v>
      </c>
      <c r="X497">
        <v>0.99763630000000003</v>
      </c>
      <c r="Y497">
        <v>0.14855199999999999</v>
      </c>
      <c r="Z497">
        <v>-5.7712359999999999E-3</v>
      </c>
      <c r="AA497">
        <v>0.98888779999999998</v>
      </c>
      <c r="AB497">
        <v>51</v>
      </c>
      <c r="AC497">
        <v>0.74190000000001499</v>
      </c>
      <c r="AD497">
        <v>-8.8289999999999896E-2</v>
      </c>
      <c r="AE497">
        <v>-0.15760000000000199</v>
      </c>
      <c r="AF497">
        <v>0.14960388493366</v>
      </c>
      <c r="AG497">
        <v>-8.8289999999999896E-2</v>
      </c>
      <c r="AH497">
        <v>0.73320737796058</v>
      </c>
      <c r="AI497">
        <v>96.7289441595548</v>
      </c>
      <c r="AJ497">
        <v>78.467650493171803</v>
      </c>
      <c r="AK497">
        <v>0.75350481457192597</v>
      </c>
      <c r="AL497">
        <v>86.060958048312301</v>
      </c>
      <c r="AM497">
        <v>89.902730607632606</v>
      </c>
      <c r="AN497">
        <v>1.00000003684989</v>
      </c>
    </row>
    <row r="498" spans="1:40" x14ac:dyDescent="0.3">
      <c r="A498" t="str">
        <f>"20200111150732830"</f>
        <v>20200111150732830</v>
      </c>
      <c r="B498" t="str">
        <f>"1578726452821633"</f>
        <v>1578726452821633</v>
      </c>
      <c r="C498" t="s">
        <v>40</v>
      </c>
      <c r="D498">
        <v>5.3375110000000001</v>
      </c>
      <c r="E498">
        <v>0.55535809999999997</v>
      </c>
      <c r="F498" t="s">
        <v>41</v>
      </c>
      <c r="G498">
        <v>-251.3331</v>
      </c>
      <c r="H498">
        <v>1.0427109999999999</v>
      </c>
      <c r="I498">
        <v>367.19920000000002</v>
      </c>
      <c r="J498">
        <v>-251.82259999999999</v>
      </c>
      <c r="K498">
        <v>1.108881</v>
      </c>
      <c r="L498">
        <v>367.31709999999998</v>
      </c>
      <c r="M498">
        <v>0.99987090000000001</v>
      </c>
      <c r="N498">
        <v>0</v>
      </c>
      <c r="O498">
        <v>-8.1680999999999993E-3</v>
      </c>
      <c r="P498">
        <v>0.99844160000000004</v>
      </c>
      <c r="Q498">
        <v>5.4955209999999997E-2</v>
      </c>
      <c r="R498">
        <v>-9.718071E-3</v>
      </c>
      <c r="S498">
        <v>3.0145719999999998</v>
      </c>
      <c r="T498">
        <v>-0.26444489999999998</v>
      </c>
      <c r="U498">
        <v>-0.47979739999999999</v>
      </c>
      <c r="V498">
        <v>1.624971E-3</v>
      </c>
      <c r="W498">
        <v>6.8771700000000005E-2</v>
      </c>
      <c r="X498">
        <v>0.99763109999999999</v>
      </c>
      <c r="Y498">
        <v>0.14858260000000001</v>
      </c>
      <c r="Z498">
        <v>-5.7534079999999998E-3</v>
      </c>
      <c r="AA498">
        <v>0.98888330000000002</v>
      </c>
      <c r="AB498">
        <v>51</v>
      </c>
      <c r="AC498">
        <v>0.489499999999992</v>
      </c>
      <c r="AD498">
        <v>-6.6169999999999798E-2</v>
      </c>
      <c r="AE498">
        <v>-0.11789999999996301</v>
      </c>
      <c r="AF498">
        <v>0.11196363631815399</v>
      </c>
      <c r="AG498">
        <v>-6.6169999999999798E-2</v>
      </c>
      <c r="AH498">
        <v>0.48211992133290799</v>
      </c>
      <c r="AI498">
        <v>97.614736700437604</v>
      </c>
      <c r="AJ498">
        <v>76.925840060711906</v>
      </c>
      <c r="AK498">
        <v>0.49935352537419198</v>
      </c>
      <c r="AL498">
        <v>86.0565592144644</v>
      </c>
      <c r="AM498">
        <v>89.906675024672197</v>
      </c>
      <c r="AN498">
        <v>0.99999999946942497</v>
      </c>
    </row>
    <row r="499" spans="1:40" x14ac:dyDescent="0.3">
      <c r="A499" t="str">
        <f>"20200111150732843"</f>
        <v>20200111150732843</v>
      </c>
      <c r="B499" t="str">
        <f>"1578726452831393"</f>
        <v>1578726452831393</v>
      </c>
      <c r="C499" t="s">
        <v>40</v>
      </c>
      <c r="D499">
        <v>5.3544749999999999</v>
      </c>
      <c r="E499">
        <v>0.55538529999999997</v>
      </c>
      <c r="F499" t="s">
        <v>41</v>
      </c>
      <c r="G499">
        <v>-250.887</v>
      </c>
      <c r="H499">
        <v>1.0268660000000001</v>
      </c>
      <c r="I499">
        <v>367.16800000000001</v>
      </c>
      <c r="J499">
        <v>-251.53319999999999</v>
      </c>
      <c r="K499">
        <v>1.108887</v>
      </c>
      <c r="L499">
        <v>367.31459999999998</v>
      </c>
      <c r="M499">
        <v>0.99986960000000003</v>
      </c>
      <c r="N499">
        <v>0</v>
      </c>
      <c r="O499">
        <v>-8.3102519999999902E-3</v>
      </c>
      <c r="P499">
        <v>0.99844759999999999</v>
      </c>
      <c r="Q499">
        <v>5.4827069999999999E-2</v>
      </c>
      <c r="R499">
        <v>-9.7997269999999994E-3</v>
      </c>
      <c r="S499">
        <v>3.0145569999999999</v>
      </c>
      <c r="T499">
        <v>-0.26455279999999998</v>
      </c>
      <c r="U499">
        <v>-0.4792786</v>
      </c>
      <c r="V499">
        <v>1.56409E-3</v>
      </c>
      <c r="W499">
        <v>6.864373E-2</v>
      </c>
      <c r="X499">
        <v>0.99763999999999997</v>
      </c>
      <c r="Y499">
        <v>0.1482781</v>
      </c>
      <c r="Z499">
        <v>-5.7302280000000004E-3</v>
      </c>
      <c r="AA499">
        <v>0.98892910000000001</v>
      </c>
      <c r="AB499">
        <v>51</v>
      </c>
      <c r="AC499">
        <v>0.646199999999993</v>
      </c>
      <c r="AD499">
        <v>-8.2021000000000094E-2</v>
      </c>
      <c r="AE499">
        <v>-0.146599999999978</v>
      </c>
      <c r="AF499">
        <v>0.13909312839010701</v>
      </c>
      <c r="AG499">
        <v>-8.2021000000000094E-2</v>
      </c>
      <c r="AH499">
        <v>0.63762626291059898</v>
      </c>
      <c r="AI499">
        <v>97.163339827916104</v>
      </c>
      <c r="AJ499">
        <v>77.694156787377096</v>
      </c>
      <c r="AK499">
        <v>0.65775496498292096</v>
      </c>
      <c r="AL499">
        <v>86.063908681525703</v>
      </c>
      <c r="AM499">
        <v>89.910172324330802</v>
      </c>
      <c r="AN499">
        <v>0.99999998882291996</v>
      </c>
    </row>
    <row r="500" spans="1:40" x14ac:dyDescent="0.3">
      <c r="A500" t="str">
        <f>"20200111150732855"</f>
        <v>20200111150732855</v>
      </c>
      <c r="B500" t="str">
        <f>"1578726452851889"</f>
        <v>1578726452851889</v>
      </c>
      <c r="C500" t="s">
        <v>40</v>
      </c>
      <c r="D500">
        <v>5.333107</v>
      </c>
      <c r="E500">
        <v>0.55541269999999998</v>
      </c>
      <c r="F500" t="s">
        <v>41</v>
      </c>
      <c r="G500">
        <v>-250.43809999999999</v>
      </c>
      <c r="H500">
        <v>1.0125740000000001</v>
      </c>
      <c r="I500">
        <v>367.14019999999999</v>
      </c>
      <c r="J500">
        <v>-251.238</v>
      </c>
      <c r="K500">
        <v>1.1088910000000001</v>
      </c>
      <c r="L500">
        <v>367.31209999999999</v>
      </c>
      <c r="M500">
        <v>0.99986850000000005</v>
      </c>
      <c r="N500">
        <v>0</v>
      </c>
      <c r="O500">
        <v>-8.4555059999999998E-3</v>
      </c>
      <c r="P500">
        <v>0.99844259999999996</v>
      </c>
      <c r="Q500">
        <v>5.4924569999999999E-2</v>
      </c>
      <c r="R500">
        <v>-9.7893019999999997E-3</v>
      </c>
      <c r="S500">
        <v>3.0145110000000002</v>
      </c>
      <c r="T500">
        <v>-0.26520060000000001</v>
      </c>
      <c r="U500">
        <v>-0.47982789999999997</v>
      </c>
      <c r="V500">
        <v>1.4081829999999999E-3</v>
      </c>
      <c r="W500">
        <v>6.8740789999999996E-2</v>
      </c>
      <c r="X500">
        <v>0.99763360000000001</v>
      </c>
      <c r="Y500">
        <v>0.14831040000000001</v>
      </c>
      <c r="Z500">
        <v>-5.7329490000000002E-3</v>
      </c>
      <c r="AA500">
        <v>0.98892429999999998</v>
      </c>
      <c r="AB500">
        <v>51</v>
      </c>
      <c r="AC500">
        <v>0.79990000000000705</v>
      </c>
      <c r="AD500">
        <v>-9.6317E-2</v>
      </c>
      <c r="AE500">
        <v>-0.171899999999993</v>
      </c>
      <c r="AF500">
        <v>0.16287242369163701</v>
      </c>
      <c r="AG500">
        <v>-9.6317E-2</v>
      </c>
      <c r="AH500">
        <v>0.79037140813217399</v>
      </c>
      <c r="AI500">
        <v>96.806344683643701</v>
      </c>
      <c r="AJ500">
        <v>78.356011329647103</v>
      </c>
      <c r="AK500">
        <v>0.81270619148682699</v>
      </c>
      <c r="AL500">
        <v>86.058334586184202</v>
      </c>
      <c r="AM500">
        <v>89.919125730029506</v>
      </c>
      <c r="AN500">
        <v>1.00000003951907</v>
      </c>
    </row>
    <row r="501" spans="1:40" x14ac:dyDescent="0.3">
      <c r="A501" t="str">
        <f>"20200111150732869"</f>
        <v>20200111150732869</v>
      </c>
      <c r="B501" t="str">
        <f>"1578726452861649"</f>
        <v>1578726452861649</v>
      </c>
      <c r="C501" t="s">
        <v>40</v>
      </c>
      <c r="D501">
        <v>5.3392980000000003</v>
      </c>
      <c r="E501">
        <v>0.55539459999999996</v>
      </c>
      <c r="F501" t="s">
        <v>41</v>
      </c>
      <c r="G501">
        <v>-250.4255</v>
      </c>
      <c r="H501">
        <v>1.037447</v>
      </c>
      <c r="I501">
        <v>367.18270000000001</v>
      </c>
      <c r="J501">
        <v>-250.9434</v>
      </c>
      <c r="K501">
        <v>1.1088929999999999</v>
      </c>
      <c r="L501">
        <v>367.30950000000001</v>
      </c>
      <c r="M501">
        <v>0.99986710000000001</v>
      </c>
      <c r="N501">
        <v>0</v>
      </c>
      <c r="O501">
        <v>-8.6000520000000004E-3</v>
      </c>
      <c r="P501">
        <v>0.99844699999999997</v>
      </c>
      <c r="Q501">
        <v>5.4855969999999997E-2</v>
      </c>
      <c r="R501">
        <v>-9.7087100000000006E-3</v>
      </c>
      <c r="S501">
        <v>3.0145719999999998</v>
      </c>
      <c r="T501">
        <v>-0.26515889999999998</v>
      </c>
      <c r="U501">
        <v>-0.47967530000000003</v>
      </c>
      <c r="V501">
        <v>1.1828030000000001E-3</v>
      </c>
      <c r="W501">
        <v>6.8671789999999996E-2</v>
      </c>
      <c r="X501">
        <v>0.99763860000000004</v>
      </c>
      <c r="Y501">
        <v>0.1481169</v>
      </c>
      <c r="Z501">
        <v>-5.7109129999999998E-3</v>
      </c>
      <c r="AA501">
        <v>0.98895339999999998</v>
      </c>
      <c r="AB501">
        <v>51</v>
      </c>
      <c r="AC501">
        <v>0.51789999999999703</v>
      </c>
      <c r="AD501">
        <v>-7.1446000000000107E-2</v>
      </c>
      <c r="AE501">
        <v>-0.12680000000000199</v>
      </c>
      <c r="AF501">
        <v>0.12018305074654199</v>
      </c>
      <c r="AG501">
        <v>-7.1446000000000107E-2</v>
      </c>
      <c r="AH501">
        <v>0.50981774937933899</v>
      </c>
      <c r="AI501">
        <v>97.767293658904507</v>
      </c>
      <c r="AJ501">
        <v>76.735423005944696</v>
      </c>
      <c r="AK501">
        <v>0.52864225539107301</v>
      </c>
      <c r="AL501">
        <v>86.062297183491793</v>
      </c>
      <c r="AM501">
        <v>89.932070001960696</v>
      </c>
      <c r="AN501">
        <v>0.99999999498735004</v>
      </c>
    </row>
    <row r="502" spans="1:40" x14ac:dyDescent="0.3">
      <c r="A502" t="str">
        <f>"20200111150732881"</f>
        <v>20200111150732881</v>
      </c>
      <c r="B502" t="str">
        <f>"1578726452871409"</f>
        <v>1578726452871409</v>
      </c>
      <c r="C502" t="s">
        <v>40</v>
      </c>
      <c r="D502">
        <v>7.3971299999999998</v>
      </c>
      <c r="E502">
        <v>0.55539459999999996</v>
      </c>
      <c r="F502" t="s">
        <v>41</v>
      </c>
      <c r="G502">
        <v>-249.97749999999999</v>
      </c>
      <c r="H502">
        <v>1.023793</v>
      </c>
      <c r="I502">
        <v>367.15550000000002</v>
      </c>
      <c r="J502">
        <v>-250.65309999999999</v>
      </c>
      <c r="K502">
        <v>1.1088960000000001</v>
      </c>
      <c r="L502">
        <v>367.30689999999998</v>
      </c>
      <c r="M502">
        <v>0.99986609999999998</v>
      </c>
      <c r="N502">
        <v>0</v>
      </c>
      <c r="O502">
        <v>-8.7428119999999904E-3</v>
      </c>
      <c r="P502">
        <v>0.99845519999999999</v>
      </c>
      <c r="Q502">
        <v>5.4722060000000003E-2</v>
      </c>
      <c r="R502">
        <v>-9.6268240000000008E-3</v>
      </c>
      <c r="S502">
        <v>3.0145870000000001</v>
      </c>
      <c r="T502">
        <v>-0.26592359999999998</v>
      </c>
      <c r="U502">
        <v>-0.47946169999999999</v>
      </c>
      <c r="V502">
        <v>9.5768130000000004E-4</v>
      </c>
      <c r="W502">
        <v>6.8537650000000006E-2</v>
      </c>
      <c r="X502">
        <v>0.99764810000000004</v>
      </c>
      <c r="Y502">
        <v>0.14790490000000001</v>
      </c>
      <c r="Z502">
        <v>-5.7055609999999996E-3</v>
      </c>
      <c r="AA502">
        <v>0.98898509999999995</v>
      </c>
      <c r="AB502">
        <v>51</v>
      </c>
      <c r="AC502">
        <v>0.67560000000000198</v>
      </c>
      <c r="AD502">
        <v>-8.5102999999999901E-2</v>
      </c>
      <c r="AE502">
        <v>-0.15139999999996601</v>
      </c>
      <c r="AF502">
        <v>0.14332158437947601</v>
      </c>
      <c r="AG502">
        <v>-8.5102999999999901E-2</v>
      </c>
      <c r="AH502">
        <v>0.66682305705005795</v>
      </c>
      <c r="AI502">
        <v>97.112326153463997</v>
      </c>
      <c r="AJ502">
        <v>77.869846228838199</v>
      </c>
      <c r="AK502">
        <v>0.68734022621379298</v>
      </c>
      <c r="AL502">
        <v>86.070001124167305</v>
      </c>
      <c r="AM502">
        <v>89.944999564721897</v>
      </c>
      <c r="AN502">
        <v>1.0000000290272999</v>
      </c>
    </row>
    <row r="503" spans="1:40" x14ac:dyDescent="0.3">
      <c r="A503" t="str">
        <f>"20200111150732894"</f>
        <v>20200111150732894</v>
      </c>
      <c r="B503" t="str">
        <f>"1578726452891905"</f>
        <v>1578726452891905</v>
      </c>
      <c r="C503" t="s">
        <v>40</v>
      </c>
      <c r="D503">
        <v>5.2616310000000004</v>
      </c>
      <c r="E503">
        <v>0.5414234</v>
      </c>
      <c r="F503" t="s">
        <v>41</v>
      </c>
      <c r="G503">
        <v>-249.52879999999999</v>
      </c>
      <c r="H503">
        <v>1.0095959999999999</v>
      </c>
      <c r="I503">
        <v>367.12810000000002</v>
      </c>
      <c r="J503">
        <v>-250.35140000000001</v>
      </c>
      <c r="K503">
        <v>1.1089020000000001</v>
      </c>
      <c r="L503">
        <v>367.30410000000001</v>
      </c>
      <c r="M503">
        <v>0.9998648</v>
      </c>
      <c r="N503">
        <v>0</v>
      </c>
      <c r="O503">
        <v>-8.8896229999999993E-3</v>
      </c>
      <c r="P503">
        <v>0.99844290000000002</v>
      </c>
      <c r="Q503">
        <v>5.4989839999999998E-2</v>
      </c>
      <c r="R503">
        <v>-9.3718199999999995E-3</v>
      </c>
      <c r="S503">
        <v>3.0146030000000001</v>
      </c>
      <c r="T503">
        <v>-0.26629560000000002</v>
      </c>
      <c r="U503">
        <v>-0.47909550000000001</v>
      </c>
      <c r="V503">
        <v>5.5603870000000004E-4</v>
      </c>
      <c r="W503">
        <v>6.8804999999999894E-2</v>
      </c>
      <c r="X503">
        <v>0.99763000000000002</v>
      </c>
      <c r="Y503">
        <v>0.14764189999999999</v>
      </c>
      <c r="Z503">
        <v>-5.6891529999999997E-3</v>
      </c>
      <c r="AA503">
        <v>0.98902449999999997</v>
      </c>
      <c r="AB503">
        <v>51</v>
      </c>
      <c r="AC503">
        <v>0.82260000000002198</v>
      </c>
      <c r="AD503">
        <v>-9.9306000000000103E-2</v>
      </c>
      <c r="AE503">
        <v>-0.175999999999987</v>
      </c>
      <c r="AF503">
        <v>0.166361348562583</v>
      </c>
      <c r="AG503">
        <v>-9.9306000000000103E-2</v>
      </c>
      <c r="AH503">
        <v>0.81280505810246095</v>
      </c>
      <c r="AI503">
        <v>96.825572288911403</v>
      </c>
      <c r="AJ503">
        <v>78.432713031290106</v>
      </c>
      <c r="AK503">
        <v>0.83557755020614699</v>
      </c>
      <c r="AL503">
        <v>86.054646843864703</v>
      </c>
      <c r="AM503">
        <v>89.968065648128999</v>
      </c>
      <c r="AN503">
        <v>1.00000002705201</v>
      </c>
    </row>
    <row r="504" spans="1:40" x14ac:dyDescent="0.3">
      <c r="A504" t="str">
        <f>"20200111150732907"</f>
        <v>20200111150732907</v>
      </c>
      <c r="B504" t="str">
        <f>"1578726452901664"</f>
        <v>1578726452901664</v>
      </c>
      <c r="C504" t="s">
        <v>40</v>
      </c>
      <c r="D504">
        <v>4.6657279999999997</v>
      </c>
      <c r="E504">
        <v>0.54216940000000002</v>
      </c>
      <c r="F504" t="s">
        <v>42</v>
      </c>
      <c r="G504">
        <v>-158.19499999999999</v>
      </c>
      <c r="H504">
        <v>42.718449999999997</v>
      </c>
      <c r="I504">
        <v>356.74579999999997</v>
      </c>
      <c r="J504">
        <v>-250.05860000000001</v>
      </c>
      <c r="K504">
        <v>1.1089059999999999</v>
      </c>
      <c r="L504">
        <v>367.3014</v>
      </c>
      <c r="M504">
        <v>0.99986350000000002</v>
      </c>
      <c r="N504">
        <v>0</v>
      </c>
      <c r="O504">
        <v>-9.0310689999999992E-3</v>
      </c>
      <c r="P504">
        <v>0.99842830000000005</v>
      </c>
      <c r="Q504">
        <v>5.527427E-2</v>
      </c>
      <c r="R504">
        <v>-9.2814960000000002E-3</v>
      </c>
      <c r="S504">
        <v>2.928696</v>
      </c>
      <c r="T504">
        <v>1.3223370000000001</v>
      </c>
      <c r="U504">
        <v>-0.33554079999999997</v>
      </c>
      <c r="V504">
        <v>3.2437740000000002E-4</v>
      </c>
      <c r="W504">
        <v>6.9088040000000003E-2</v>
      </c>
      <c r="X504">
        <v>0.99761049999999996</v>
      </c>
      <c r="Y504">
        <v>9.6456829999999993E-2</v>
      </c>
      <c r="Z504">
        <v>1.682997E-2</v>
      </c>
      <c r="AA504">
        <v>0.99519489999999999</v>
      </c>
      <c r="AB504">
        <v>51</v>
      </c>
      <c r="AC504">
        <v>91.863600000000005</v>
      </c>
      <c r="AD504">
        <v>41.609544</v>
      </c>
      <c r="AE504">
        <v>-10.5556</v>
      </c>
      <c r="AF504">
        <v>8.0877743826597897</v>
      </c>
      <c r="AG504">
        <v>41.609544</v>
      </c>
      <c r="AH504">
        <v>76.470682553829405</v>
      </c>
      <c r="AI504">
        <v>61.581905431958297</v>
      </c>
      <c r="AJ504">
        <v>83.962666388671394</v>
      </c>
      <c r="AK504">
        <v>87.433011709544203</v>
      </c>
      <c r="AL504">
        <v>86.038391001616901</v>
      </c>
      <c r="AM504">
        <v>89.981370028348294</v>
      </c>
      <c r="AN504">
        <v>0.99999998610099405</v>
      </c>
    </row>
    <row r="505" spans="1:40" x14ac:dyDescent="0.3">
      <c r="A505" t="str">
        <f>"20200111150732920"</f>
        <v>20200111150732920</v>
      </c>
      <c r="B505" t="str">
        <f>"1578726452911425"</f>
        <v>1578726452911425</v>
      </c>
      <c r="C505" t="s">
        <v>40</v>
      </c>
      <c r="D505">
        <v>5.4696030000000002</v>
      </c>
      <c r="E505">
        <v>0.55349230000000005</v>
      </c>
      <c r="F505" t="s">
        <v>42</v>
      </c>
      <c r="G505">
        <v>-158.19499999999999</v>
      </c>
      <c r="H505">
        <v>7.1940420000000005E-2</v>
      </c>
      <c r="I505">
        <v>356.03410000000002</v>
      </c>
      <c r="J505">
        <v>-249.774</v>
      </c>
      <c r="K505">
        <v>1.1089100000000001</v>
      </c>
      <c r="L505">
        <v>367.29880000000003</v>
      </c>
      <c r="M505">
        <v>0.99986229999999998</v>
      </c>
      <c r="N505">
        <v>0</v>
      </c>
      <c r="O505">
        <v>-9.1677479999999999E-3</v>
      </c>
      <c r="P505">
        <v>0.99841199999999997</v>
      </c>
      <c r="Q505">
        <v>5.5591349999999998E-2</v>
      </c>
      <c r="R505">
        <v>-9.1299180000000008E-3</v>
      </c>
      <c r="S505">
        <v>3.003174</v>
      </c>
      <c r="T505">
        <v>-3.3897280000000002E-2</v>
      </c>
      <c r="U505">
        <v>-0.36834719999999999</v>
      </c>
      <c r="V505" s="1">
        <v>3.6306210000000002E-5</v>
      </c>
      <c r="W505">
        <v>6.9404389999999996E-2</v>
      </c>
      <c r="X505">
        <v>0.99758860000000005</v>
      </c>
      <c r="Y505">
        <v>0.1126283</v>
      </c>
      <c r="Z505">
        <v>-5.3015120000000004E-4</v>
      </c>
      <c r="AA505">
        <v>0.99363699999999999</v>
      </c>
      <c r="AB505">
        <v>51</v>
      </c>
      <c r="AC505">
        <v>91.578999999999994</v>
      </c>
      <c r="AD505">
        <v>-1.0369695800000001</v>
      </c>
      <c r="AE505">
        <v>-11.264699999999999</v>
      </c>
      <c r="AF505">
        <v>10.423256486044799</v>
      </c>
      <c r="AG505">
        <v>-1.0369695800000001</v>
      </c>
      <c r="AH505">
        <v>91.666854570642897</v>
      </c>
      <c r="AI505">
        <v>90.6439741264752</v>
      </c>
      <c r="AJ505">
        <v>83.512873102101494</v>
      </c>
      <c r="AK505">
        <v>92.263382815497906</v>
      </c>
      <c r="AL505">
        <v>86.020221894790893</v>
      </c>
      <c r="AM505">
        <v>89.997914779096106</v>
      </c>
      <c r="AN505">
        <v>0.99999999275968598</v>
      </c>
    </row>
    <row r="506" spans="1:40" x14ac:dyDescent="0.3">
      <c r="A506" t="str">
        <f>"20200111150732932"</f>
        <v>20200111150732932</v>
      </c>
      <c r="B506" t="str">
        <f>"1578726452922163"</f>
        <v>1578726452922163</v>
      </c>
      <c r="C506" t="s">
        <v>40</v>
      </c>
      <c r="D506">
        <v>6.2115960000000001</v>
      </c>
      <c r="E506">
        <v>0.55349230000000005</v>
      </c>
      <c r="F506" t="s">
        <v>43</v>
      </c>
      <c r="G506">
        <v>-216.27969999999999</v>
      </c>
      <c r="H506" s="1">
        <v>-3.2308449999999998E-6</v>
      </c>
      <c r="I506">
        <v>362.17959999999999</v>
      </c>
      <c r="J506">
        <v>-249.4796</v>
      </c>
      <c r="K506">
        <v>1.1089100000000001</v>
      </c>
      <c r="L506">
        <v>367.29590000000002</v>
      </c>
      <c r="M506">
        <v>0.99986090000000005</v>
      </c>
      <c r="N506">
        <v>0</v>
      </c>
      <c r="O506">
        <v>-9.3067970000000003E-3</v>
      </c>
      <c r="P506">
        <v>0.9983976</v>
      </c>
      <c r="Q506">
        <v>5.5838810000000003E-2</v>
      </c>
      <c r="R506">
        <v>-9.1784950000000001E-3</v>
      </c>
      <c r="S506">
        <v>3.006119</v>
      </c>
      <c r="T506">
        <v>-9.9524970000000004E-2</v>
      </c>
      <c r="U506">
        <v>-0.45944210000000002</v>
      </c>
      <c r="V506" s="1">
        <v>-5.4010130000000002E-5</v>
      </c>
      <c r="W506">
        <v>6.9650309999999993E-2</v>
      </c>
      <c r="X506">
        <v>0.99757150000000006</v>
      </c>
      <c r="Y506">
        <v>0.14180299999999901</v>
      </c>
      <c r="Z506">
        <v>-2.026955E-3</v>
      </c>
      <c r="AA506">
        <v>0.98989280000000002</v>
      </c>
      <c r="AB506">
        <v>51</v>
      </c>
      <c r="AC506">
        <v>33.1999</v>
      </c>
      <c r="AD506">
        <v>-1.108913230845</v>
      </c>
      <c r="AE506">
        <v>-5.1163000000000203</v>
      </c>
      <c r="AF506">
        <v>4.8018312335450402</v>
      </c>
      <c r="AG506">
        <v>-1.108913230845</v>
      </c>
      <c r="AH506">
        <v>33.209892196995597</v>
      </c>
      <c r="AI506">
        <v>91.892787004517899</v>
      </c>
      <c r="AJ506">
        <v>81.772599810476507</v>
      </c>
      <c r="AK506">
        <v>33.5735641760755</v>
      </c>
      <c r="AL506">
        <v>86.006097697653999</v>
      </c>
      <c r="AM506">
        <v>90.003102085912502</v>
      </c>
      <c r="AN506">
        <v>1.00000003310621</v>
      </c>
    </row>
    <row r="507" spans="1:40" x14ac:dyDescent="0.3">
      <c r="A507" t="str">
        <f>"20200111150732944"</f>
        <v>20200111150732944</v>
      </c>
      <c r="B507" t="str">
        <f>"1578726452941680"</f>
        <v>1578726452941680</v>
      </c>
      <c r="C507" t="s">
        <v>40</v>
      </c>
      <c r="D507">
        <v>5.2165839999999903</v>
      </c>
      <c r="E507">
        <v>0.56248619999999905</v>
      </c>
      <c r="F507" t="s">
        <v>43</v>
      </c>
      <c r="G507">
        <v>-215.71700000000001</v>
      </c>
      <c r="H507" s="1">
        <v>-3.434297E-6</v>
      </c>
      <c r="I507">
        <v>362.13470000000001</v>
      </c>
      <c r="J507">
        <v>-249.22210000000001</v>
      </c>
      <c r="K507">
        <v>1.108916</v>
      </c>
      <c r="L507">
        <v>367.29349999999999</v>
      </c>
      <c r="M507">
        <v>0.99985979999999997</v>
      </c>
      <c r="N507">
        <v>0</v>
      </c>
      <c r="O507">
        <v>-9.4266569999999997E-3</v>
      </c>
      <c r="P507">
        <v>0.99839129999999998</v>
      </c>
      <c r="Q507">
        <v>5.5998149999999997E-2</v>
      </c>
      <c r="R507">
        <v>-8.8892699999999995E-3</v>
      </c>
      <c r="S507">
        <v>3.006119</v>
      </c>
      <c r="T507">
        <v>-9.8734020000000006E-2</v>
      </c>
      <c r="U507">
        <v>-0.45953369999999999</v>
      </c>
      <c r="V507">
        <v>-4.6360770000000002E-4</v>
      </c>
      <c r="W507">
        <v>6.9808709999999996E-2</v>
      </c>
      <c r="X507">
        <v>0.99756029999999996</v>
      </c>
      <c r="Y507">
        <v>0.14171500000000001</v>
      </c>
      <c r="Z507">
        <v>-2.0055030000000001E-3</v>
      </c>
      <c r="AA507">
        <v>0.98990549999999999</v>
      </c>
      <c r="AB507">
        <v>51</v>
      </c>
      <c r="AC507">
        <v>33.505099999999999</v>
      </c>
      <c r="AD507">
        <v>-1.1089194342969999</v>
      </c>
      <c r="AE507">
        <v>-5.1587999999999798</v>
      </c>
      <c r="AF507">
        <v>4.8375230333733299</v>
      </c>
      <c r="AG507">
        <v>-1.1089194342969999</v>
      </c>
      <c r="AH507">
        <v>33.516381839604598</v>
      </c>
      <c r="AI507">
        <v>91.875569606622506</v>
      </c>
      <c r="AJ507">
        <v>81.787040464672899</v>
      </c>
      <c r="AK507">
        <v>33.881841494056303</v>
      </c>
      <c r="AL507">
        <v>85.996999815338199</v>
      </c>
      <c r="AM507">
        <v>90.026627726311204</v>
      </c>
      <c r="AN507">
        <v>1.00000001153002</v>
      </c>
    </row>
    <row r="508" spans="1:40" x14ac:dyDescent="0.3">
      <c r="A508" t="str">
        <f>"20200111150732957"</f>
        <v>20200111150732957</v>
      </c>
      <c r="B508" t="str">
        <f>"1578726452951441"</f>
        <v>1578726452951441</v>
      </c>
      <c r="C508" t="s">
        <v>40</v>
      </c>
      <c r="D508">
        <v>5.2547110000000004</v>
      </c>
      <c r="E508">
        <v>0.56465359999999998</v>
      </c>
      <c r="F508" t="s">
        <v>43</v>
      </c>
      <c r="G508">
        <v>-215.67930000000001</v>
      </c>
      <c r="H508" s="1">
        <v>-3.6493520000000001E-6</v>
      </c>
      <c r="I508">
        <v>361.37470000000002</v>
      </c>
      <c r="J508">
        <v>-248.93109999999999</v>
      </c>
      <c r="K508">
        <v>1.108922</v>
      </c>
      <c r="L508">
        <v>367.29059999999998</v>
      </c>
      <c r="M508">
        <v>0.99985860000000004</v>
      </c>
      <c r="N508">
        <v>0</v>
      </c>
      <c r="O508">
        <v>-9.5597340000000003E-3</v>
      </c>
      <c r="P508">
        <v>0.99838649999999995</v>
      </c>
      <c r="Q508">
        <v>5.6045900000000003E-2</v>
      </c>
      <c r="R508">
        <v>-9.1353059999999993E-3</v>
      </c>
      <c r="S508">
        <v>3.0056759999999998</v>
      </c>
      <c r="T508">
        <v>-9.936702E-2</v>
      </c>
      <c r="U508">
        <v>-0.53036499999999998</v>
      </c>
      <c r="V508">
        <v>-3.508718E-4</v>
      </c>
      <c r="W508">
        <v>6.9855319999999999E-2</v>
      </c>
      <c r="X508">
        <v>0.99755700000000003</v>
      </c>
      <c r="Y508">
        <v>0.16426489999999999</v>
      </c>
      <c r="Z508">
        <v>-2.3802509999999999E-3</v>
      </c>
      <c r="AA508">
        <v>0.9864134</v>
      </c>
      <c r="AB508">
        <v>51</v>
      </c>
      <c r="AC508">
        <v>33.251799999999903</v>
      </c>
      <c r="AD508">
        <v>-1.1089256493520001</v>
      </c>
      <c r="AE508">
        <v>-5.9158999999999597</v>
      </c>
      <c r="AF508">
        <v>5.5916926790129704</v>
      </c>
      <c r="AG508">
        <v>-1.1089256493520001</v>
      </c>
      <c r="AH508">
        <v>33.270972156496697</v>
      </c>
      <c r="AI508">
        <v>91.8825856610285</v>
      </c>
      <c r="AJ508">
        <v>80.459730987631801</v>
      </c>
      <c r="AK508">
        <v>33.755804409770803</v>
      </c>
      <c r="AL508">
        <v>85.994322390726694</v>
      </c>
      <c r="AM508">
        <v>90.020152705520701</v>
      </c>
      <c r="AN508">
        <v>0.99999992854615805</v>
      </c>
    </row>
    <row r="509" spans="1:40" x14ac:dyDescent="0.3">
      <c r="A509" t="str">
        <f>"20200111150732969"</f>
        <v>20200111150732969</v>
      </c>
      <c r="B509" t="str">
        <f>"1578726452961201"</f>
        <v>1578726452961201</v>
      </c>
      <c r="C509" t="s">
        <v>40</v>
      </c>
      <c r="D509">
        <v>5.4894860000000003</v>
      </c>
      <c r="E509">
        <v>0.56856879999999999</v>
      </c>
      <c r="F509" t="s">
        <v>43</v>
      </c>
      <c r="G509">
        <v>-224.08330000000001</v>
      </c>
      <c r="H509" s="1">
        <v>-3.826211E-6</v>
      </c>
      <c r="I509">
        <v>362.75119999999998</v>
      </c>
      <c r="J509">
        <v>-248.6514</v>
      </c>
      <c r="K509">
        <v>1.1089279999999999</v>
      </c>
      <c r="L509">
        <v>367.28789999999998</v>
      </c>
      <c r="M509">
        <v>0.99985749999999995</v>
      </c>
      <c r="N509">
        <v>0</v>
      </c>
      <c r="O509">
        <v>-9.6836160000000008E-3</v>
      </c>
      <c r="P509">
        <v>0.99839520000000004</v>
      </c>
      <c r="Q509">
        <v>5.5936079999999999E-2</v>
      </c>
      <c r="R509">
        <v>-8.8522489999999995E-3</v>
      </c>
      <c r="S509">
        <v>3.007355</v>
      </c>
      <c r="T509">
        <v>-0.134214</v>
      </c>
      <c r="U509">
        <v>-0.54940800000000001</v>
      </c>
      <c r="V509">
        <v>-7.5805320000000003E-4</v>
      </c>
      <c r="W509">
        <v>6.9744970000000003E-2</v>
      </c>
      <c r="X509">
        <v>0.99756460000000002</v>
      </c>
      <c r="Y509">
        <v>0.17002410000000001</v>
      </c>
      <c r="Z509">
        <v>-3.3326509999999998E-3</v>
      </c>
      <c r="AA509">
        <v>0.98543429999999999</v>
      </c>
      <c r="AB509">
        <v>51</v>
      </c>
      <c r="AC509">
        <v>24.568099999999902</v>
      </c>
      <c r="AD509">
        <v>-1.1089318262109999</v>
      </c>
      <c r="AE509">
        <v>-4.53669999999999</v>
      </c>
      <c r="AF509">
        <v>4.2901041994212399</v>
      </c>
      <c r="AG509">
        <v>-1.1089318262109999</v>
      </c>
      <c r="AH509">
        <v>24.562491326543899</v>
      </c>
      <c r="AI509">
        <v>92.546499698635898</v>
      </c>
      <c r="AJ509">
        <v>80.092613224974798</v>
      </c>
      <c r="AK509">
        <v>24.958980427966601</v>
      </c>
      <c r="AL509">
        <v>86.000660858725695</v>
      </c>
      <c r="AM509">
        <v>90.043539276199397</v>
      </c>
      <c r="AN509">
        <v>1.00000003332905</v>
      </c>
    </row>
    <row r="510" spans="1:40" x14ac:dyDescent="0.3">
      <c r="A510" t="str">
        <f>"20200111150732981"</f>
        <v>20200111150732981</v>
      </c>
      <c r="B510" t="str">
        <f>"1578726452971937"</f>
        <v>1578726452971937</v>
      </c>
      <c r="C510" t="s">
        <v>40</v>
      </c>
      <c r="D510">
        <v>4.2128399999999999</v>
      </c>
      <c r="E510">
        <v>0.56242829999999999</v>
      </c>
      <c r="F510" t="s">
        <v>43</v>
      </c>
      <c r="G510">
        <v>-227.6892</v>
      </c>
      <c r="H510" s="1">
        <v>-2.4676930000000001E-6</v>
      </c>
      <c r="I510">
        <v>363.24509999999998</v>
      </c>
      <c r="J510">
        <v>-248.3777</v>
      </c>
      <c r="K510">
        <v>1.1089340000000001</v>
      </c>
      <c r="L510">
        <v>367.28519999999997</v>
      </c>
      <c r="M510">
        <v>0.99985639999999998</v>
      </c>
      <c r="N510">
        <v>0</v>
      </c>
      <c r="O510">
        <v>-9.8026039999999995E-3</v>
      </c>
      <c r="P510">
        <v>0.99838649999999995</v>
      </c>
      <c r="Q510">
        <v>5.606452E-2</v>
      </c>
      <c r="R510">
        <v>-9.0377430000000009E-3</v>
      </c>
      <c r="S510">
        <v>3.008591</v>
      </c>
      <c r="T510">
        <v>-0.1591582</v>
      </c>
      <c r="U510">
        <v>-0.58023069999999999</v>
      </c>
      <c r="V510">
        <v>-6.9240380000000002E-4</v>
      </c>
      <c r="W510">
        <v>6.987198E-2</v>
      </c>
      <c r="X510">
        <v>0.99755570000000005</v>
      </c>
      <c r="Y510">
        <v>0.17950450000000001</v>
      </c>
      <c r="Z510">
        <v>-4.1880499999999996E-3</v>
      </c>
      <c r="AA510">
        <v>0.98374830000000002</v>
      </c>
      <c r="AB510">
        <v>51</v>
      </c>
      <c r="AC510">
        <v>20.688500000000001</v>
      </c>
      <c r="AD510">
        <v>-1.108936467693</v>
      </c>
      <c r="AE510">
        <v>-4.04009999999999</v>
      </c>
      <c r="AF510">
        <v>3.8264951363510602</v>
      </c>
      <c r="AG510">
        <v>-1.108936467693</v>
      </c>
      <c r="AH510">
        <v>20.669907298932799</v>
      </c>
      <c r="AI510">
        <v>93.019751704825296</v>
      </c>
      <c r="AJ510">
        <v>79.5119145395564</v>
      </c>
      <c r="AK510">
        <v>21.050341395435201</v>
      </c>
      <c r="AL510">
        <v>85.993365686509804</v>
      </c>
      <c r="AM510">
        <v>90.039769016494802</v>
      </c>
      <c r="AN510">
        <v>0.99999997380731598</v>
      </c>
    </row>
    <row r="511" spans="1:40" x14ac:dyDescent="0.3">
      <c r="A511" t="str">
        <f>"20200111150733009"</f>
        <v>20200111150733009</v>
      </c>
      <c r="B511" t="str">
        <f>"1578726453001217"</f>
        <v>1578726453001217</v>
      </c>
      <c r="C511" t="s">
        <v>40</v>
      </c>
      <c r="D511">
        <v>5.2614169999999998</v>
      </c>
      <c r="E511">
        <v>0.56540440000000003</v>
      </c>
      <c r="F511" t="s">
        <v>43</v>
      </c>
      <c r="G511">
        <v>-229.76439999999999</v>
      </c>
      <c r="H511" s="1">
        <v>-1.5617689999999901E-6</v>
      </c>
      <c r="I511">
        <v>363.9957</v>
      </c>
      <c r="J511">
        <v>-247.78639999999999</v>
      </c>
      <c r="K511">
        <v>1.1089519999999999</v>
      </c>
      <c r="L511">
        <v>367.27910000000003</v>
      </c>
      <c r="M511">
        <v>0.99985400000000002</v>
      </c>
      <c r="N511">
        <v>0</v>
      </c>
      <c r="O511">
        <v>-1.0043379999999999E-2</v>
      </c>
      <c r="P511">
        <v>0.99837169999999997</v>
      </c>
      <c r="Q511">
        <v>5.602244E-2</v>
      </c>
      <c r="R511">
        <v>-1.076621E-2</v>
      </c>
      <c r="S511">
        <v>3.0101170000000002</v>
      </c>
      <c r="T511">
        <v>-0.179334299999999</v>
      </c>
      <c r="U511">
        <v>-0.53195190000000003</v>
      </c>
      <c r="V511">
        <v>7.9349879999999996E-4</v>
      </c>
      <c r="W511">
        <v>6.982679E-2</v>
      </c>
      <c r="X511">
        <v>0.99755879999999997</v>
      </c>
      <c r="Y511">
        <v>0.1638606</v>
      </c>
      <c r="Z511">
        <v>-4.2462949999999998E-3</v>
      </c>
      <c r="AA511">
        <v>0.98647439999999997</v>
      </c>
      <c r="AB511">
        <v>51</v>
      </c>
      <c r="AC511">
        <v>18.021999999999899</v>
      </c>
      <c r="AD511">
        <v>-1.1089535617689901</v>
      </c>
      <c r="AE511">
        <v>-3.2834000000000199</v>
      </c>
      <c r="AF511">
        <v>3.0908880701460602</v>
      </c>
      <c r="AG511">
        <v>-1.1089535617689901</v>
      </c>
      <c r="AH511">
        <v>17.988149128381501</v>
      </c>
      <c r="AI511">
        <v>93.476942016772796</v>
      </c>
      <c r="AJ511">
        <v>80.250127654079904</v>
      </c>
      <c r="AK511">
        <v>18.2854279722741</v>
      </c>
      <c r="AL511">
        <v>85.995961266610095</v>
      </c>
      <c r="AM511">
        <v>89.954424618679198</v>
      </c>
      <c r="AN511">
        <v>0.99999998484974395</v>
      </c>
    </row>
    <row r="512" spans="1:40" x14ac:dyDescent="0.3">
      <c r="A512" t="str">
        <f>"20200111150733019"</f>
        <v>20200111150733019</v>
      </c>
      <c r="B512" t="str">
        <f>"1578726453011953"</f>
        <v>1578726453011953</v>
      </c>
      <c r="C512" t="s">
        <v>40</v>
      </c>
      <c r="D512">
        <v>6.7068369999999904</v>
      </c>
      <c r="E512">
        <v>0.56540440000000003</v>
      </c>
      <c r="F512" t="s">
        <v>43</v>
      </c>
      <c r="G512">
        <v>-232.57149999999999</v>
      </c>
      <c r="H512" s="1">
        <v>-4.0867729999999999E-6</v>
      </c>
      <c r="I512">
        <v>364.44310000000002</v>
      </c>
      <c r="J512">
        <v>-247.50290000000001</v>
      </c>
      <c r="K512">
        <v>1.1089610000000001</v>
      </c>
      <c r="L512">
        <v>367.27620000000002</v>
      </c>
      <c r="M512">
        <v>0.99985290000000004</v>
      </c>
      <c r="N512">
        <v>0</v>
      </c>
      <c r="O512">
        <v>-1.015423E-2</v>
      </c>
      <c r="P512">
        <v>0.99836950000000002</v>
      </c>
      <c r="Q512">
        <v>5.5957689999999997E-2</v>
      </c>
      <c r="R512">
        <v>-1.128149E-2</v>
      </c>
      <c r="S512">
        <v>3.011139</v>
      </c>
      <c r="T512">
        <v>-0.21946860000000001</v>
      </c>
      <c r="U512">
        <v>-0.56124879999999999</v>
      </c>
      <c r="V512">
        <v>1.1970699999999999E-3</v>
      </c>
      <c r="W512">
        <v>6.976019E-2</v>
      </c>
      <c r="X512">
        <v>0.99756310000000004</v>
      </c>
      <c r="Y512">
        <v>0.1728256</v>
      </c>
      <c r="Z512">
        <v>-5.5036900000000003E-3</v>
      </c>
      <c r="AA512">
        <v>0.98493710000000001</v>
      </c>
      <c r="AB512">
        <v>51</v>
      </c>
      <c r="AC512">
        <v>14.9314</v>
      </c>
      <c r="AD512">
        <v>-1.1089650867730001</v>
      </c>
      <c r="AE512">
        <v>-2.8331</v>
      </c>
      <c r="AF512">
        <v>2.66712161500292</v>
      </c>
      <c r="AG512">
        <v>-1.1089650867730001</v>
      </c>
      <c r="AH512">
        <v>14.8801721178374</v>
      </c>
      <c r="AI512">
        <v>94.195548802918694</v>
      </c>
      <c r="AJ512">
        <v>79.8382117027558</v>
      </c>
      <c r="AK512">
        <v>15.1579307139649</v>
      </c>
      <c r="AL512">
        <v>85.999786665572799</v>
      </c>
      <c r="AM512">
        <v>89.931245426118593</v>
      </c>
      <c r="AN512">
        <v>1.0000000277835099</v>
      </c>
    </row>
    <row r="513" spans="1:40" x14ac:dyDescent="0.3">
      <c r="A513" t="str">
        <f>"20200111150733031"</f>
        <v>20200111150733031</v>
      </c>
      <c r="B513" t="str">
        <f>"1578726453021713"</f>
        <v>1578726453021713</v>
      </c>
      <c r="C513" t="s">
        <v>40</v>
      </c>
      <c r="D513">
        <v>6.0498649999999996</v>
      </c>
      <c r="E513">
        <v>0.54981679999999999</v>
      </c>
      <c r="F513" t="s">
        <v>43</v>
      </c>
      <c r="G513">
        <v>-232.27359999999999</v>
      </c>
      <c r="H513" s="1">
        <v>-4.2172489999999999E-6</v>
      </c>
      <c r="I513">
        <v>364.42809999999997</v>
      </c>
      <c r="J513">
        <v>-247.22040000000001</v>
      </c>
      <c r="K513">
        <v>1.1089690000000001</v>
      </c>
      <c r="L513">
        <v>367.27330000000001</v>
      </c>
      <c r="M513">
        <v>0.99985179999999996</v>
      </c>
      <c r="N513">
        <v>0</v>
      </c>
      <c r="O513">
        <v>-1.025707E-2</v>
      </c>
      <c r="P513">
        <v>0.99836829999999999</v>
      </c>
      <c r="Q513">
        <v>5.595431E-2</v>
      </c>
      <c r="R513">
        <v>-1.140561E-2</v>
      </c>
      <c r="S513">
        <v>3.010818</v>
      </c>
      <c r="T513">
        <v>-0.2192402</v>
      </c>
      <c r="U513">
        <v>-0.56304929999999997</v>
      </c>
      <c r="V513">
        <v>1.2170149999999999E-3</v>
      </c>
      <c r="W513">
        <v>6.9755919999999999E-2</v>
      </c>
      <c r="X513">
        <v>0.99756339999999999</v>
      </c>
      <c r="Y513">
        <v>0.1733122</v>
      </c>
      <c r="Z513">
        <v>-5.5083830000000004E-3</v>
      </c>
      <c r="AA513">
        <v>0.98485149999999999</v>
      </c>
      <c r="AB513">
        <v>51</v>
      </c>
      <c r="AC513">
        <v>14.9468</v>
      </c>
      <c r="AD513">
        <v>-1.1089732172490001</v>
      </c>
      <c r="AE513">
        <v>-2.8452000000000299</v>
      </c>
      <c r="AF513">
        <v>2.6775014214777899</v>
      </c>
      <c r="AG513">
        <v>-1.1089732172490001</v>
      </c>
      <c r="AH513">
        <v>14.896066530222299</v>
      </c>
      <c r="AI513">
        <v>94.190751520791295</v>
      </c>
      <c r="AJ513">
        <v>79.810149213798596</v>
      </c>
      <c r="AK513">
        <v>15.175362714986401</v>
      </c>
      <c r="AL513">
        <v>86.000032018060494</v>
      </c>
      <c r="AM513">
        <v>89.930099892889402</v>
      </c>
      <c r="AN513">
        <v>1.0000000532600499</v>
      </c>
    </row>
    <row r="514" spans="1:40" x14ac:dyDescent="0.3">
      <c r="A514" t="str">
        <f>"20200111150733045"</f>
        <v>20200111150733045</v>
      </c>
      <c r="B514" t="str">
        <f>"1578726453041233"</f>
        <v>1578726453041233</v>
      </c>
      <c r="C514" t="s">
        <v>40</v>
      </c>
      <c r="D514">
        <v>5.3291139999999997</v>
      </c>
      <c r="E514">
        <v>0.58311950000000001</v>
      </c>
      <c r="F514" t="s">
        <v>42</v>
      </c>
      <c r="G514">
        <v>-158.19499999999999</v>
      </c>
      <c r="H514">
        <v>40.665759999999999</v>
      </c>
      <c r="I514">
        <v>354.8424</v>
      </c>
      <c r="J514">
        <v>-246.93600000000001</v>
      </c>
      <c r="K514">
        <v>1.108978</v>
      </c>
      <c r="L514">
        <v>367.27030000000002</v>
      </c>
      <c r="M514">
        <v>0.99985069999999998</v>
      </c>
      <c r="N514">
        <v>0</v>
      </c>
      <c r="O514">
        <v>-1.035704E-2</v>
      </c>
      <c r="P514">
        <v>0.99836519999999995</v>
      </c>
      <c r="Q514">
        <v>5.589674E-2</v>
      </c>
      <c r="R514">
        <v>-1.194478E-2</v>
      </c>
      <c r="S514">
        <v>2.9273220000000002</v>
      </c>
      <c r="T514">
        <v>1.3007029999999999</v>
      </c>
      <c r="U514">
        <v>-0.40875240000000002</v>
      </c>
      <c r="V514">
        <v>1.6547529999999999E-3</v>
      </c>
      <c r="W514">
        <v>6.9696939999999999E-2</v>
      </c>
      <c r="X514">
        <v>0.99756679999999998</v>
      </c>
      <c r="Y514">
        <v>0.11806220000000001</v>
      </c>
      <c r="Z514">
        <v>2.0567160000000001E-2</v>
      </c>
      <c r="AA514">
        <v>0.99279320000000004</v>
      </c>
      <c r="AB514">
        <v>51</v>
      </c>
      <c r="AC514">
        <v>88.7409999999999</v>
      </c>
      <c r="AD514">
        <v>39.556781999999998</v>
      </c>
      <c r="AE514">
        <v>-12.427899999999999</v>
      </c>
      <c r="AF514">
        <v>9.6311696438515302</v>
      </c>
      <c r="AG514">
        <v>39.556781999999998</v>
      </c>
      <c r="AH514">
        <v>74.371721262814205</v>
      </c>
      <c r="AI514">
        <v>62.189484546512901</v>
      </c>
      <c r="AJ514">
        <v>82.621237407303994</v>
      </c>
      <c r="AK514">
        <v>84.785914835530903</v>
      </c>
      <c r="AL514">
        <v>86.003419198647805</v>
      </c>
      <c r="AM514">
        <v>89.904958468869097</v>
      </c>
      <c r="AN514">
        <v>0.99999996105754596</v>
      </c>
    </row>
    <row r="515" spans="1:40" x14ac:dyDescent="0.3">
      <c r="A515" t="str">
        <f>"20200111150733058"</f>
        <v>20200111150733058</v>
      </c>
      <c r="B515" t="str">
        <f>"1578726453051969"</f>
        <v>1578726453051969</v>
      </c>
      <c r="C515" t="s">
        <v>40</v>
      </c>
      <c r="D515">
        <v>5.3281660000000004</v>
      </c>
      <c r="E515">
        <v>0.58205410000000002</v>
      </c>
      <c r="F515" t="s">
        <v>43</v>
      </c>
      <c r="G515">
        <v>-234.0454</v>
      </c>
      <c r="H515" s="1">
        <v>-3.4903080000000001E-6</v>
      </c>
      <c r="I515">
        <v>364.24119999999999</v>
      </c>
      <c r="J515">
        <v>-246.61160000000001</v>
      </c>
      <c r="K515">
        <v>1.1089869999999999</v>
      </c>
      <c r="L515">
        <v>367.26690000000002</v>
      </c>
      <c r="M515">
        <v>0.99984960000000001</v>
      </c>
      <c r="N515">
        <v>0</v>
      </c>
      <c r="O515">
        <v>-1.046628E-2</v>
      </c>
      <c r="P515">
        <v>0.99837679999999995</v>
      </c>
      <c r="Q515">
        <v>5.564566E-2</v>
      </c>
      <c r="R515">
        <v>-1.2140440000000001E-2</v>
      </c>
      <c r="S515">
        <v>3.0109859999999999</v>
      </c>
      <c r="T515">
        <v>-0.25903369999999998</v>
      </c>
      <c r="U515">
        <v>-0.70751949999999997</v>
      </c>
      <c r="V515">
        <v>1.739195E-3</v>
      </c>
      <c r="W515">
        <v>6.9444809999999996E-2</v>
      </c>
      <c r="X515">
        <v>0.99758429999999998</v>
      </c>
      <c r="Y515">
        <v>0.21782119999999999</v>
      </c>
      <c r="Z515">
        <v>-8.340732E-3</v>
      </c>
      <c r="AA515">
        <v>0.97595299999999996</v>
      </c>
      <c r="AB515">
        <v>51</v>
      </c>
      <c r="AC515">
        <v>12.5662</v>
      </c>
      <c r="AD515">
        <v>-1.1089904903079999</v>
      </c>
      <c r="AE515">
        <v>-3.02570000000002</v>
      </c>
      <c r="AF515">
        <v>2.8728515164797699</v>
      </c>
      <c r="AG515">
        <v>-1.1089904903079999</v>
      </c>
      <c r="AH515">
        <v>12.5051247221345</v>
      </c>
      <c r="AI515">
        <v>94.939876918787803</v>
      </c>
      <c r="AJ515">
        <v>77.061714789498197</v>
      </c>
      <c r="AK515">
        <v>12.878714223845201</v>
      </c>
      <c r="AL515">
        <v>86.017900510782795</v>
      </c>
      <c r="AM515">
        <v>89.900110264073902</v>
      </c>
      <c r="AN515">
        <v>1.00000002102083</v>
      </c>
    </row>
    <row r="516" spans="1:40" x14ac:dyDescent="0.3">
      <c r="A516" t="str">
        <f>"20200111150733070"</f>
        <v>20200111150733070</v>
      </c>
      <c r="B516" t="str">
        <f>"1578726453061729"</f>
        <v>1578726453061729</v>
      </c>
      <c r="C516" t="s">
        <v>40</v>
      </c>
      <c r="D516">
        <v>5.3525229999999997</v>
      </c>
      <c r="E516">
        <v>0.58217129999999995</v>
      </c>
      <c r="F516" t="s">
        <v>43</v>
      </c>
      <c r="G516">
        <v>-234.21029999999999</v>
      </c>
      <c r="H516" s="1">
        <v>-3.3940800000000001E-6</v>
      </c>
      <c r="I516">
        <v>364.38479999999998</v>
      </c>
      <c r="J516">
        <v>-246.34270000000001</v>
      </c>
      <c r="K516">
        <v>1.1089979999999999</v>
      </c>
      <c r="L516">
        <v>367.26400000000001</v>
      </c>
      <c r="M516">
        <v>0.99984870000000003</v>
      </c>
      <c r="N516">
        <v>0</v>
      </c>
      <c r="O516">
        <v>-1.0550520000000001E-2</v>
      </c>
      <c r="P516">
        <v>0.99838839999999995</v>
      </c>
      <c r="Q516">
        <v>5.536423E-2</v>
      </c>
      <c r="R516">
        <v>-1.246164E-2</v>
      </c>
      <c r="S516">
        <v>3.0113979999999998</v>
      </c>
      <c r="T516">
        <v>-0.26929320000000001</v>
      </c>
      <c r="U516">
        <v>-0.69982909999999998</v>
      </c>
      <c r="V516">
        <v>1.9747229999999998E-3</v>
      </c>
      <c r="W516">
        <v>6.9162249999999995E-2</v>
      </c>
      <c r="X516">
        <v>0.99760349999999998</v>
      </c>
      <c r="Y516">
        <v>0.2152963</v>
      </c>
      <c r="Z516">
        <v>-8.5525480000000001E-3</v>
      </c>
      <c r="AA516">
        <v>0.97651129999999997</v>
      </c>
      <c r="AB516">
        <v>51</v>
      </c>
      <c r="AC516">
        <v>12.132400000000001</v>
      </c>
      <c r="AD516">
        <v>-1.1090013940800001</v>
      </c>
      <c r="AE516">
        <v>-2.87920000000002</v>
      </c>
      <c r="AF516">
        <v>2.7294345478205799</v>
      </c>
      <c r="AG516">
        <v>-1.1090013940800001</v>
      </c>
      <c r="AH516">
        <v>12.0666574321593</v>
      </c>
      <c r="AI516">
        <v>95.122395284713804</v>
      </c>
      <c r="AJ516">
        <v>77.254387291550202</v>
      </c>
      <c r="AK516">
        <v>12.4211077858617</v>
      </c>
      <c r="AL516">
        <v>86.034129060283306</v>
      </c>
      <c r="AM516">
        <v>89.886585055253207</v>
      </c>
      <c r="AN516">
        <v>1.0000000297841101</v>
      </c>
    </row>
    <row r="517" spans="1:40" x14ac:dyDescent="0.3">
      <c r="A517" t="str">
        <f>"20200111150733084"</f>
        <v>20200111150733084</v>
      </c>
      <c r="B517" t="str">
        <f>"1578726453081249"</f>
        <v>1578726453081249</v>
      </c>
      <c r="C517" t="s">
        <v>40</v>
      </c>
      <c r="D517">
        <v>5.3279870000000003</v>
      </c>
      <c r="E517">
        <v>0.58151809999999904</v>
      </c>
      <c r="F517" t="s">
        <v>43</v>
      </c>
      <c r="G517">
        <v>-234.08500000000001</v>
      </c>
      <c r="H517" s="1">
        <v>-3.443818E-6</v>
      </c>
      <c r="I517">
        <v>364.4074</v>
      </c>
      <c r="J517">
        <v>-246.03960000000001</v>
      </c>
      <c r="K517">
        <v>1.109008</v>
      </c>
      <c r="L517">
        <v>367.26069999999999</v>
      </c>
      <c r="M517">
        <v>0.99984779999999995</v>
      </c>
      <c r="N517">
        <v>0</v>
      </c>
      <c r="O517">
        <v>-1.064297E-2</v>
      </c>
      <c r="P517">
        <v>0.99838610000000005</v>
      </c>
      <c r="Q517">
        <v>5.5360340000000001E-2</v>
      </c>
      <c r="R517">
        <v>-1.267834E-2</v>
      </c>
      <c r="S517">
        <v>3.0111849999999998</v>
      </c>
      <c r="T517">
        <v>-0.27243099999999998</v>
      </c>
      <c r="U517">
        <v>-0.70172119999999905</v>
      </c>
      <c r="V517">
        <v>2.0975719999999998E-3</v>
      </c>
      <c r="W517">
        <v>6.915702E-2</v>
      </c>
      <c r="X517">
        <v>0.99760360000000003</v>
      </c>
      <c r="Y517">
        <v>0.21578369999999999</v>
      </c>
      <c r="Z517">
        <v>-8.6652910000000003E-3</v>
      </c>
      <c r="AA517">
        <v>0.97640280000000002</v>
      </c>
      <c r="AB517">
        <v>51</v>
      </c>
      <c r="AC517">
        <v>11.954599999999999</v>
      </c>
      <c r="AD517">
        <v>-1.1090114438179901</v>
      </c>
      <c r="AE517">
        <v>-2.8532999999999902</v>
      </c>
      <c r="AF517">
        <v>2.7038783043459498</v>
      </c>
      <c r="AG517">
        <v>-1.1090114438179901</v>
      </c>
      <c r="AH517">
        <v>11.887503139062201</v>
      </c>
      <c r="AI517">
        <v>95.1978164962634</v>
      </c>
      <c r="AJ517">
        <v>77.185775038195203</v>
      </c>
      <c r="AK517">
        <v>12.2414703017426</v>
      </c>
      <c r="AL517">
        <v>86.034429389528299</v>
      </c>
      <c r="AM517">
        <v>89.8795294586766</v>
      </c>
      <c r="AN517">
        <v>1.00000001797826</v>
      </c>
    </row>
    <row r="518" spans="1:40" x14ac:dyDescent="0.3">
      <c r="A518" t="str">
        <f>"20200111150733096"</f>
        <v>20200111150733096</v>
      </c>
      <c r="B518" t="str">
        <f>"1578726453091985"</f>
        <v>1578726453091985</v>
      </c>
      <c r="C518" t="s">
        <v>40</v>
      </c>
      <c r="D518">
        <v>6.1721050000000002</v>
      </c>
      <c r="E518">
        <v>0.58151809999999904</v>
      </c>
      <c r="F518" t="s">
        <v>43</v>
      </c>
      <c r="G518">
        <v>-233.74119999999999</v>
      </c>
      <c r="H518" s="1">
        <v>-3.5902189999999998E-6</v>
      </c>
      <c r="I518">
        <v>364.41359999999997</v>
      </c>
      <c r="J518">
        <v>-245.761</v>
      </c>
      <c r="K518">
        <v>1.1090169999999999</v>
      </c>
      <c r="L518">
        <v>367.2577</v>
      </c>
      <c r="M518">
        <v>0.99984709999999999</v>
      </c>
      <c r="N518">
        <v>0</v>
      </c>
      <c r="O518">
        <v>-1.072447E-2</v>
      </c>
      <c r="P518">
        <v>0.99839840000000002</v>
      </c>
      <c r="Q518">
        <v>5.516861E-2</v>
      </c>
      <c r="R518">
        <v>-1.2553669999999999E-2</v>
      </c>
      <c r="S518">
        <v>3.0110320000000002</v>
      </c>
      <c r="T518">
        <v>-0.27151819999999999</v>
      </c>
      <c r="U518">
        <v>-0.697052</v>
      </c>
      <c r="V518">
        <v>1.889747E-3</v>
      </c>
      <c r="W518">
        <v>6.8964839999999999E-2</v>
      </c>
      <c r="X518">
        <v>0.99761730000000004</v>
      </c>
      <c r="Y518">
        <v>0.21428920000000001</v>
      </c>
      <c r="Z518">
        <v>-8.5646699999999999E-3</v>
      </c>
      <c r="AA518">
        <v>0.97673270000000001</v>
      </c>
      <c r="AB518">
        <v>51</v>
      </c>
      <c r="AC518">
        <v>12.0198</v>
      </c>
      <c r="AD518">
        <v>-1.109020590219</v>
      </c>
      <c r="AE518">
        <v>-2.8441000000000201</v>
      </c>
      <c r="AF518">
        <v>2.69330554998897</v>
      </c>
      <c r="AG518">
        <v>-1.109020590219</v>
      </c>
      <c r="AH518">
        <v>11.9532496844701</v>
      </c>
      <c r="AI518">
        <v>95.171789700231997</v>
      </c>
      <c r="AJ518">
        <v>77.302169572700194</v>
      </c>
      <c r="AK518">
        <v>12.303007740971999</v>
      </c>
      <c r="AL518">
        <v>86.045466768756199</v>
      </c>
      <c r="AM518">
        <v>89.891467000478599</v>
      </c>
      <c r="AN518">
        <v>0.99999999877961898</v>
      </c>
    </row>
    <row r="519" spans="1:40" x14ac:dyDescent="0.3">
      <c r="A519" t="str">
        <f>"20200111150733108"</f>
        <v>20200111150733108</v>
      </c>
      <c r="B519" t="str">
        <f>"1578726453101745"</f>
        <v>1578726453101745</v>
      </c>
      <c r="C519" t="s">
        <v>40</v>
      </c>
      <c r="D519">
        <v>5.3340420000000002</v>
      </c>
      <c r="E519">
        <v>0.58171450000000002</v>
      </c>
      <c r="F519" t="s">
        <v>43</v>
      </c>
      <c r="G519">
        <v>-233.48159999999999</v>
      </c>
      <c r="H519" s="1">
        <v>-3.7012639999999999E-6</v>
      </c>
      <c r="I519">
        <v>364.41539999999998</v>
      </c>
      <c r="J519">
        <v>-245.4924</v>
      </c>
      <c r="K519">
        <v>1.109022</v>
      </c>
      <c r="L519">
        <v>367.25479999999999</v>
      </c>
      <c r="M519">
        <v>0.99984620000000002</v>
      </c>
      <c r="N519">
        <v>0</v>
      </c>
      <c r="O519">
        <v>-1.079919E-2</v>
      </c>
      <c r="P519">
        <v>0.99839739999999999</v>
      </c>
      <c r="Q519">
        <v>5.5299550000000003E-2</v>
      </c>
      <c r="R519">
        <v>-1.2025859999999999E-2</v>
      </c>
      <c r="S519">
        <v>3.0110779999999999</v>
      </c>
      <c r="T519">
        <v>-0.27194580000000002</v>
      </c>
      <c r="U519">
        <v>-0.69696040000000004</v>
      </c>
      <c r="V519">
        <v>1.286127E-3</v>
      </c>
      <c r="W519">
        <v>6.9095169999999997E-2</v>
      </c>
      <c r="X519">
        <v>0.99760930000000003</v>
      </c>
      <c r="Y519">
        <v>0.21418300000000001</v>
      </c>
      <c r="Z519">
        <v>-8.5666379999999997E-3</v>
      </c>
      <c r="AA519">
        <v>0.97675599999999996</v>
      </c>
      <c r="AB519">
        <v>51</v>
      </c>
      <c r="AC519">
        <v>12.0108</v>
      </c>
      <c r="AD519">
        <v>-1.1090257012639999</v>
      </c>
      <c r="AE519">
        <v>-2.8394000000000101</v>
      </c>
      <c r="AF519">
        <v>2.6878120419062101</v>
      </c>
      <c r="AG519">
        <v>-1.1090257012639999</v>
      </c>
      <c r="AH519">
        <v>11.9443198088239</v>
      </c>
      <c r="AI519">
        <v>95.1759805423507</v>
      </c>
      <c r="AJ519">
        <v>77.318063770091896</v>
      </c>
      <c r="AK519">
        <v>12.293130084488</v>
      </c>
      <c r="AL519">
        <v>86.037981781690206</v>
      </c>
      <c r="AM519">
        <v>89.926133799883004</v>
      </c>
      <c r="AN519">
        <v>1.0000000560432301</v>
      </c>
    </row>
    <row r="520" spans="1:40" x14ac:dyDescent="0.3">
      <c r="A520" t="str">
        <f>"20200111150733123"</f>
        <v>20200111150733123</v>
      </c>
      <c r="B520" t="str">
        <f>"1578726453111505"</f>
        <v>1578726453111505</v>
      </c>
      <c r="C520" t="s">
        <v>40</v>
      </c>
      <c r="D520">
        <v>5.2817210000000001</v>
      </c>
      <c r="E520">
        <v>0.5816751</v>
      </c>
      <c r="F520" t="s">
        <v>43</v>
      </c>
      <c r="G520">
        <v>-233.3623</v>
      </c>
      <c r="H520" s="1">
        <v>-3.7469780000000001E-6</v>
      </c>
      <c r="I520">
        <v>364.4461</v>
      </c>
      <c r="J520">
        <v>-245.1662</v>
      </c>
      <c r="K520">
        <v>1.10903</v>
      </c>
      <c r="L520">
        <v>367.25119999999998</v>
      </c>
      <c r="M520">
        <v>0.99984530000000005</v>
      </c>
      <c r="N520">
        <v>0</v>
      </c>
      <c r="O520">
        <v>-1.088807E-2</v>
      </c>
      <c r="P520">
        <v>0.99841840000000004</v>
      </c>
      <c r="Q520">
        <v>5.5016259999999997E-2</v>
      </c>
      <c r="R520">
        <v>-1.157862E-2</v>
      </c>
      <c r="S520">
        <v>3.0116879999999999</v>
      </c>
      <c r="T520">
        <v>-0.27534920000000002</v>
      </c>
      <c r="U520">
        <v>-0.69732669999999997</v>
      </c>
      <c r="V520">
        <v>7.4837759999999895E-4</v>
      </c>
      <c r="W520">
        <v>6.8811189999999994E-2</v>
      </c>
      <c r="X520">
        <v>0.9976294</v>
      </c>
      <c r="Y520">
        <v>0.21414649999999999</v>
      </c>
      <c r="Z520">
        <v>-8.6619609999999993E-3</v>
      </c>
      <c r="AA520">
        <v>0.9767631</v>
      </c>
      <c r="AB520">
        <v>51</v>
      </c>
      <c r="AC520">
        <v>11.803900000000001</v>
      </c>
      <c r="AD520">
        <v>-1.1090337469780001</v>
      </c>
      <c r="AE520">
        <v>-2.8050999999999799</v>
      </c>
      <c r="AF520">
        <v>2.6542220083271801</v>
      </c>
      <c r="AG520">
        <v>-1.1090337469780001</v>
      </c>
      <c r="AH520">
        <v>11.7356860184906</v>
      </c>
      <c r="AI520">
        <v>95.266242803058205</v>
      </c>
      <c r="AJ520">
        <v>77.256003581439501</v>
      </c>
      <c r="AK520">
        <v>12.0830946634553</v>
      </c>
      <c r="AL520">
        <v>86.054291153850798</v>
      </c>
      <c r="AM520">
        <v>89.957019239891096</v>
      </c>
      <c r="AN520">
        <v>0.99999997984130395</v>
      </c>
    </row>
    <row r="521" spans="1:40" x14ac:dyDescent="0.3">
      <c r="A521" t="str">
        <f>"20200111150733135"</f>
        <v>20200111150733135</v>
      </c>
      <c r="B521" t="str">
        <f>"1578726453132001"</f>
        <v>1578726453132001</v>
      </c>
      <c r="C521" t="s">
        <v>40</v>
      </c>
      <c r="D521">
        <v>5.3814109999999999</v>
      </c>
      <c r="E521">
        <v>0.58180209999999999</v>
      </c>
      <c r="F521" t="s">
        <v>43</v>
      </c>
      <c r="G521">
        <v>-233.33539999999999</v>
      </c>
      <c r="H521" s="1">
        <v>-3.7457369999999999E-6</v>
      </c>
      <c r="I521">
        <v>364.51819999999998</v>
      </c>
      <c r="J521">
        <v>-244.85990000000001</v>
      </c>
      <c r="K521">
        <v>1.1090370000000001</v>
      </c>
      <c r="L521">
        <v>367.24779999999998</v>
      </c>
      <c r="M521">
        <v>0.99984450000000002</v>
      </c>
      <c r="N521">
        <v>0</v>
      </c>
      <c r="O521">
        <v>-1.0969110000000001E-2</v>
      </c>
      <c r="P521">
        <v>0.99843190000000004</v>
      </c>
      <c r="Q521">
        <v>5.4904689999999999E-2</v>
      </c>
      <c r="R521">
        <v>-1.0929690000000001E-2</v>
      </c>
      <c r="S521">
        <v>3.012222</v>
      </c>
      <c r="T521">
        <v>-0.28236899999999998</v>
      </c>
      <c r="U521">
        <v>-0.69583130000000004</v>
      </c>
      <c r="V521" s="1">
        <v>1.7092449999999999E-5</v>
      </c>
      <c r="W521">
        <v>6.8698449999999994E-2</v>
      </c>
      <c r="X521">
        <v>0.99763749999999995</v>
      </c>
      <c r="Y521">
        <v>0.21353059999999999</v>
      </c>
      <c r="Z521">
        <v>-8.8449229999999993E-3</v>
      </c>
      <c r="AA521">
        <v>0.97689630000000005</v>
      </c>
      <c r="AB521">
        <v>51</v>
      </c>
      <c r="AC521">
        <v>11.5245</v>
      </c>
      <c r="AD521">
        <v>-1.109040745737</v>
      </c>
      <c r="AE521">
        <v>-2.7296</v>
      </c>
      <c r="AF521">
        <v>2.5803830086338602</v>
      </c>
      <c r="AG521">
        <v>-1.109040745737</v>
      </c>
      <c r="AH521">
        <v>11.453317403879799</v>
      </c>
      <c r="AI521">
        <v>95.396356477913201</v>
      </c>
      <c r="AJ521">
        <v>77.303492275033094</v>
      </c>
      <c r="AK521">
        <v>11.792659895077399</v>
      </c>
      <c r="AL521">
        <v>86.0607661977253</v>
      </c>
      <c r="AM521">
        <v>89.999018355618702</v>
      </c>
      <c r="AN521">
        <v>1.0000000293653999</v>
      </c>
    </row>
    <row r="522" spans="1:40" x14ac:dyDescent="0.3">
      <c r="A522" t="str">
        <f>"20200111150733148"</f>
        <v>20200111150733148</v>
      </c>
      <c r="B522" t="str">
        <f>"1578726453141762"</f>
        <v>1578726453141762</v>
      </c>
      <c r="C522" t="s">
        <v>40</v>
      </c>
      <c r="D522">
        <v>5.3076889999999999</v>
      </c>
      <c r="E522">
        <v>0.5817755</v>
      </c>
      <c r="F522" t="s">
        <v>43</v>
      </c>
      <c r="G522">
        <v>-233.16200000000001</v>
      </c>
      <c r="H522" s="1">
        <v>-3.8145850000000001E-6</v>
      </c>
      <c r="I522">
        <v>364.54950000000002</v>
      </c>
      <c r="J522">
        <v>-244.5771</v>
      </c>
      <c r="K522">
        <v>1.109046</v>
      </c>
      <c r="L522">
        <v>367.24459999999999</v>
      </c>
      <c r="M522">
        <v>0.99984360000000005</v>
      </c>
      <c r="N522">
        <v>0</v>
      </c>
      <c r="O522">
        <v>-1.104218E-2</v>
      </c>
      <c r="P522">
        <v>0.99845150000000005</v>
      </c>
      <c r="Q522">
        <v>5.4589690000000003E-2</v>
      </c>
      <c r="R522">
        <v>-1.0709349999999999E-2</v>
      </c>
      <c r="S522">
        <v>3.0128020000000002</v>
      </c>
      <c r="T522">
        <v>-0.28563100000000002</v>
      </c>
      <c r="U522">
        <v>-0.69491579999999997</v>
      </c>
      <c r="V522">
        <v>-2.781223E-4</v>
      </c>
      <c r="W522">
        <v>6.8383509999999995E-2</v>
      </c>
      <c r="X522">
        <v>0.99765910000000002</v>
      </c>
      <c r="Y522">
        <v>0.2131189</v>
      </c>
      <c r="Z522">
        <v>-8.9192539999999997E-3</v>
      </c>
      <c r="AA522">
        <v>0.97698560000000001</v>
      </c>
      <c r="AB522">
        <v>51</v>
      </c>
      <c r="AC522">
        <v>11.415099999999899</v>
      </c>
      <c r="AD522">
        <v>-1.1090498145850001</v>
      </c>
      <c r="AE522">
        <v>-2.6950999999999601</v>
      </c>
      <c r="AF522">
        <v>2.5461113431111499</v>
      </c>
      <c r="AG522">
        <v>-1.1090498145850001</v>
      </c>
      <c r="AH522">
        <v>11.342751387820799</v>
      </c>
      <c r="AI522">
        <v>95.449644822753598</v>
      </c>
      <c r="AJ522">
        <v>77.348504366009195</v>
      </c>
      <c r="AK522">
        <v>11.6777858992474</v>
      </c>
      <c r="AL522">
        <v>86.078853471508296</v>
      </c>
      <c r="AM522">
        <v>90.015972623880899</v>
      </c>
      <c r="AN522">
        <v>1.00000003080237</v>
      </c>
    </row>
    <row r="523" spans="1:40" x14ac:dyDescent="0.3">
      <c r="A523" t="str">
        <f>"20200111150733162"</f>
        <v>20200111150733162</v>
      </c>
      <c r="B523" t="str">
        <f>"1578726453151521"</f>
        <v>1578726453151521</v>
      </c>
      <c r="C523" t="s">
        <v>40</v>
      </c>
      <c r="D523">
        <v>5.3788910000000003</v>
      </c>
      <c r="E523">
        <v>0.58188799999999996</v>
      </c>
      <c r="F523" t="s">
        <v>43</v>
      </c>
      <c r="G523">
        <v>-232.92789999999999</v>
      </c>
      <c r="H523" s="1">
        <v>-3.9127209999999998E-6</v>
      </c>
      <c r="I523">
        <v>364.56229999999999</v>
      </c>
      <c r="J523">
        <v>-244.26840000000001</v>
      </c>
      <c r="K523">
        <v>1.1090519999999999</v>
      </c>
      <c r="L523">
        <v>367.24110000000002</v>
      </c>
      <c r="M523">
        <v>0.99984280000000003</v>
      </c>
      <c r="N523">
        <v>0</v>
      </c>
      <c r="O523">
        <v>-1.112145E-2</v>
      </c>
      <c r="P523">
        <v>0.99846259999999998</v>
      </c>
      <c r="Q523">
        <v>5.45256E-2</v>
      </c>
      <c r="R523">
        <v>-9.9780500000000005E-3</v>
      </c>
      <c r="S523">
        <v>3.0128780000000002</v>
      </c>
      <c r="T523">
        <v>-0.28683809999999998</v>
      </c>
      <c r="U523">
        <v>-0.69372559999999905</v>
      </c>
      <c r="V523">
        <v>-1.089231E-3</v>
      </c>
      <c r="W523">
        <v>6.8318820000000002E-2</v>
      </c>
      <c r="X523">
        <v>0.99766299999999997</v>
      </c>
      <c r="Y523">
        <v>0.21266450000000001</v>
      </c>
      <c r="Z523">
        <v>-8.9282140000000003E-3</v>
      </c>
      <c r="AA523">
        <v>0.97708450000000002</v>
      </c>
      <c r="AB523">
        <v>51</v>
      </c>
      <c r="AC523">
        <v>11.3405</v>
      </c>
      <c r="AD523">
        <v>-1.109055912721</v>
      </c>
      <c r="AE523">
        <v>-2.6788000000000198</v>
      </c>
      <c r="AF523">
        <v>2.5295849324109301</v>
      </c>
      <c r="AG523">
        <v>-1.109055912721</v>
      </c>
      <c r="AH523">
        <v>11.2675253246202</v>
      </c>
      <c r="AI523">
        <v>95.485800185498903</v>
      </c>
      <c r="AJ523">
        <v>77.346763467830101</v>
      </c>
      <c r="AK523">
        <v>11.6011176999796</v>
      </c>
      <c r="AL523">
        <v>86.082568717198498</v>
      </c>
      <c r="AM523">
        <v>90.062554504294695</v>
      </c>
      <c r="AN523">
        <v>1.0000000545796801</v>
      </c>
    </row>
    <row r="524" spans="1:40" x14ac:dyDescent="0.3">
      <c r="A524" t="str">
        <f>"20200111150733174"</f>
        <v>20200111150733174</v>
      </c>
      <c r="B524" t="str">
        <f>"1578726453172016"</f>
        <v>1578726453172016</v>
      </c>
      <c r="C524" t="s">
        <v>40</v>
      </c>
      <c r="D524">
        <v>4.4252060000000002</v>
      </c>
      <c r="E524">
        <v>0.50998969999999999</v>
      </c>
      <c r="F524" t="s">
        <v>43</v>
      </c>
      <c r="G524">
        <v>-232.8639</v>
      </c>
      <c r="H524" s="1">
        <v>-3.9298869999999997E-6</v>
      </c>
      <c r="I524">
        <v>364.62040000000002</v>
      </c>
      <c r="J524">
        <v>-243.9879</v>
      </c>
      <c r="K524">
        <v>1.109059</v>
      </c>
      <c r="L524">
        <v>367.238</v>
      </c>
      <c r="M524">
        <v>0.99984200000000001</v>
      </c>
      <c r="N524">
        <v>0</v>
      </c>
      <c r="O524">
        <v>-1.119204E-2</v>
      </c>
      <c r="P524">
        <v>0.99845790000000001</v>
      </c>
      <c r="Q524">
        <v>5.4589440000000003E-2</v>
      </c>
      <c r="R524">
        <v>-1.0083119999999999E-2</v>
      </c>
      <c r="S524">
        <v>3.0137179999999999</v>
      </c>
      <c r="T524">
        <v>-0.29307460000000002</v>
      </c>
      <c r="U524">
        <v>-0.69253540000000002</v>
      </c>
      <c r="V524">
        <v>-1.0554500000000001E-3</v>
      </c>
      <c r="W524">
        <v>6.8381150000000002E-2</v>
      </c>
      <c r="X524">
        <v>0.99765870000000001</v>
      </c>
      <c r="Y524">
        <v>0.21213470000000001</v>
      </c>
      <c r="Z524">
        <v>-9.0872709999999992E-3</v>
      </c>
      <c r="AA524">
        <v>0.97719820000000002</v>
      </c>
      <c r="AB524">
        <v>51</v>
      </c>
      <c r="AC524">
        <v>11.123999999999899</v>
      </c>
      <c r="AD524">
        <v>-1.1090629298870001</v>
      </c>
      <c r="AE524">
        <v>-2.6176000000000301</v>
      </c>
      <c r="AF524">
        <v>2.46966318942401</v>
      </c>
      <c r="AG524">
        <v>-1.1090629298870001</v>
      </c>
      <c r="AH524">
        <v>11.0485407211831</v>
      </c>
      <c r="AI524">
        <v>95.595036924898196</v>
      </c>
      <c r="AJ524">
        <v>77.399892620829704</v>
      </c>
      <c r="AK524">
        <v>11.375390495244</v>
      </c>
      <c r="AL524">
        <v>86.078988841338003</v>
      </c>
      <c r="AM524">
        <v>90.060614725182504</v>
      </c>
      <c r="AN524">
        <v>0.999999988667857</v>
      </c>
    </row>
    <row r="525" spans="1:40" x14ac:dyDescent="0.3">
      <c r="A525" t="str">
        <f>"20200111150733186"</f>
        <v>20200111150733186</v>
      </c>
      <c r="B525" t="str">
        <f>"1578726453181777"</f>
        <v>1578726453181777</v>
      </c>
      <c r="C525" t="s">
        <v>40</v>
      </c>
      <c r="D525">
        <v>5.3073519999999998</v>
      </c>
      <c r="E525">
        <v>0.50998969999999999</v>
      </c>
      <c r="F525" t="s">
        <v>41</v>
      </c>
      <c r="G525">
        <v>-243.16390000000001</v>
      </c>
      <c r="H525">
        <v>1.0259039999999999</v>
      </c>
      <c r="I525">
        <v>367.2054</v>
      </c>
      <c r="J525">
        <v>-243.72380000000001</v>
      </c>
      <c r="K525">
        <v>1.109064</v>
      </c>
      <c r="L525">
        <v>367.23500000000001</v>
      </c>
      <c r="M525">
        <v>0.99984119999999999</v>
      </c>
      <c r="N525">
        <v>0</v>
      </c>
      <c r="O525">
        <v>-1.125787E-2</v>
      </c>
      <c r="P525">
        <v>0.99845499999999998</v>
      </c>
      <c r="Q525">
        <v>5.4646300000000002E-2</v>
      </c>
      <c r="R525">
        <v>-1.0059729999999999E-2</v>
      </c>
      <c r="S525">
        <v>3.0200809999999998</v>
      </c>
      <c r="T525">
        <v>-0.30475360000000001</v>
      </c>
      <c r="U525">
        <v>-0.1194458</v>
      </c>
      <c r="V525">
        <v>-1.1453570000000001E-3</v>
      </c>
      <c r="W525">
        <v>6.8437269999999994E-2</v>
      </c>
      <c r="X525">
        <v>0.99765470000000001</v>
      </c>
      <c r="Y525">
        <v>2.8181189999999998E-2</v>
      </c>
      <c r="Z525">
        <v>-2.8498549999999998E-4</v>
      </c>
      <c r="AA525">
        <v>0.99960280000000001</v>
      </c>
      <c r="AB525">
        <v>51</v>
      </c>
      <c r="AC525">
        <v>0.55989999999999895</v>
      </c>
      <c r="AD525">
        <v>-8.3159999999999901E-2</v>
      </c>
      <c r="AE525">
        <v>-2.96000000000162E-2</v>
      </c>
      <c r="AF525">
        <v>2.2792829540194601E-2</v>
      </c>
      <c r="AG525">
        <v>-8.3159999999999901E-2</v>
      </c>
      <c r="AH525">
        <v>0.54813945120478602</v>
      </c>
      <c r="AI525">
        <v>98.619404976466299</v>
      </c>
      <c r="AJ525">
        <v>87.618888721472103</v>
      </c>
      <c r="AK525">
        <v>0.55488012817682797</v>
      </c>
      <c r="AL525">
        <v>86.075765645193201</v>
      </c>
      <c r="AM525">
        <v>90.065778363299899</v>
      </c>
      <c r="AN525">
        <v>0.99999993609989801</v>
      </c>
    </row>
    <row r="526" spans="1:40" x14ac:dyDescent="0.3">
      <c r="A526" t="str">
        <f>"20200111150733199"</f>
        <v>20200111150733199</v>
      </c>
      <c r="B526" t="str">
        <f>"1578726453191537"</f>
        <v>1578726453191537</v>
      </c>
      <c r="C526" t="s">
        <v>40</v>
      </c>
      <c r="D526">
        <v>5.1727889999999999</v>
      </c>
      <c r="E526">
        <v>0.57004169999999998</v>
      </c>
      <c r="F526" t="s">
        <v>41</v>
      </c>
      <c r="G526">
        <v>-242.72</v>
      </c>
      <c r="H526">
        <v>1.007897</v>
      </c>
      <c r="I526">
        <v>367.19490000000002</v>
      </c>
      <c r="J526">
        <v>-243.44069999999999</v>
      </c>
      <c r="K526">
        <v>1.1090709999999999</v>
      </c>
      <c r="L526">
        <v>367.23169999999999</v>
      </c>
      <c r="M526">
        <v>0.99984050000000002</v>
      </c>
      <c r="N526">
        <v>0</v>
      </c>
      <c r="O526">
        <v>-1.132824E-2</v>
      </c>
      <c r="P526">
        <v>0.99845640000000002</v>
      </c>
      <c r="Q526">
        <v>5.4648200000000001E-2</v>
      </c>
      <c r="R526">
        <v>-9.9374419999999995E-3</v>
      </c>
      <c r="S526">
        <v>3.020111</v>
      </c>
      <c r="T526">
        <v>-0.30456329999999998</v>
      </c>
      <c r="U526">
        <v>-0.1197815</v>
      </c>
      <c r="V526">
        <v>-1.3384989999999999E-3</v>
      </c>
      <c r="W526">
        <v>6.8438239999999997E-2</v>
      </c>
      <c r="X526">
        <v>0.99765440000000005</v>
      </c>
      <c r="Y526">
        <v>2.8221639999999999E-2</v>
      </c>
      <c r="Z526">
        <v>-2.7976439999999997E-4</v>
      </c>
      <c r="AA526">
        <v>0.99960170000000004</v>
      </c>
      <c r="AB526">
        <v>51</v>
      </c>
      <c r="AC526">
        <v>0.72069999999999301</v>
      </c>
      <c r="AD526">
        <v>-0.101173999999999</v>
      </c>
      <c r="AE526">
        <v>-3.6799999999971002E-2</v>
      </c>
      <c r="AF526">
        <v>2.80806406657697E-2</v>
      </c>
      <c r="AG526">
        <v>-0.101173999999999</v>
      </c>
      <c r="AH526">
        <v>0.70717043356896803</v>
      </c>
      <c r="AI526">
        <v>98.135658975766702</v>
      </c>
      <c r="AJ526">
        <v>87.726068142939496</v>
      </c>
      <c r="AK526">
        <v>0.71492287889696404</v>
      </c>
      <c r="AL526">
        <v>86.0757099650139</v>
      </c>
      <c r="AM526">
        <v>90.0768706052596</v>
      </c>
      <c r="AN526">
        <v>0.99999994305661299</v>
      </c>
    </row>
    <row r="527" spans="1:40" x14ac:dyDescent="0.3">
      <c r="A527" t="str">
        <f>"20200111150733211"</f>
        <v>20200111150733211</v>
      </c>
      <c r="B527" t="str">
        <f>"1578726453201297"</f>
        <v>1578726453201297</v>
      </c>
      <c r="C527" t="s">
        <v>40</v>
      </c>
      <c r="D527">
        <v>6.0101579999999997</v>
      </c>
      <c r="E527">
        <v>0.58686110000000002</v>
      </c>
      <c r="F527" t="s">
        <v>41</v>
      </c>
      <c r="G527">
        <v>-242.70240000000001</v>
      </c>
      <c r="H527">
        <v>1.0386029999999999</v>
      </c>
      <c r="I527">
        <v>367.08510000000001</v>
      </c>
      <c r="J527">
        <v>-243.16739999999999</v>
      </c>
      <c r="K527">
        <v>1.1090770000000001</v>
      </c>
      <c r="L527">
        <v>367.22859999999997</v>
      </c>
      <c r="M527">
        <v>0.9998397</v>
      </c>
      <c r="N527">
        <v>0</v>
      </c>
      <c r="O527">
        <v>-1.1395870000000001E-2</v>
      </c>
      <c r="P527">
        <v>0.99844900000000003</v>
      </c>
      <c r="Q527">
        <v>5.4825560000000002E-2</v>
      </c>
      <c r="R527">
        <v>-9.6795479999999996E-3</v>
      </c>
      <c r="S527">
        <v>3.014465</v>
      </c>
      <c r="T527">
        <v>-0.28795510000000002</v>
      </c>
      <c r="U527">
        <v>-0.59799190000000002</v>
      </c>
      <c r="V527">
        <v>-1.6643459999999999E-3</v>
      </c>
      <c r="W527">
        <v>6.8614720000000004E-2</v>
      </c>
      <c r="X527">
        <v>0.99764189999999997</v>
      </c>
      <c r="Y527">
        <v>0.1826411</v>
      </c>
      <c r="Z527">
        <v>-7.544622E-3</v>
      </c>
      <c r="AA527">
        <v>0.98315070000000004</v>
      </c>
      <c r="AB527">
        <v>51</v>
      </c>
      <c r="AC527">
        <v>0.46499999999997499</v>
      </c>
      <c r="AD527">
        <v>-7.0473999999999898E-2</v>
      </c>
      <c r="AE527">
        <v>-0.14349999999995999</v>
      </c>
      <c r="AF527">
        <v>0.13535245301971499</v>
      </c>
      <c r="AG527">
        <v>-7.0473999999999898E-2</v>
      </c>
      <c r="AH527">
        <v>0.45702052541282101</v>
      </c>
      <c r="AI527">
        <v>98.410536086670405</v>
      </c>
      <c r="AJ527">
        <v>73.5026732775423</v>
      </c>
      <c r="AK527">
        <v>0.48182427487940599</v>
      </c>
      <c r="AL527">
        <v>86.065575022062205</v>
      </c>
      <c r="AM527">
        <v>90.095585312708195</v>
      </c>
      <c r="AN527">
        <v>1.0000000552419399</v>
      </c>
    </row>
    <row r="528" spans="1:40" x14ac:dyDescent="0.3">
      <c r="A528" t="str">
        <f>"20200111150733238"</f>
        <v>20200111150733238</v>
      </c>
      <c r="B528" t="str">
        <f>"1578726453231553"</f>
        <v>1578726453231553</v>
      </c>
      <c r="C528" t="s">
        <v>40</v>
      </c>
      <c r="D528">
        <v>5.2664689999999998</v>
      </c>
      <c r="E528">
        <v>0.58319509999999997</v>
      </c>
      <c r="F528" t="s">
        <v>43</v>
      </c>
      <c r="G528">
        <v>-232.62379999999999</v>
      </c>
      <c r="H528" s="1">
        <v>-4.0243779999999998E-6</v>
      </c>
      <c r="I528">
        <v>364.66849999999999</v>
      </c>
      <c r="J528">
        <v>-242.55549999999999</v>
      </c>
      <c r="K528">
        <v>1.109083</v>
      </c>
      <c r="L528">
        <v>367.22140000000002</v>
      </c>
      <c r="M528">
        <v>0.99983809999999995</v>
      </c>
      <c r="N528">
        <v>0</v>
      </c>
      <c r="O528">
        <v>-1.1547109999999999E-2</v>
      </c>
      <c r="P528">
        <v>0.9984381</v>
      </c>
      <c r="Q528">
        <v>5.4971199999999998E-2</v>
      </c>
      <c r="R528">
        <v>-9.9940500000000008E-3</v>
      </c>
      <c r="S528">
        <v>3.014999</v>
      </c>
      <c r="T528">
        <v>-0.31714520000000002</v>
      </c>
      <c r="U528">
        <v>-0.73205569999999998</v>
      </c>
      <c r="V528">
        <v>-1.50211299999999E-3</v>
      </c>
      <c r="W528">
        <v>6.875742E-2</v>
      </c>
      <c r="X528">
        <v>0.99763230000000003</v>
      </c>
      <c r="Y528">
        <v>0.223607</v>
      </c>
      <c r="Z528">
        <v>-1.036779E-2</v>
      </c>
      <c r="AA528">
        <v>0.97462420000000005</v>
      </c>
      <c r="AB528">
        <v>51</v>
      </c>
      <c r="AC528">
        <v>9.9316999999999993</v>
      </c>
      <c r="AD528">
        <v>-1.109087024378</v>
      </c>
      <c r="AE528">
        <v>-2.5529000000000202</v>
      </c>
      <c r="AF528">
        <v>2.4098469485425298</v>
      </c>
      <c r="AG528">
        <v>-1.109087024378</v>
      </c>
      <c r="AH528">
        <v>9.8453520085235091</v>
      </c>
      <c r="AI528">
        <v>96.244500498539793</v>
      </c>
      <c r="AJ528">
        <v>76.246131030636306</v>
      </c>
      <c r="AK528">
        <v>10.196489224962701</v>
      </c>
      <c r="AL528">
        <v>86.0573794307452</v>
      </c>
      <c r="AM528">
        <v>90.0862689291572</v>
      </c>
      <c r="AN528">
        <v>1.0000000225759</v>
      </c>
    </row>
    <row r="529" spans="1:40" x14ac:dyDescent="0.3">
      <c r="A529" t="str">
        <f>"20200111150733252"</f>
        <v>20200111150733252</v>
      </c>
      <c r="B529" t="str">
        <f>"1578726453241313"</f>
        <v>1578726453241313</v>
      </c>
      <c r="C529" t="s">
        <v>40</v>
      </c>
      <c r="D529">
        <v>5.2959940000000003</v>
      </c>
      <c r="E529">
        <v>0.58158799999999999</v>
      </c>
      <c r="F529" t="s">
        <v>43</v>
      </c>
      <c r="G529">
        <v>-232.0916</v>
      </c>
      <c r="H529" s="1">
        <v>-4.2331789999999996E-6</v>
      </c>
      <c r="I529">
        <v>364.77850000000001</v>
      </c>
      <c r="J529">
        <v>-242.2431</v>
      </c>
      <c r="K529">
        <v>1.1090869999999999</v>
      </c>
      <c r="L529">
        <v>367.21780000000001</v>
      </c>
      <c r="M529">
        <v>0.99983719999999998</v>
      </c>
      <c r="N529">
        <v>0</v>
      </c>
      <c r="O529">
        <v>-1.162405E-2</v>
      </c>
      <c r="P529">
        <v>0.9984073</v>
      </c>
      <c r="Q529">
        <v>5.5434089999999998E-2</v>
      </c>
      <c r="R529">
        <v>-1.0503159999999999E-2</v>
      </c>
      <c r="S529">
        <v>3.0152589999999999</v>
      </c>
      <c r="T529">
        <v>-0.31959070000000001</v>
      </c>
      <c r="U529">
        <v>-0.70394899999999905</v>
      </c>
      <c r="V529">
        <v>-1.0696600000000001E-3</v>
      </c>
      <c r="W529">
        <v>6.9218859999999993E-2</v>
      </c>
      <c r="X529">
        <v>0.99760090000000001</v>
      </c>
      <c r="Y529">
        <v>0.21493319999999999</v>
      </c>
      <c r="Z529">
        <v>-9.9970900000000001E-3</v>
      </c>
      <c r="AA529">
        <v>0.97657760000000005</v>
      </c>
      <c r="AB529">
        <v>51</v>
      </c>
      <c r="AC529">
        <v>10.1515</v>
      </c>
      <c r="AD529">
        <v>-1.1090912331789999</v>
      </c>
      <c r="AE529">
        <v>-2.4392999999999998</v>
      </c>
      <c r="AF529">
        <v>2.2952211713132198</v>
      </c>
      <c r="AG529">
        <v>-1.1090912331789999</v>
      </c>
      <c r="AH529">
        <v>10.065582735777401</v>
      </c>
      <c r="AI529">
        <v>96.131708139279695</v>
      </c>
      <c r="AJ529">
        <v>77.154665359212004</v>
      </c>
      <c r="AK529">
        <v>10.383355883313399</v>
      </c>
      <c r="AL529">
        <v>86.030877537490596</v>
      </c>
      <c r="AM529">
        <v>90.061434367217501</v>
      </c>
      <c r="AN529">
        <v>0.99999997521651196</v>
      </c>
    </row>
    <row r="530" spans="1:40" x14ac:dyDescent="0.3">
      <c r="A530" t="str">
        <f>"20200111150733265"</f>
        <v>20200111150733265</v>
      </c>
      <c r="B530" t="str">
        <f>"1578726453261809"</f>
        <v>1578726453261809</v>
      </c>
      <c r="C530" t="s">
        <v>40</v>
      </c>
      <c r="D530">
        <v>4.753196</v>
      </c>
      <c r="E530">
        <v>0.58058069999999995</v>
      </c>
      <c r="F530" t="s">
        <v>43</v>
      </c>
      <c r="G530">
        <v>-231.8083</v>
      </c>
      <c r="H530" s="1">
        <v>-4.3470440000000004E-6</v>
      </c>
      <c r="I530">
        <v>364.82159999999999</v>
      </c>
      <c r="J530">
        <v>-241.94220000000001</v>
      </c>
      <c r="K530">
        <v>1.109092</v>
      </c>
      <c r="L530">
        <v>367.21420000000001</v>
      </c>
      <c r="M530">
        <v>0.99983630000000001</v>
      </c>
      <c r="N530">
        <v>0</v>
      </c>
      <c r="O530">
        <v>-1.169826E-2</v>
      </c>
      <c r="P530">
        <v>0.99840759999999995</v>
      </c>
      <c r="Q530">
        <v>5.5352739999999997E-2</v>
      </c>
      <c r="R530">
        <v>-1.0885830000000001E-2</v>
      </c>
      <c r="S530">
        <v>3.0153050000000001</v>
      </c>
      <c r="T530">
        <v>-0.3204882</v>
      </c>
      <c r="U530">
        <v>-0.69241330000000001</v>
      </c>
      <c r="V530">
        <v>-7.61891E-4</v>
      </c>
      <c r="W530">
        <v>6.9136569999999994E-2</v>
      </c>
      <c r="X530">
        <v>0.99760689999999996</v>
      </c>
      <c r="Y530">
        <v>0.2113225</v>
      </c>
      <c r="Z530">
        <v>-9.8324280000000007E-3</v>
      </c>
      <c r="AA530">
        <v>0.97736690000000004</v>
      </c>
      <c r="AB530">
        <v>51</v>
      </c>
      <c r="AC530">
        <v>10.133900000000001</v>
      </c>
      <c r="AD530">
        <v>-1.1090963470440001</v>
      </c>
      <c r="AE530">
        <v>-2.3926000000000101</v>
      </c>
      <c r="AF530">
        <v>2.2483668976411</v>
      </c>
      <c r="AG530">
        <v>-1.1090963470440001</v>
      </c>
      <c r="AH530">
        <v>10.0472068167117</v>
      </c>
      <c r="AI530">
        <v>96.148431351896605</v>
      </c>
      <c r="AJ530">
        <v>77.386150448048895</v>
      </c>
      <c r="AK530">
        <v>10.3552698289911</v>
      </c>
      <c r="AL530">
        <v>86.035603773838304</v>
      </c>
      <c r="AM530">
        <v>90.043757847165907</v>
      </c>
      <c r="AN530">
        <v>0.99999998635843501</v>
      </c>
    </row>
    <row r="531" spans="1:40" x14ac:dyDescent="0.3">
      <c r="A531" t="str">
        <f>"20200111150733278"</f>
        <v>20200111150733278</v>
      </c>
      <c r="B531" t="str">
        <f>"1578726453271570"</f>
        <v>1578726453271570</v>
      </c>
      <c r="C531" t="s">
        <v>40</v>
      </c>
      <c r="D531">
        <v>5.4217089999999999</v>
      </c>
      <c r="E531">
        <v>0.58077809999999996</v>
      </c>
      <c r="F531" t="s">
        <v>43</v>
      </c>
      <c r="G531">
        <v>-231.72059999999999</v>
      </c>
      <c r="H531" s="1">
        <v>-4.3724769999999996E-6</v>
      </c>
      <c r="I531">
        <v>364.89030000000002</v>
      </c>
      <c r="J531">
        <v>-241.64429999999999</v>
      </c>
      <c r="K531">
        <v>1.109094</v>
      </c>
      <c r="L531">
        <v>367.21069999999997</v>
      </c>
      <c r="M531">
        <v>0.99983560000000005</v>
      </c>
      <c r="N531">
        <v>0</v>
      </c>
      <c r="O531">
        <v>-1.1771999999999999E-2</v>
      </c>
      <c r="P531">
        <v>0.99839789999999995</v>
      </c>
      <c r="Q531">
        <v>5.551064E-2</v>
      </c>
      <c r="R531">
        <v>-1.0985490000000001E-2</v>
      </c>
      <c r="S531">
        <v>3.0154879999999999</v>
      </c>
      <c r="T531">
        <v>-0.32719399999999998</v>
      </c>
      <c r="U531">
        <v>-0.6855774</v>
      </c>
      <c r="V531">
        <v>-7.3619519999999999E-4</v>
      </c>
      <c r="W531">
        <v>6.9293069999999998E-2</v>
      </c>
      <c r="X531">
        <v>0.99759609999999999</v>
      </c>
      <c r="Y531">
        <v>0.20909849999999999</v>
      </c>
      <c r="Z531">
        <v>-9.9122259999999997E-3</v>
      </c>
      <c r="AA531">
        <v>0.97784439999999995</v>
      </c>
      <c r="AB531">
        <v>51</v>
      </c>
      <c r="AC531">
        <v>9.9236999999999895</v>
      </c>
      <c r="AD531">
        <v>-1.109098372477</v>
      </c>
      <c r="AE531">
        <v>-2.3203999999999398</v>
      </c>
      <c r="AF531">
        <v>2.1776159955925198</v>
      </c>
      <c r="AG531">
        <v>-1.109098372477</v>
      </c>
      <c r="AH531">
        <v>9.8338646241828993</v>
      </c>
      <c r="AI531">
        <v>96.283868706291699</v>
      </c>
      <c r="AJ531">
        <v>77.513880463304602</v>
      </c>
      <c r="AK531">
        <v>10.1329662029855</v>
      </c>
      <c r="AL531">
        <v>86.026615582488304</v>
      </c>
      <c r="AM531">
        <v>90.042282513133898</v>
      </c>
      <c r="AN531">
        <v>1.0000000251343</v>
      </c>
    </row>
    <row r="532" spans="1:40" x14ac:dyDescent="0.3">
      <c r="A532" t="str">
        <f>"20200111150733291"</f>
        <v>20200111150733291</v>
      </c>
      <c r="B532" t="str">
        <f>"1578726453281329"</f>
        <v>1578726453281329</v>
      </c>
      <c r="C532" t="s">
        <v>40</v>
      </c>
      <c r="D532">
        <v>4.6593910000000003</v>
      </c>
      <c r="E532">
        <v>0.58077809999999996</v>
      </c>
      <c r="F532" t="s">
        <v>43</v>
      </c>
      <c r="G532">
        <v>-231.1772</v>
      </c>
      <c r="H532" s="1">
        <v>-4.6175180000000003E-6</v>
      </c>
      <c r="I532">
        <v>364.82319999999999</v>
      </c>
      <c r="J532">
        <v>-241.36709999999999</v>
      </c>
      <c r="K532">
        <v>1.109097</v>
      </c>
      <c r="L532">
        <v>367.20740000000001</v>
      </c>
      <c r="M532">
        <v>0.99983460000000002</v>
      </c>
      <c r="N532">
        <v>0</v>
      </c>
      <c r="O532">
        <v>-1.18399E-2</v>
      </c>
      <c r="P532">
        <v>0.9983824</v>
      </c>
      <c r="Q532">
        <v>5.574933E-2</v>
      </c>
      <c r="R532">
        <v>-1.1174740000000001E-2</v>
      </c>
      <c r="S532">
        <v>3.014999</v>
      </c>
      <c r="T532">
        <v>-0.3194689</v>
      </c>
      <c r="U532">
        <v>-0.68771359999999904</v>
      </c>
      <c r="V532">
        <v>-6.1488379999999896E-4</v>
      </c>
      <c r="W532">
        <v>6.9530899999999896E-2</v>
      </c>
      <c r="X532">
        <v>0.99757960000000001</v>
      </c>
      <c r="Y532">
        <v>0.20977280000000001</v>
      </c>
      <c r="Z532">
        <v>-9.7083429999999995E-3</v>
      </c>
      <c r="AA532">
        <v>0.97770199999999996</v>
      </c>
      <c r="AB532">
        <v>51</v>
      </c>
      <c r="AC532">
        <v>10.1898999999999</v>
      </c>
      <c r="AD532">
        <v>-1.109101617518</v>
      </c>
      <c r="AE532">
        <v>-2.3842000000000199</v>
      </c>
      <c r="AF532">
        <v>2.2382342112119198</v>
      </c>
      <c r="AG532">
        <v>-1.109101617518</v>
      </c>
      <c r="AH532">
        <v>10.103930117442999</v>
      </c>
      <c r="AI532">
        <v>96.117113840198201</v>
      </c>
      <c r="AJ532">
        <v>77.509476209777304</v>
      </c>
      <c r="AK532">
        <v>10.4081315614471</v>
      </c>
      <c r="AL532">
        <v>86.012955846316302</v>
      </c>
      <c r="AM532">
        <v>90.0353157203389</v>
      </c>
      <c r="AN532">
        <v>0.99999999123652805</v>
      </c>
    </row>
    <row r="533" spans="1:40" x14ac:dyDescent="0.3">
      <c r="A533" t="str">
        <f>"20200111150733302"</f>
        <v>20200111150733302</v>
      </c>
      <c r="B533" t="str">
        <f>"1578726453292067"</f>
        <v>1578726453292067</v>
      </c>
      <c r="C533" t="s">
        <v>40</v>
      </c>
      <c r="D533">
        <v>4.3383750000000001</v>
      </c>
      <c r="E533">
        <v>0.58516230000000002</v>
      </c>
      <c r="F533" t="s">
        <v>43</v>
      </c>
      <c r="G533">
        <v>-230.87540000000001</v>
      </c>
      <c r="H533" s="1">
        <v>-4.7488500000000003E-6</v>
      </c>
      <c r="I533">
        <v>364.81259999999997</v>
      </c>
      <c r="J533">
        <v>-241.08510000000001</v>
      </c>
      <c r="K533">
        <v>1.1091</v>
      </c>
      <c r="L533">
        <v>367.20400000000001</v>
      </c>
      <c r="M533">
        <v>0.99983379999999999</v>
      </c>
      <c r="N533">
        <v>0</v>
      </c>
      <c r="O533">
        <v>-1.190924E-2</v>
      </c>
      <c r="P533">
        <v>0.99839129999999998</v>
      </c>
      <c r="Q533">
        <v>5.5530780000000002E-2</v>
      </c>
      <c r="R533">
        <v>-1.144859E-2</v>
      </c>
      <c r="S533">
        <v>3.0149689999999998</v>
      </c>
      <c r="T533">
        <v>-0.318718</v>
      </c>
      <c r="U533">
        <v>-0.68817139999999999</v>
      </c>
      <c r="V533">
        <v>-4.1082210000000001E-4</v>
      </c>
      <c r="W533">
        <v>6.9311150000000002E-2</v>
      </c>
      <c r="X533">
        <v>0.99759500000000001</v>
      </c>
      <c r="Y533">
        <v>0.20985309999999999</v>
      </c>
      <c r="Z533">
        <v>-9.6825460000000002E-3</v>
      </c>
      <c r="AA533">
        <v>0.97768500000000003</v>
      </c>
      <c r="AB533">
        <v>51</v>
      </c>
      <c r="AC533">
        <v>10.2096999999999</v>
      </c>
      <c r="AD533">
        <v>-1.1091047488500001</v>
      </c>
      <c r="AE533">
        <v>-2.3914000000000302</v>
      </c>
      <c r="AF533">
        <v>2.2445190370531898</v>
      </c>
      <c r="AG533">
        <v>-1.1091047488500001</v>
      </c>
      <c r="AH533">
        <v>10.1241964162447</v>
      </c>
      <c r="AI533">
        <v>96.104751498710698</v>
      </c>
      <c r="AJ533">
        <v>77.4997910944045</v>
      </c>
      <c r="AK533">
        <v>10.429157786049499</v>
      </c>
      <c r="AL533">
        <v>86.025577054890206</v>
      </c>
      <c r="AM533">
        <v>90.023595117387401</v>
      </c>
      <c r="AN533">
        <v>0.99999999415705998</v>
      </c>
    </row>
    <row r="534" spans="1:40" x14ac:dyDescent="0.3">
      <c r="A534" t="str">
        <f>"20200111150733316"</f>
        <v>20200111150733316</v>
      </c>
      <c r="B534" t="str">
        <f>"1578726453311585"</f>
        <v>1578726453311585</v>
      </c>
      <c r="C534" t="s">
        <v>40</v>
      </c>
      <c r="D534">
        <v>5.3964429999999997</v>
      </c>
      <c r="E534">
        <v>0.59299169999999901</v>
      </c>
      <c r="F534" t="s">
        <v>49</v>
      </c>
      <c r="G534">
        <v>0</v>
      </c>
      <c r="H534">
        <v>0</v>
      </c>
      <c r="I534">
        <v>0</v>
      </c>
      <c r="J534">
        <v>-240.78319999999999</v>
      </c>
      <c r="K534">
        <v>1.1091009999999999</v>
      </c>
      <c r="L534">
        <v>367.20030000000003</v>
      </c>
      <c r="M534">
        <v>0.99983290000000002</v>
      </c>
      <c r="N534">
        <v>0</v>
      </c>
      <c r="O534">
        <v>-1.1983229999999999E-2</v>
      </c>
      <c r="P534">
        <v>0.9983995</v>
      </c>
      <c r="Q534">
        <v>5.5367499999999903E-2</v>
      </c>
      <c r="R534">
        <v>-1.1519369999999999E-2</v>
      </c>
      <c r="S534">
        <v>2.9457550000000001</v>
      </c>
      <c r="T534">
        <v>0.91870130000000005</v>
      </c>
      <c r="U534">
        <v>-0.69772339999999999</v>
      </c>
      <c r="V534">
        <v>-4.1415659999999998E-4</v>
      </c>
      <c r="W534">
        <v>6.9147029999999998E-2</v>
      </c>
      <c r="X534">
        <v>0.9976064</v>
      </c>
      <c r="Y534">
        <v>0.20989559999999999</v>
      </c>
      <c r="Z534">
        <v>2.7960309999999999E-2</v>
      </c>
      <c r="AA534">
        <v>0.97732390000000002</v>
      </c>
      <c r="AB534">
        <v>51</v>
      </c>
      <c r="AC534">
        <v>2.9457550000000001</v>
      </c>
      <c r="AD534">
        <v>0.91870130000000005</v>
      </c>
      <c r="AE534">
        <v>-0.69772339999999999</v>
      </c>
      <c r="AF534">
        <v>0.60651179507155095</v>
      </c>
      <c r="AG534">
        <v>0.91870130000000005</v>
      </c>
      <c r="AH534">
        <v>2.7047988794240498</v>
      </c>
      <c r="AI534">
        <v>71.663464785693193</v>
      </c>
      <c r="AJ534">
        <v>77.361317999240399</v>
      </c>
      <c r="AK534">
        <v>2.9202406774641401</v>
      </c>
      <c r="AL534">
        <v>86.035003101486694</v>
      </c>
      <c r="AM534">
        <v>90.023786358902896</v>
      </c>
      <c r="AN534">
        <v>1.0000000063022301</v>
      </c>
    </row>
    <row r="535" spans="1:40" x14ac:dyDescent="0.3">
      <c r="A535" t="str">
        <f>"20200111150733331"</f>
        <v>20200111150733331</v>
      </c>
      <c r="B535" t="str">
        <f>"1578726453321344"</f>
        <v>1578726453321344</v>
      </c>
      <c r="C535" t="s">
        <v>40</v>
      </c>
      <c r="D535">
        <v>5.2998500000000002</v>
      </c>
      <c r="E535">
        <v>0.59299169999999901</v>
      </c>
      <c r="F535" t="s">
        <v>47</v>
      </c>
      <c r="G535">
        <v>-143.84460000000001</v>
      </c>
      <c r="H535">
        <v>33.585239999999999</v>
      </c>
      <c r="I535">
        <v>342.19009999999997</v>
      </c>
      <c r="J535">
        <v>-240.45660000000001</v>
      </c>
      <c r="K535">
        <v>1.1091040000000001</v>
      </c>
      <c r="L535">
        <v>367.19630000000001</v>
      </c>
      <c r="M535">
        <v>0.9998321</v>
      </c>
      <c r="N535">
        <v>0</v>
      </c>
      <c r="O535">
        <v>-1.206342E-2</v>
      </c>
      <c r="P535">
        <v>0.99838749999999998</v>
      </c>
      <c r="Q535">
        <v>5.550368E-2</v>
      </c>
      <c r="R535">
        <v>-1.193804E-2</v>
      </c>
      <c r="S535">
        <v>2.9413909999999999</v>
      </c>
      <c r="T535">
        <v>0.9854176</v>
      </c>
      <c r="U535">
        <v>-0.75888059999999902</v>
      </c>
      <c r="V535" s="1">
        <v>-7.5815649999999996E-5</v>
      </c>
      <c r="W535">
        <v>6.9282120000000003E-2</v>
      </c>
      <c r="X535">
        <v>0.99759710000000001</v>
      </c>
      <c r="Y535">
        <v>0.2270973</v>
      </c>
      <c r="Z535">
        <v>3.2603069999999998E-2</v>
      </c>
      <c r="AA535">
        <v>0.97332620000000003</v>
      </c>
      <c r="AB535">
        <v>51</v>
      </c>
      <c r="AC535">
        <v>96.611999999999995</v>
      </c>
      <c r="AD535">
        <v>32.476135999999997</v>
      </c>
      <c r="AE535">
        <v>-25.0062</v>
      </c>
      <c r="AF535">
        <v>21.555974195132698</v>
      </c>
      <c r="AG535">
        <v>32.476135999999997</v>
      </c>
      <c r="AH535">
        <v>87.626792535544993</v>
      </c>
      <c r="AI535">
        <v>70.2067329798559</v>
      </c>
      <c r="AJ535">
        <v>76.179794121811995</v>
      </c>
      <c r="AK535">
        <v>95.905235535184204</v>
      </c>
      <c r="AL535">
        <v>86.027244366405895</v>
      </c>
      <c r="AM535">
        <v>90.004354379897094</v>
      </c>
      <c r="AN535">
        <v>0.99999999591405797</v>
      </c>
    </row>
    <row r="536" spans="1:40" x14ac:dyDescent="0.3">
      <c r="A536" t="str">
        <f>"20200111150733344"</f>
        <v>20200111150733344</v>
      </c>
      <c r="B536" t="str">
        <f>"1578726453341842"</f>
        <v>1578726453341842</v>
      </c>
      <c r="C536" t="s">
        <v>40</v>
      </c>
      <c r="D536">
        <v>5.3333349999999999</v>
      </c>
      <c r="E536">
        <v>0.56515509999999902</v>
      </c>
      <c r="F536" t="s">
        <v>47</v>
      </c>
      <c r="G536">
        <v>-143.66489999999999</v>
      </c>
      <c r="H536">
        <v>33.551310000000001</v>
      </c>
      <c r="I536">
        <v>342.19009999999997</v>
      </c>
      <c r="J536">
        <v>-240.15459999999999</v>
      </c>
      <c r="K536">
        <v>1.109105</v>
      </c>
      <c r="L536">
        <v>367.19260000000003</v>
      </c>
      <c r="M536">
        <v>0.99983109999999997</v>
      </c>
      <c r="N536">
        <v>0</v>
      </c>
      <c r="O536">
        <v>-1.2137179999999999E-2</v>
      </c>
      <c r="P536">
        <v>0.99839440000000002</v>
      </c>
      <c r="Q536">
        <v>5.5309839999999999E-2</v>
      </c>
      <c r="R536">
        <v>-1.22296E-2</v>
      </c>
      <c r="S536">
        <v>2.9409480000000001</v>
      </c>
      <c r="T536">
        <v>0.9857342</v>
      </c>
      <c r="U536">
        <v>-0.75979609999999997</v>
      </c>
      <c r="V536">
        <v>1.4183770000000001E-4</v>
      </c>
      <c r="W536">
        <v>6.9087090000000004E-2</v>
      </c>
      <c r="X536">
        <v>0.99761060000000001</v>
      </c>
      <c r="Y536">
        <v>0.22732820000000001</v>
      </c>
      <c r="Z536">
        <v>3.26298E-2</v>
      </c>
      <c r="AA536">
        <v>0.97327140000000001</v>
      </c>
      <c r="AB536">
        <v>51</v>
      </c>
      <c r="AC536">
        <v>96.489699999999999</v>
      </c>
      <c r="AD536">
        <v>32.442205000000001</v>
      </c>
      <c r="AE536">
        <v>-25.002500000000001</v>
      </c>
      <c r="AF536">
        <v>21.546883148798202</v>
      </c>
      <c r="AG536">
        <v>32.442205000000001</v>
      </c>
      <c r="AH536">
        <v>87.515229823074307</v>
      </c>
      <c r="AI536">
        <v>70.203447444109898</v>
      </c>
      <c r="AJ536">
        <v>76.168464623351198</v>
      </c>
      <c r="AK536">
        <v>95.789771320718302</v>
      </c>
      <c r="AL536">
        <v>86.038445529553698</v>
      </c>
      <c r="AM536">
        <v>89.991853834019906</v>
      </c>
      <c r="AN536">
        <v>0.99999997767747995</v>
      </c>
    </row>
    <row r="537" spans="1:40" x14ac:dyDescent="0.3">
      <c r="A537" t="str">
        <f>"20200111150733358"</f>
        <v>20200111150733358</v>
      </c>
      <c r="B537" t="str">
        <f>"1578726453351601"</f>
        <v>1578726453351601</v>
      </c>
      <c r="C537" t="s">
        <v>40</v>
      </c>
      <c r="D537">
        <v>5.2997300000000003</v>
      </c>
      <c r="E537">
        <v>0.56525419999999904</v>
      </c>
      <c r="F537" t="s">
        <v>41</v>
      </c>
      <c r="G537">
        <v>-239.1036</v>
      </c>
      <c r="H537">
        <v>1.0037590000000001</v>
      </c>
      <c r="I537">
        <v>366.99509999999998</v>
      </c>
      <c r="J537">
        <v>-239.84520000000001</v>
      </c>
      <c r="K537">
        <v>1.109105</v>
      </c>
      <c r="L537">
        <v>367.18880000000001</v>
      </c>
      <c r="M537">
        <v>0.9998302</v>
      </c>
      <c r="N537">
        <v>0</v>
      </c>
      <c r="O537">
        <v>-1.2212850000000001E-2</v>
      </c>
      <c r="P537">
        <v>0.99840569999999895</v>
      </c>
      <c r="Q537">
        <v>5.5076380000000001E-2</v>
      </c>
      <c r="R537">
        <v>-1.236408E-2</v>
      </c>
      <c r="S537">
        <v>3.0146329999999999</v>
      </c>
      <c r="T537">
        <v>-0.30231859999999999</v>
      </c>
      <c r="U537">
        <v>-0.56603999999999999</v>
      </c>
      <c r="V537">
        <v>2.0035969999999999E-4</v>
      </c>
      <c r="W537">
        <v>6.8852570000000002E-2</v>
      </c>
      <c r="X537">
        <v>0.99762680000000004</v>
      </c>
      <c r="Y537">
        <v>0.17174879999999901</v>
      </c>
      <c r="Z537">
        <v>-7.3054649999999997E-3</v>
      </c>
      <c r="AA537">
        <v>0.98511369999999998</v>
      </c>
      <c r="AB537">
        <v>51</v>
      </c>
      <c r="AC537">
        <v>0.74160000000000503</v>
      </c>
      <c r="AD537">
        <v>-0.105345999999999</v>
      </c>
      <c r="AE537">
        <v>-0.19370000000003501</v>
      </c>
      <c r="AF537">
        <v>0.181204655813717</v>
      </c>
      <c r="AG537">
        <v>-0.105345999999999</v>
      </c>
      <c r="AH537">
        <v>0.73011848682458602</v>
      </c>
      <c r="AI537">
        <v>97.971730966178498</v>
      </c>
      <c r="AJ537">
        <v>76.061658203350902</v>
      </c>
      <c r="AK537">
        <v>0.75960905195211503</v>
      </c>
      <c r="AL537">
        <v>86.0519145960765</v>
      </c>
      <c r="AM537">
        <v>89.9884929263727</v>
      </c>
      <c r="AN537">
        <v>0.99999997430892595</v>
      </c>
    </row>
    <row r="538" spans="1:40" x14ac:dyDescent="0.3">
      <c r="A538" t="str">
        <f>"20200111150733371"</f>
        <v>20200111150733371</v>
      </c>
      <c r="B538" t="str">
        <f>"1578726453361360"</f>
        <v>1578726453361360</v>
      </c>
      <c r="C538" t="s">
        <v>40</v>
      </c>
      <c r="D538">
        <v>5.895041</v>
      </c>
      <c r="E538">
        <v>0.56525419999999904</v>
      </c>
      <c r="F538" t="s">
        <v>41</v>
      </c>
      <c r="G538">
        <v>-239.08879999999999</v>
      </c>
      <c r="H538">
        <v>1.035045</v>
      </c>
      <c r="I538">
        <v>367.04629999999997</v>
      </c>
      <c r="J538">
        <v>-239.55549999999999</v>
      </c>
      <c r="K538">
        <v>1.109105</v>
      </c>
      <c r="L538">
        <v>367.18520000000001</v>
      </c>
      <c r="M538">
        <v>0.99982939999999998</v>
      </c>
      <c r="N538">
        <v>0</v>
      </c>
      <c r="O538">
        <v>-1.2283519999999999E-2</v>
      </c>
      <c r="P538">
        <v>0.99841329999999995</v>
      </c>
      <c r="Q538">
        <v>5.4893940000000002E-2</v>
      </c>
      <c r="R538">
        <v>-1.2555520000000001E-2</v>
      </c>
      <c r="S538">
        <v>3.0140690000000001</v>
      </c>
      <c r="T538">
        <v>-0.29527589999999998</v>
      </c>
      <c r="U538">
        <v>-0.56744380000000005</v>
      </c>
      <c r="V538">
        <v>3.2085840000000001E-4</v>
      </c>
      <c r="W538">
        <v>6.8669419999999995E-2</v>
      </c>
      <c r="X538">
        <v>0.99763939999999995</v>
      </c>
      <c r="Y538">
        <v>0.17218929999999999</v>
      </c>
      <c r="Z538">
        <v>-7.1515850000000002E-3</v>
      </c>
      <c r="AA538">
        <v>0.98503790000000002</v>
      </c>
      <c r="AB538">
        <v>51</v>
      </c>
      <c r="AC538">
        <v>0.466700000000003</v>
      </c>
      <c r="AD538">
        <v>-7.4060000000000001E-2</v>
      </c>
      <c r="AE538">
        <v>-0.138900000000035</v>
      </c>
      <c r="AF538">
        <v>0.13014559590084601</v>
      </c>
      <c r="AG538">
        <v>-7.4060000000000001E-2</v>
      </c>
      <c r="AH538">
        <v>0.457781270742113</v>
      </c>
      <c r="AI538">
        <v>98.845072713662006</v>
      </c>
      <c r="AJ538">
        <v>74.129736512357994</v>
      </c>
      <c r="AK538">
        <v>0.481649718752798</v>
      </c>
      <c r="AL538">
        <v>86.062433245812699</v>
      </c>
      <c r="AM538">
        <v>89.981572668934803</v>
      </c>
      <c r="AN538">
        <v>0.99999998231280396</v>
      </c>
    </row>
    <row r="539" spans="1:40" x14ac:dyDescent="0.3">
      <c r="A539" t="str">
        <f>"20200111150733383"</f>
        <v>20200111150733383</v>
      </c>
      <c r="B539" t="str">
        <f>"1578726453372097"</f>
        <v>1578726453372097</v>
      </c>
      <c r="C539" t="s">
        <v>40</v>
      </c>
      <c r="D539">
        <v>5.2848069999999998</v>
      </c>
      <c r="E539">
        <v>0.56679480000000004</v>
      </c>
      <c r="F539" t="s">
        <v>41</v>
      </c>
      <c r="G539">
        <v>-238.64529999999999</v>
      </c>
      <c r="H539">
        <v>1.0197480000000001</v>
      </c>
      <c r="I539">
        <v>367.01350000000002</v>
      </c>
      <c r="J539">
        <v>-239.27719999999999</v>
      </c>
      <c r="K539">
        <v>1.1091059999999999</v>
      </c>
      <c r="L539">
        <v>367.18169999999998</v>
      </c>
      <c r="M539">
        <v>0.99982859999999996</v>
      </c>
      <c r="N539">
        <v>0</v>
      </c>
      <c r="O539">
        <v>-1.2351320000000001E-2</v>
      </c>
      <c r="P539">
        <v>0.99842419999999998</v>
      </c>
      <c r="Q539">
        <v>5.4662240000000001E-2</v>
      </c>
      <c r="R539">
        <v>-1.2707049999999999E-2</v>
      </c>
      <c r="S539">
        <v>3.0138850000000001</v>
      </c>
      <c r="T539">
        <v>-0.2959717</v>
      </c>
      <c r="U539">
        <v>-0.56771850000000001</v>
      </c>
      <c r="V539">
        <v>4.043556E-4</v>
      </c>
      <c r="W539">
        <v>6.8436800000000006E-2</v>
      </c>
      <c r="X539">
        <v>0.99765539999999997</v>
      </c>
      <c r="Y539">
        <v>0.1722167</v>
      </c>
      <c r="Z539">
        <v>-7.1634749999999999E-3</v>
      </c>
      <c r="AA539">
        <v>0.98503300000000005</v>
      </c>
      <c r="AB539">
        <v>51</v>
      </c>
      <c r="AC539">
        <v>0.63190000000000102</v>
      </c>
      <c r="AD539">
        <v>-8.9358000000000007E-2</v>
      </c>
      <c r="AE539">
        <v>-0.168199999999956</v>
      </c>
      <c r="AF539">
        <v>0.157441540989463</v>
      </c>
      <c r="AG539">
        <v>-8.9358000000000007E-2</v>
      </c>
      <c r="AH539">
        <v>0.622308407263507</v>
      </c>
      <c r="AI539">
        <v>97.924943591174198</v>
      </c>
      <c r="AJ539">
        <v>75.802309877356706</v>
      </c>
      <c r="AK539">
        <v>0.64810527288703601</v>
      </c>
      <c r="AL539">
        <v>86.075792999181502</v>
      </c>
      <c r="AM539">
        <v>89.976777684926205</v>
      </c>
      <c r="AN539">
        <v>1.00000002812342</v>
      </c>
    </row>
    <row r="540" spans="1:40" x14ac:dyDescent="0.3">
      <c r="A540" t="str">
        <f>"20200111150733397"</f>
        <v>20200111150733397</v>
      </c>
      <c r="B540" t="str">
        <f>"1578726453391617"</f>
        <v>1578726453391617</v>
      </c>
      <c r="C540" t="s">
        <v>40</v>
      </c>
      <c r="D540">
        <v>5.5854819999999998</v>
      </c>
      <c r="E540">
        <v>0.57373050000000003</v>
      </c>
      <c r="F540" t="s">
        <v>41</v>
      </c>
      <c r="G540">
        <v>-238.2002</v>
      </c>
      <c r="H540">
        <v>1.0011730000000001</v>
      </c>
      <c r="I540">
        <v>366.97399999999999</v>
      </c>
      <c r="J540">
        <v>-238.9503</v>
      </c>
      <c r="K540">
        <v>1.1091059999999999</v>
      </c>
      <c r="L540">
        <v>367.17770000000002</v>
      </c>
      <c r="M540">
        <v>0.99982760000000004</v>
      </c>
      <c r="N540">
        <v>0</v>
      </c>
      <c r="O540">
        <v>-1.2431050000000001E-2</v>
      </c>
      <c r="P540">
        <v>0.99842039999999999</v>
      </c>
      <c r="Q540">
        <v>5.4582520000000002E-2</v>
      </c>
      <c r="R540">
        <v>-1.3334540000000001E-2</v>
      </c>
      <c r="S540">
        <v>3.0138850000000001</v>
      </c>
      <c r="T540">
        <v>-0.30221900000000002</v>
      </c>
      <c r="U540">
        <v>-0.58071899999999999</v>
      </c>
      <c r="V540">
        <v>9.5202199999999996E-4</v>
      </c>
      <c r="W540">
        <v>6.8355929999999995E-2</v>
      </c>
      <c r="X540">
        <v>0.99766049999999995</v>
      </c>
      <c r="Y540">
        <v>0.17618729999999999</v>
      </c>
      <c r="Z540">
        <v>-7.4999389999999997E-3</v>
      </c>
      <c r="AA540">
        <v>0.98432810000000004</v>
      </c>
      <c r="AB540">
        <v>50</v>
      </c>
      <c r="AC540">
        <v>0.75010000000000299</v>
      </c>
      <c r="AD540">
        <v>-0.107933</v>
      </c>
      <c r="AE540">
        <v>-0.203700000000026</v>
      </c>
      <c r="AF540">
        <v>0.19068197305710199</v>
      </c>
      <c r="AG540">
        <v>-0.107933</v>
      </c>
      <c r="AH540">
        <v>0.73833732536097696</v>
      </c>
      <c r="AI540">
        <v>98.056123900689599</v>
      </c>
      <c r="AJ540">
        <v>75.519279875862296</v>
      </c>
      <c r="AK540">
        <v>0.77016306932957401</v>
      </c>
      <c r="AL540">
        <v>86.080437103221399</v>
      </c>
      <c r="AM540">
        <v>89.945325262404594</v>
      </c>
      <c r="AN540">
        <v>0.99999995638615002</v>
      </c>
    </row>
    <row r="541" spans="1:40" x14ac:dyDescent="0.3">
      <c r="A541" t="str">
        <f>"20200111150733453"</f>
        <v>20200111150733453</v>
      </c>
      <c r="B541" t="str">
        <f>"1578726453441393"</f>
        <v>1578726453441393</v>
      </c>
      <c r="C541" t="s">
        <v>40</v>
      </c>
      <c r="D541">
        <v>5.8937689999999998</v>
      </c>
      <c r="E541">
        <v>0.57550400000000002</v>
      </c>
      <c r="F541" t="s">
        <v>41</v>
      </c>
      <c r="G541">
        <v>-237.28469999999999</v>
      </c>
      <c r="H541">
        <v>1.0283249999999999</v>
      </c>
      <c r="I541">
        <v>366.99689999999998</v>
      </c>
      <c r="J541">
        <v>-237.69739999999999</v>
      </c>
      <c r="K541">
        <v>1.109103</v>
      </c>
      <c r="L541">
        <v>367.1617</v>
      </c>
      <c r="M541">
        <v>0.99982380000000004</v>
      </c>
      <c r="N541">
        <v>0</v>
      </c>
      <c r="O541">
        <v>-1.2735430000000001E-2</v>
      </c>
      <c r="P541">
        <v>0.99840459999999998</v>
      </c>
      <c r="Q541">
        <v>5.4151879999999999E-2</v>
      </c>
      <c r="R541">
        <v>-1.5999989999999999E-2</v>
      </c>
      <c r="S541">
        <v>3.01207</v>
      </c>
      <c r="T541">
        <v>-0.3132548</v>
      </c>
      <c r="U541">
        <v>-0.6570435</v>
      </c>
      <c r="V541">
        <v>3.3127220000000001E-3</v>
      </c>
      <c r="W541">
        <v>6.7920149999999999E-2</v>
      </c>
      <c r="X541">
        <v>0.9976853</v>
      </c>
      <c r="Y541">
        <v>0.19970180000000001</v>
      </c>
      <c r="Z541">
        <v>-8.931797E-3</v>
      </c>
      <c r="AA541">
        <v>0.97981600000000002</v>
      </c>
      <c r="AB541">
        <v>50</v>
      </c>
      <c r="AC541">
        <v>0.41270000000000001</v>
      </c>
      <c r="AD541">
        <v>-8.0778000000000197E-2</v>
      </c>
      <c r="AE541">
        <v>-0.16480000000001299</v>
      </c>
      <c r="AF541">
        <v>0.15442766828344501</v>
      </c>
      <c r="AG541">
        <v>-8.0778000000000197E-2</v>
      </c>
      <c r="AH541">
        <v>0.40149930412388501</v>
      </c>
      <c r="AI541">
        <v>100.635145060441</v>
      </c>
      <c r="AJ541">
        <v>68.961884930824496</v>
      </c>
      <c r="AK541">
        <v>0.43769245050312</v>
      </c>
      <c r="AL541">
        <v>86.105463947052897</v>
      </c>
      <c r="AM541">
        <v>89.809755348941593</v>
      </c>
      <c r="AN541">
        <v>1.00000003936958</v>
      </c>
    </row>
    <row r="542" spans="1:40" x14ac:dyDescent="0.3">
      <c r="A542" t="str">
        <f>"20200111150733468"</f>
        <v>20200111150733468</v>
      </c>
      <c r="B542" t="str">
        <f>"1578726453461889"</f>
        <v>1578726453461889</v>
      </c>
      <c r="C542" t="s">
        <v>40</v>
      </c>
      <c r="D542">
        <v>5.0942780000000001</v>
      </c>
      <c r="E542">
        <v>0.57587330000000003</v>
      </c>
      <c r="F542" t="s">
        <v>41</v>
      </c>
      <c r="G542">
        <v>-236.8338</v>
      </c>
      <c r="H542">
        <v>1.0189969999999999</v>
      </c>
      <c r="I542">
        <v>366.97210000000001</v>
      </c>
      <c r="J542">
        <v>-237.3683</v>
      </c>
      <c r="K542">
        <v>1.1091040000000001</v>
      </c>
      <c r="L542">
        <v>367.1574</v>
      </c>
      <c r="M542">
        <v>0.99982269999999895</v>
      </c>
      <c r="N542">
        <v>0</v>
      </c>
      <c r="O542">
        <v>-1.2815180000000001E-2</v>
      </c>
      <c r="P542">
        <v>0.99840180000000001</v>
      </c>
      <c r="Q542">
        <v>5.4120639999999998E-2</v>
      </c>
      <c r="R542">
        <v>-1.6268560000000001E-2</v>
      </c>
      <c r="S542">
        <v>3.0112610000000002</v>
      </c>
      <c r="T542">
        <v>-0.31427509999999997</v>
      </c>
      <c r="U542">
        <v>-0.6604004</v>
      </c>
      <c r="V542">
        <v>3.5017440000000002E-3</v>
      </c>
      <c r="W542">
        <v>6.789067E-2</v>
      </c>
      <c r="X542">
        <v>0.99768659999999998</v>
      </c>
      <c r="Y542">
        <v>0.20070950000000001</v>
      </c>
      <c r="Z542">
        <v>-9.0056659999999903E-3</v>
      </c>
      <c r="AA542">
        <v>0.97960939999999996</v>
      </c>
      <c r="AB542">
        <v>50</v>
      </c>
      <c r="AC542">
        <v>0.53450000000000797</v>
      </c>
      <c r="AD542">
        <v>-9.0107000000000104E-2</v>
      </c>
      <c r="AE542">
        <v>-0.18529999999998301</v>
      </c>
      <c r="AF542">
        <v>0.17401943151447499</v>
      </c>
      <c r="AG542">
        <v>-9.0107000000000104E-2</v>
      </c>
      <c r="AH542">
        <v>0.52354822760088704</v>
      </c>
      <c r="AI542">
        <v>99.275804651168897</v>
      </c>
      <c r="AJ542">
        <v>71.613981429323204</v>
      </c>
      <c r="AK542">
        <v>0.55902127027301196</v>
      </c>
      <c r="AL542">
        <v>86.107156697262099</v>
      </c>
      <c r="AM542">
        <v>89.798900448039504</v>
      </c>
      <c r="AN542">
        <v>0.99999997855182499</v>
      </c>
    </row>
    <row r="543" spans="1:40" x14ac:dyDescent="0.3">
      <c r="A543" t="str">
        <f>"20200111150733482"</f>
        <v>20200111150733482</v>
      </c>
      <c r="B543" t="str">
        <f>"1578726453471649"</f>
        <v>1578726453471649</v>
      </c>
      <c r="C543" t="s">
        <v>40</v>
      </c>
      <c r="D543">
        <v>5.3428659999999999</v>
      </c>
      <c r="E543">
        <v>0.57672979999999996</v>
      </c>
      <c r="F543" t="s">
        <v>43</v>
      </c>
      <c r="G543">
        <v>-226.8991</v>
      </c>
      <c r="H543" s="1">
        <v>-2.3102790000000002E-6</v>
      </c>
      <c r="I543">
        <v>364.84730000000002</v>
      </c>
      <c r="J543">
        <v>-237.0505</v>
      </c>
      <c r="K543">
        <v>1.1091059999999999</v>
      </c>
      <c r="L543">
        <v>367.1533</v>
      </c>
      <c r="M543">
        <v>0.99982179999999998</v>
      </c>
      <c r="N543">
        <v>0</v>
      </c>
      <c r="O543">
        <v>-1.2892199999999999E-2</v>
      </c>
      <c r="P543">
        <v>0.99838979999999999</v>
      </c>
      <c r="Q543">
        <v>5.4281660000000002E-2</v>
      </c>
      <c r="R543">
        <v>-1.6483729999999999E-2</v>
      </c>
      <c r="S543">
        <v>3.0112610000000002</v>
      </c>
      <c r="T543">
        <v>-0.31901030000000002</v>
      </c>
      <c r="U543">
        <v>-0.66445919999999903</v>
      </c>
      <c r="V543">
        <v>3.639892E-3</v>
      </c>
      <c r="W543">
        <v>6.8056229999999995E-2</v>
      </c>
      <c r="X543">
        <v>0.99767479999999997</v>
      </c>
      <c r="Y543">
        <v>0.2018586</v>
      </c>
      <c r="Z543">
        <v>-9.1912810000000008E-3</v>
      </c>
      <c r="AA543">
        <v>0.97937149999999995</v>
      </c>
      <c r="AB543">
        <v>50</v>
      </c>
      <c r="AC543">
        <v>10.151399999999899</v>
      </c>
      <c r="AD543">
        <v>-1.109108310279</v>
      </c>
      <c r="AE543">
        <v>-2.3059999999999801</v>
      </c>
      <c r="AF543">
        <v>2.15051095246378</v>
      </c>
      <c r="AG543">
        <v>-1.109108310279</v>
      </c>
      <c r="AH543">
        <v>10.066026192625101</v>
      </c>
      <c r="AI543">
        <v>96.149992469671403</v>
      </c>
      <c r="AJ543">
        <v>77.940592203648905</v>
      </c>
      <c r="AK543">
        <v>10.3527630085505</v>
      </c>
      <c r="AL543">
        <v>86.097648717066903</v>
      </c>
      <c r="AM543">
        <v>89.790964426306601</v>
      </c>
      <c r="AN543">
        <v>0.99999995290531096</v>
      </c>
    </row>
    <row r="544" spans="1:40" x14ac:dyDescent="0.3">
      <c r="A544" t="str">
        <f>"20200111150733495"</f>
        <v>20200111150733495</v>
      </c>
      <c r="B544" t="str">
        <f>"1578726453491169"</f>
        <v>1578726453491169</v>
      </c>
      <c r="C544" t="s">
        <v>40</v>
      </c>
      <c r="D544">
        <v>5.2313239999999999</v>
      </c>
      <c r="E544">
        <v>0.57719129999999996</v>
      </c>
      <c r="F544" t="s">
        <v>43</v>
      </c>
      <c r="G544">
        <v>-226.55099999999999</v>
      </c>
      <c r="H544" s="1">
        <v>-2.4384089999999998E-6</v>
      </c>
      <c r="I544">
        <v>364.8109</v>
      </c>
      <c r="J544">
        <v>-236.744</v>
      </c>
      <c r="K544">
        <v>1.10911</v>
      </c>
      <c r="L544">
        <v>367.14929999999998</v>
      </c>
      <c r="M544">
        <v>0.99982059999999995</v>
      </c>
      <c r="N544">
        <v>0</v>
      </c>
      <c r="O544">
        <v>-1.2966979999999999E-2</v>
      </c>
      <c r="P544">
        <v>0.99839630000000001</v>
      </c>
      <c r="Q544">
        <v>5.4093710000000003E-2</v>
      </c>
      <c r="R544">
        <v>-1.6695430000000001E-2</v>
      </c>
      <c r="S544">
        <v>3.0110320000000002</v>
      </c>
      <c r="T544">
        <v>-0.3180656</v>
      </c>
      <c r="U544">
        <v>-0.67172240000000005</v>
      </c>
      <c r="V544">
        <v>3.7769230000000002E-3</v>
      </c>
      <c r="W544">
        <v>6.7875439999999995E-2</v>
      </c>
      <c r="X544">
        <v>0.99768659999999998</v>
      </c>
      <c r="Y544">
        <v>0.20404729999999999</v>
      </c>
      <c r="Z544">
        <v>-9.2686569999999996E-3</v>
      </c>
      <c r="AA544">
        <v>0.97891719999999904</v>
      </c>
      <c r="AB544">
        <v>50</v>
      </c>
      <c r="AC544">
        <v>10.193</v>
      </c>
      <c r="AD544">
        <v>-1.1091124384090001</v>
      </c>
      <c r="AE544">
        <v>-2.3383999999999698</v>
      </c>
      <c r="AF544">
        <v>2.1814812576965199</v>
      </c>
      <c r="AG544">
        <v>-1.1091124384090001</v>
      </c>
      <c r="AH544">
        <v>10.1087653814639</v>
      </c>
      <c r="AI544">
        <v>96.121516791872395</v>
      </c>
      <c r="AJ544">
        <v>77.822263129991597</v>
      </c>
      <c r="AK544">
        <v>10.4007753757207</v>
      </c>
      <c r="AL544">
        <v>86.108031203272205</v>
      </c>
      <c r="AM544">
        <v>89.783097504089596</v>
      </c>
      <c r="AN544">
        <v>0.99999994616104904</v>
      </c>
    </row>
    <row r="545" spans="1:40" x14ac:dyDescent="0.3">
      <c r="A545" t="str">
        <f>"20200111150733510"</f>
        <v>20200111150733510</v>
      </c>
      <c r="B545" t="str">
        <f>"1578726453501905"</f>
        <v>1578726453501905</v>
      </c>
      <c r="C545" t="s">
        <v>40</v>
      </c>
      <c r="D545">
        <v>5.3082479999999999</v>
      </c>
      <c r="E545">
        <v>0.57896669999999995</v>
      </c>
      <c r="F545" t="s">
        <v>41</v>
      </c>
      <c r="G545">
        <v>-235.93510000000001</v>
      </c>
      <c r="H545">
        <v>1.02261</v>
      </c>
      <c r="I545">
        <v>366.9676</v>
      </c>
      <c r="J545">
        <v>-236.41980000000001</v>
      </c>
      <c r="K545">
        <v>1.1091169999999999</v>
      </c>
      <c r="L545">
        <v>367.14499999999998</v>
      </c>
      <c r="M545">
        <v>0.99981940000000002</v>
      </c>
      <c r="N545">
        <v>0</v>
      </c>
      <c r="O545">
        <v>-1.304656E-2</v>
      </c>
      <c r="P545">
        <v>0.99833300000000003</v>
      </c>
      <c r="Q545">
        <v>5.5146059999999997E-2</v>
      </c>
      <c r="R545">
        <v>-1.7032579999999999E-2</v>
      </c>
      <c r="S545">
        <v>3.0109409999999999</v>
      </c>
      <c r="T545">
        <v>-0.32191039999999999</v>
      </c>
      <c r="U545">
        <v>-0.67654419999999904</v>
      </c>
      <c r="V545">
        <v>4.0355169999999998E-3</v>
      </c>
      <c r="W545">
        <v>6.8939150000000005E-2</v>
      </c>
      <c r="X545">
        <v>0.99761270000000002</v>
      </c>
      <c r="Y545">
        <v>0.20543700000000001</v>
      </c>
      <c r="Z545">
        <v>-9.4435620000000008E-3</v>
      </c>
      <c r="AA545">
        <v>0.97862479999999996</v>
      </c>
      <c r="AB545">
        <v>50</v>
      </c>
      <c r="AC545">
        <v>0.48470000000000302</v>
      </c>
      <c r="AD545">
        <v>-8.6506999999999806E-2</v>
      </c>
      <c r="AE545">
        <v>-0.17739999999997699</v>
      </c>
      <c r="AF545">
        <v>0.166386730905347</v>
      </c>
      <c r="AG545">
        <v>-8.6506999999999806E-2</v>
      </c>
      <c r="AH545">
        <v>0.47366782623710102</v>
      </c>
      <c r="AI545">
        <v>99.776655460404299</v>
      </c>
      <c r="AJ545">
        <v>70.645000482658403</v>
      </c>
      <c r="AK545">
        <v>0.50944009940575796</v>
      </c>
      <c r="AL545">
        <v>86.0469421959301</v>
      </c>
      <c r="AM545">
        <v>89.768229864062704</v>
      </c>
      <c r="AN545">
        <v>0.99999999550073404</v>
      </c>
    </row>
    <row r="546" spans="1:40" x14ac:dyDescent="0.3">
      <c r="A546" t="str">
        <f>"20200111150733523"</f>
        <v>20200111150733523</v>
      </c>
      <c r="B546" t="str">
        <f>"1578726453511665"</f>
        <v>1578726453511665</v>
      </c>
      <c r="C546" t="s">
        <v>40</v>
      </c>
      <c r="D546">
        <v>5.9663820000000003</v>
      </c>
      <c r="E546">
        <v>0.57896669999999995</v>
      </c>
      <c r="F546" t="s">
        <v>43</v>
      </c>
      <c r="G546">
        <v>-225.93819999999999</v>
      </c>
      <c r="H546" s="1">
        <v>-2.6667580000000001E-6</v>
      </c>
      <c r="I546">
        <v>364.7364</v>
      </c>
      <c r="J546">
        <v>-236.12430000000001</v>
      </c>
      <c r="K546">
        <v>1.1091200000000001</v>
      </c>
      <c r="L546">
        <v>367.14109999999999</v>
      </c>
      <c r="M546">
        <v>0.99981830000000005</v>
      </c>
      <c r="N546">
        <v>0</v>
      </c>
      <c r="O546">
        <v>-1.311996E-2</v>
      </c>
      <c r="P546">
        <v>0.99830600000000003</v>
      </c>
      <c r="Q546">
        <v>5.5538490000000003E-2</v>
      </c>
      <c r="R546">
        <v>-1.735273E-2</v>
      </c>
      <c r="S546">
        <v>3.010834</v>
      </c>
      <c r="T546">
        <v>-0.31859369999999998</v>
      </c>
      <c r="U546">
        <v>-0.69186400000000003</v>
      </c>
      <c r="V546">
        <v>4.2825709999999998E-3</v>
      </c>
      <c r="W546">
        <v>6.9346340000000006E-2</v>
      </c>
      <c r="X546">
        <v>0.99758340000000001</v>
      </c>
      <c r="Y546">
        <v>0.2101036</v>
      </c>
      <c r="Z546">
        <v>-9.5773860000000002E-3</v>
      </c>
      <c r="AA546">
        <v>0.97763219999999995</v>
      </c>
      <c r="AB546">
        <v>50</v>
      </c>
      <c r="AC546">
        <v>10.1861</v>
      </c>
      <c r="AD546">
        <v>-1.1091226667579901</v>
      </c>
      <c r="AE546">
        <v>-2.4046999999999898</v>
      </c>
      <c r="AF546">
        <v>2.2456201005924599</v>
      </c>
      <c r="AG546">
        <v>-1.1091226667579901</v>
      </c>
      <c r="AH546">
        <v>10.1033129363569</v>
      </c>
      <c r="AI546">
        <v>96.116643993163706</v>
      </c>
      <c r="AJ546">
        <v>77.468817482973407</v>
      </c>
      <c r="AK546">
        <v>10.409125564429401</v>
      </c>
      <c r="AL546">
        <v>86.023555768012699</v>
      </c>
      <c r="AM546">
        <v>89.7540338618075</v>
      </c>
      <c r="AN546">
        <v>0.99999994762066102</v>
      </c>
    </row>
    <row r="547" spans="1:40" x14ac:dyDescent="0.3">
      <c r="A547" t="str">
        <f>"20200111150733536"</f>
        <v>20200111150733536</v>
      </c>
      <c r="B547" t="str">
        <f>"1578726453531185"</f>
        <v>1578726453531185</v>
      </c>
      <c r="C547" t="s">
        <v>40</v>
      </c>
      <c r="D547">
        <v>5.2975070000000004</v>
      </c>
      <c r="E547">
        <v>0.58056549999999996</v>
      </c>
      <c r="F547" t="s">
        <v>43</v>
      </c>
      <c r="G547">
        <v>-225.60210000000001</v>
      </c>
      <c r="H547" s="1">
        <v>-2.7856929999999999E-6</v>
      </c>
      <c r="I547">
        <v>364.71929999999998</v>
      </c>
      <c r="J547">
        <v>-235.83320000000001</v>
      </c>
      <c r="K547">
        <v>1.1091260000000001</v>
      </c>
      <c r="L547">
        <v>367.13720000000001</v>
      </c>
      <c r="M547">
        <v>0.99981699999999996</v>
      </c>
      <c r="N547">
        <v>0</v>
      </c>
      <c r="O547">
        <v>-1.319304E-2</v>
      </c>
      <c r="P547">
        <v>0.99827529999999998</v>
      </c>
      <c r="Q547">
        <v>5.5984850000000003E-2</v>
      </c>
      <c r="R547">
        <v>-1.7662460000000001E-2</v>
      </c>
      <c r="S547">
        <v>3.0106809999999999</v>
      </c>
      <c r="T547">
        <v>-0.31734479999999998</v>
      </c>
      <c r="U547">
        <v>-0.69290160000000001</v>
      </c>
      <c r="V547">
        <v>4.5200850000000001E-3</v>
      </c>
      <c r="W547">
        <v>6.9812509999999994E-2</v>
      </c>
      <c r="X547">
        <v>0.99754989999999999</v>
      </c>
      <c r="Y547">
        <v>0.21037</v>
      </c>
      <c r="Z547">
        <v>-9.5463960000000004E-3</v>
      </c>
      <c r="AA547">
        <v>0.97757519999999998</v>
      </c>
      <c r="AB547">
        <v>50</v>
      </c>
      <c r="AC547">
        <v>10.2310999999999</v>
      </c>
      <c r="AD547">
        <v>-1.1091287856929899</v>
      </c>
      <c r="AE547">
        <v>-2.4179000000000301</v>
      </c>
      <c r="AF547">
        <v>2.2575692733018098</v>
      </c>
      <c r="AG547">
        <v>-1.1091287856929899</v>
      </c>
      <c r="AH547">
        <v>10.1491463343035</v>
      </c>
      <c r="AI547">
        <v>96.089040351076605</v>
      </c>
      <c r="AJ547">
        <v>77.459339059274797</v>
      </c>
      <c r="AK547">
        <v>10.4561922802766</v>
      </c>
      <c r="AL547">
        <v>85.9967815541806</v>
      </c>
      <c r="AM547">
        <v>89.740383893456695</v>
      </c>
      <c r="AN547">
        <v>1.0000000103554501</v>
      </c>
    </row>
    <row r="548" spans="1:40" x14ac:dyDescent="0.3">
      <c r="A548" t="str">
        <f>"20200111150733548"</f>
        <v>20200111150733548</v>
      </c>
      <c r="B548" t="str">
        <f>"1578726453541921"</f>
        <v>1578726453541921</v>
      </c>
      <c r="C548" t="s">
        <v>40</v>
      </c>
      <c r="D548">
        <v>5.2436470000000002</v>
      </c>
      <c r="E548">
        <v>0.58190710000000001</v>
      </c>
      <c r="F548" t="s">
        <v>43</v>
      </c>
      <c r="G548">
        <v>-225.2405</v>
      </c>
      <c r="H548" s="1">
        <v>-2.9268340000000002E-6</v>
      </c>
      <c r="I548">
        <v>364.65129999999999</v>
      </c>
      <c r="J548">
        <v>-235.53710000000001</v>
      </c>
      <c r="K548">
        <v>1.1091340000000001</v>
      </c>
      <c r="L548">
        <v>367.13330000000002</v>
      </c>
      <c r="M548">
        <v>0.99981580000000003</v>
      </c>
      <c r="N548">
        <v>0</v>
      </c>
      <c r="O548">
        <v>-1.32706E-2</v>
      </c>
      <c r="P548">
        <v>0.99826839999999994</v>
      </c>
      <c r="Q548">
        <v>5.5944220000000003E-2</v>
      </c>
      <c r="R548">
        <v>-1.8191769999999999E-2</v>
      </c>
      <c r="S548">
        <v>3.0103759999999999</v>
      </c>
      <c r="T548">
        <v>-0.3152066</v>
      </c>
      <c r="U548">
        <v>-0.7064819</v>
      </c>
      <c r="V548">
        <v>4.9719589999999998E-3</v>
      </c>
      <c r="W548">
        <v>6.9796810000000001E-2</v>
      </c>
      <c r="X548">
        <v>0.99754880000000001</v>
      </c>
      <c r="Y548">
        <v>0.21449199999999999</v>
      </c>
      <c r="Z548">
        <v>-9.6829780000000001E-3</v>
      </c>
      <c r="AA548">
        <v>0.97667780000000004</v>
      </c>
      <c r="AB548">
        <v>50</v>
      </c>
      <c r="AC548">
        <v>10.2966</v>
      </c>
      <c r="AD548">
        <v>-1.1091369268339999</v>
      </c>
      <c r="AE548">
        <v>-2.4820000000000202</v>
      </c>
      <c r="AF548">
        <v>2.31968817707084</v>
      </c>
      <c r="AG548">
        <v>-1.1091369268339999</v>
      </c>
      <c r="AH548">
        <v>10.2165972937768</v>
      </c>
      <c r="AI548">
        <v>96.043262005327605</v>
      </c>
      <c r="AJ548">
        <v>77.207817006970402</v>
      </c>
      <c r="AK548">
        <v>10.5351790789011</v>
      </c>
      <c r="AL548">
        <v>85.997683102586706</v>
      </c>
      <c r="AM548">
        <v>89.714430103355497</v>
      </c>
      <c r="AN548">
        <v>0.99999996172195604</v>
      </c>
    </row>
    <row r="549" spans="1:40" x14ac:dyDescent="0.3">
      <c r="A549" t="str">
        <f>"20200111150733561"</f>
        <v>20200111150733561</v>
      </c>
      <c r="B549" t="str">
        <f>"1578726453551681"</f>
        <v>1578726453551681</v>
      </c>
      <c r="C549" t="s">
        <v>40</v>
      </c>
      <c r="D549">
        <v>5.2992939999999997</v>
      </c>
      <c r="E549">
        <v>0.58330709999999997</v>
      </c>
      <c r="F549" t="s">
        <v>43</v>
      </c>
      <c r="G549">
        <v>-224.93899999999999</v>
      </c>
      <c r="H549" s="1">
        <v>-3.0427780000000001E-6</v>
      </c>
      <c r="I549">
        <v>364.60289999999998</v>
      </c>
      <c r="J549">
        <v>-235.25210000000001</v>
      </c>
      <c r="K549">
        <v>1.109138</v>
      </c>
      <c r="L549">
        <v>367.12950000000001</v>
      </c>
      <c r="M549">
        <v>0.99981430000000004</v>
      </c>
      <c r="N549">
        <v>0</v>
      </c>
      <c r="O549">
        <v>-1.3347950000000001E-2</v>
      </c>
      <c r="P549">
        <v>0.99825010000000003</v>
      </c>
      <c r="Q549">
        <v>5.6073669999999999E-2</v>
      </c>
      <c r="R549">
        <v>-1.8772400000000002E-2</v>
      </c>
      <c r="S549">
        <v>3.0097809999999998</v>
      </c>
      <c r="T549">
        <v>-0.3149844</v>
      </c>
      <c r="U549">
        <v>-0.71859740000000005</v>
      </c>
      <c r="V549">
        <v>5.475934E-3</v>
      </c>
      <c r="W549">
        <v>6.9953310000000005E-2</v>
      </c>
      <c r="X549">
        <v>0.99753519999999896</v>
      </c>
      <c r="Y549">
        <v>0.21816440000000001</v>
      </c>
      <c r="Z549">
        <v>-9.8547080000000002E-3</v>
      </c>
      <c r="AA549">
        <v>0.97586229999999996</v>
      </c>
      <c r="AB549">
        <v>50</v>
      </c>
      <c r="AC549">
        <v>10.313099999999899</v>
      </c>
      <c r="AD549">
        <v>-1.109141042778</v>
      </c>
      <c r="AE549">
        <v>-2.5266000000000299</v>
      </c>
      <c r="AF549">
        <v>2.3629200207820098</v>
      </c>
      <c r="AG549">
        <v>-1.109141042778</v>
      </c>
      <c r="AH549">
        <v>10.2342391967236</v>
      </c>
      <c r="AI549">
        <v>96.027952082446902</v>
      </c>
      <c r="AJ549">
        <v>76.999151015744005</v>
      </c>
      <c r="AK549">
        <v>10.561876576307</v>
      </c>
      <c r="AL549">
        <v>85.988694348453194</v>
      </c>
      <c r="AM549">
        <v>89.6854800155091</v>
      </c>
      <c r="AN549">
        <v>0.99999996333608299</v>
      </c>
    </row>
    <row r="550" spans="1:40" x14ac:dyDescent="0.3">
      <c r="A550" t="str">
        <f>"20200111150733574"</f>
        <v>20200111150733574</v>
      </c>
      <c r="B550" t="str">
        <f>"1578726453571201"</f>
        <v>1578726453571201</v>
      </c>
      <c r="C550" t="s">
        <v>40</v>
      </c>
      <c r="D550">
        <v>5.3193799999999998</v>
      </c>
      <c r="E550">
        <v>0.58444169999999995</v>
      </c>
      <c r="F550" t="s">
        <v>43</v>
      </c>
      <c r="G550">
        <v>-224.6421</v>
      </c>
      <c r="H550" s="1">
        <v>-3.1797790000000001E-6</v>
      </c>
      <c r="I550">
        <v>364.5487</v>
      </c>
      <c r="J550">
        <v>-234.97649999999999</v>
      </c>
      <c r="K550">
        <v>1.1091409999999999</v>
      </c>
      <c r="L550">
        <v>367.12569999999999</v>
      </c>
      <c r="M550">
        <v>0.9998127</v>
      </c>
      <c r="N550">
        <v>0</v>
      </c>
      <c r="O550">
        <v>-1.342896E-2</v>
      </c>
      <c r="P550">
        <v>0.99825949999999997</v>
      </c>
      <c r="Q550">
        <v>5.5672300000000001E-2</v>
      </c>
      <c r="R550">
        <v>-1.946372E-2</v>
      </c>
      <c r="S550">
        <v>3.0091709999999998</v>
      </c>
      <c r="T550">
        <v>-0.3145675</v>
      </c>
      <c r="U550">
        <v>-0.73193359999999996</v>
      </c>
      <c r="V550">
        <v>6.086513E-3</v>
      </c>
      <c r="W550">
        <v>6.9585149999999998E-2</v>
      </c>
      <c r="X550">
        <v>0.99755749999999999</v>
      </c>
      <c r="Y550">
        <v>0.22219900000000001</v>
      </c>
      <c r="Z550">
        <v>-1.003767E-2</v>
      </c>
      <c r="AA550">
        <v>0.97494970000000003</v>
      </c>
      <c r="AB550">
        <v>50</v>
      </c>
      <c r="AC550">
        <v>10.334399999999899</v>
      </c>
      <c r="AD550">
        <v>-1.109144179779</v>
      </c>
      <c r="AE550">
        <v>-2.5769999999999902</v>
      </c>
      <c r="AF550">
        <v>2.4118190428100599</v>
      </c>
      <c r="AG550">
        <v>-1.109144179779</v>
      </c>
      <c r="AH550">
        <v>10.2568480142157</v>
      </c>
      <c r="AI550">
        <v>96.009162334057606</v>
      </c>
      <c r="AJ550">
        <v>76.767721447275406</v>
      </c>
      <c r="AK550">
        <v>10.5948101962008</v>
      </c>
      <c r="AL550">
        <v>86.009840247331894</v>
      </c>
      <c r="AM550">
        <v>89.650418968824198</v>
      </c>
      <c r="AN550">
        <v>1.0000000522736301</v>
      </c>
    </row>
    <row r="551" spans="1:40" x14ac:dyDescent="0.3">
      <c r="A551" t="str">
        <f>"20200111150733587"</f>
        <v>20200111150733587</v>
      </c>
      <c r="B551" t="str">
        <f>"1578726453581939"</f>
        <v>1578726453581939</v>
      </c>
      <c r="C551" t="s">
        <v>40</v>
      </c>
      <c r="D551">
        <v>5.3082900000000004</v>
      </c>
      <c r="E551">
        <v>0.58564490000000002</v>
      </c>
      <c r="F551" t="s">
        <v>43</v>
      </c>
      <c r="G551">
        <v>-224.37020000000001</v>
      </c>
      <c r="H551" s="1">
        <v>-3.3039819999999898E-6</v>
      </c>
      <c r="I551">
        <v>364.5061</v>
      </c>
      <c r="J551">
        <v>-234.673</v>
      </c>
      <c r="K551">
        <v>1.109146</v>
      </c>
      <c r="L551">
        <v>367.1216</v>
      </c>
      <c r="M551">
        <v>0.99981070000000005</v>
      </c>
      <c r="N551">
        <v>0</v>
      </c>
      <c r="O551">
        <v>-1.352569E-2</v>
      </c>
      <c r="P551">
        <v>0.99824060000000003</v>
      </c>
      <c r="Q551">
        <v>5.5456829999999999E-2</v>
      </c>
      <c r="R551">
        <v>-2.0974110000000001E-2</v>
      </c>
      <c r="S551">
        <v>3.008286</v>
      </c>
      <c r="T551">
        <v>-0.31458509999999901</v>
      </c>
      <c r="U551">
        <v>-0.742981</v>
      </c>
      <c r="V551">
        <v>7.502005E-3</v>
      </c>
      <c r="W551">
        <v>6.9409609999999997E-2</v>
      </c>
      <c r="X551">
        <v>0.99756</v>
      </c>
      <c r="Y551">
        <v>0.22553039999999999</v>
      </c>
      <c r="Z551">
        <v>-1.019803E-2</v>
      </c>
      <c r="AA551">
        <v>0.97418280000000002</v>
      </c>
      <c r="AB551">
        <v>50</v>
      </c>
      <c r="AC551">
        <v>10.3027999999999</v>
      </c>
      <c r="AD551">
        <v>-1.109149303982</v>
      </c>
      <c r="AE551">
        <v>-2.6154999999999902</v>
      </c>
      <c r="AF551">
        <v>2.4492275462361399</v>
      </c>
      <c r="AG551">
        <v>-1.109149303982</v>
      </c>
      <c r="AH551">
        <v>10.2258983012982</v>
      </c>
      <c r="AI551">
        <v>96.021372512404795</v>
      </c>
      <c r="AJ551">
        <v>76.530695566556105</v>
      </c>
      <c r="AK551">
        <v>10.5734537318825</v>
      </c>
      <c r="AL551">
        <v>86.019921972443996</v>
      </c>
      <c r="AM551">
        <v>89.569123539954305</v>
      </c>
      <c r="AN551">
        <v>0.99999996381968503</v>
      </c>
    </row>
    <row r="552" spans="1:40" x14ac:dyDescent="0.3">
      <c r="A552" t="str">
        <f>"20200111150733600"</f>
        <v>20200111150733600</v>
      </c>
      <c r="B552" t="str">
        <f>"1578726453591698"</f>
        <v>1578726453591698</v>
      </c>
      <c r="C552" t="s">
        <v>40</v>
      </c>
      <c r="D552">
        <v>5.3097560000000001</v>
      </c>
      <c r="E552">
        <v>0.58685609999999999</v>
      </c>
      <c r="F552" t="s">
        <v>43</v>
      </c>
      <c r="G552">
        <v>-224.0051</v>
      </c>
      <c r="H552" s="1">
        <v>-3.4732660000000002E-6</v>
      </c>
      <c r="I552">
        <v>364.43459999999999</v>
      </c>
      <c r="J552">
        <v>-234.3888</v>
      </c>
      <c r="K552">
        <v>1.109146</v>
      </c>
      <c r="L552">
        <v>367.11770000000001</v>
      </c>
      <c r="M552">
        <v>0.9998089</v>
      </c>
      <c r="N552">
        <v>0</v>
      </c>
      <c r="O552">
        <v>-1.3621980000000001E-2</v>
      </c>
      <c r="P552">
        <v>0.99822650000000002</v>
      </c>
      <c r="Q552">
        <v>5.5437449999999999E-2</v>
      </c>
      <c r="R552">
        <v>-2.169542E-2</v>
      </c>
      <c r="S552">
        <v>3.0067439999999999</v>
      </c>
      <c r="T552">
        <v>-0.31260969999999999</v>
      </c>
      <c r="U552">
        <v>-0.75729369999999996</v>
      </c>
      <c r="V552">
        <v>8.1286499999999994E-3</v>
      </c>
      <c r="W552">
        <v>6.9430069999999997E-2</v>
      </c>
      <c r="X552">
        <v>0.99755369999999999</v>
      </c>
      <c r="Y552">
        <v>0.22990849999999999</v>
      </c>
      <c r="Z552">
        <v>-1.034733E-2</v>
      </c>
      <c r="AA552">
        <v>0.97315719999999994</v>
      </c>
      <c r="AB552">
        <v>50</v>
      </c>
      <c r="AC552">
        <v>10.383699999999999</v>
      </c>
      <c r="AD552">
        <v>-1.1091494732660001</v>
      </c>
      <c r="AE552">
        <v>-2.68310000000002</v>
      </c>
      <c r="AF552">
        <v>2.5144964523898401</v>
      </c>
      <c r="AG552">
        <v>-1.1091494732660001</v>
      </c>
      <c r="AH552">
        <v>10.3090276909944</v>
      </c>
      <c r="AI552">
        <v>95.967215566225505</v>
      </c>
      <c r="AJ552">
        <v>76.292517281824004</v>
      </c>
      <c r="AK552">
        <v>10.6690654181524</v>
      </c>
      <c r="AL552">
        <v>86.018746998068494</v>
      </c>
      <c r="AM552">
        <v>89.533130867721596</v>
      </c>
      <c r="AN552">
        <v>0.99999999697735797</v>
      </c>
    </row>
    <row r="553" spans="1:40" x14ac:dyDescent="0.3">
      <c r="A553" t="str">
        <f>"20200111150733613"</f>
        <v>20200111150733613</v>
      </c>
      <c r="B553" t="str">
        <f>"1578726453601457"</f>
        <v>1578726453601457</v>
      </c>
      <c r="C553" t="s">
        <v>40</v>
      </c>
      <c r="D553">
        <v>5.2718680000000004</v>
      </c>
      <c r="E553">
        <v>0.58774159999999998</v>
      </c>
      <c r="F553" t="s">
        <v>43</v>
      </c>
      <c r="G553">
        <v>-223.70650000000001</v>
      </c>
      <c r="H553" s="1">
        <v>-3.610302E-6</v>
      </c>
      <c r="I553">
        <v>364.38420000000002</v>
      </c>
      <c r="J553">
        <v>-234.1053</v>
      </c>
      <c r="K553">
        <v>1.109143</v>
      </c>
      <c r="L553">
        <v>367.11369999999999</v>
      </c>
      <c r="M553">
        <v>0.9998068</v>
      </c>
      <c r="N553">
        <v>0</v>
      </c>
      <c r="O553">
        <v>-1.373484E-2</v>
      </c>
      <c r="P553">
        <v>0.99821090000000001</v>
      </c>
      <c r="Q553">
        <v>5.5421779999999997E-2</v>
      </c>
      <c r="R553">
        <v>-2.2435159999999999E-2</v>
      </c>
      <c r="S553">
        <v>3.0059360000000002</v>
      </c>
      <c r="T553">
        <v>-0.31210650000000001</v>
      </c>
      <c r="U553">
        <v>-0.76916499999999999</v>
      </c>
      <c r="V553">
        <v>8.7582389999999993E-3</v>
      </c>
      <c r="W553">
        <v>6.9458130000000007E-2</v>
      </c>
      <c r="X553">
        <v>0.99754640000000006</v>
      </c>
      <c r="Y553">
        <v>0.23345650000000001</v>
      </c>
      <c r="Z553">
        <v>-1.0497869999999999E-2</v>
      </c>
      <c r="AA553">
        <v>0.97231049999999997</v>
      </c>
      <c r="AB553">
        <v>50</v>
      </c>
      <c r="AC553">
        <v>10.3987999999999</v>
      </c>
      <c r="AD553">
        <v>-1.109146610302</v>
      </c>
      <c r="AE553">
        <v>-2.7294999999999701</v>
      </c>
      <c r="AF553">
        <v>2.5591645918521899</v>
      </c>
      <c r="AG553">
        <v>-1.109146610302</v>
      </c>
      <c r="AH553">
        <v>10.3254155398481</v>
      </c>
      <c r="AI553">
        <v>95.952398048959907</v>
      </c>
      <c r="AJ553">
        <v>76.079700640231195</v>
      </c>
      <c r="AK553">
        <v>10.695500721418901</v>
      </c>
      <c r="AL553">
        <v>86.0171353175446</v>
      </c>
      <c r="AM553">
        <v>89.496968524645794</v>
      </c>
      <c r="AN553">
        <v>0.99999997936321805</v>
      </c>
    </row>
    <row r="554" spans="1:40" x14ac:dyDescent="0.3">
      <c r="A554" t="str">
        <f>"20200111150733625"</f>
        <v>20200111150733625</v>
      </c>
      <c r="B554" t="str">
        <f>"1578726453621953"</f>
        <v>1578726453621953</v>
      </c>
      <c r="C554" t="s">
        <v>40</v>
      </c>
      <c r="D554">
        <v>5.2715719999999999</v>
      </c>
      <c r="E554">
        <v>0.58939339999999996</v>
      </c>
      <c r="F554" t="s">
        <v>43</v>
      </c>
      <c r="G554">
        <v>-223.37180000000001</v>
      </c>
      <c r="H554" s="1">
        <v>-3.7628990000000002E-6</v>
      </c>
      <c r="I554">
        <v>364.33339999999998</v>
      </c>
      <c r="J554">
        <v>-233.81819999999999</v>
      </c>
      <c r="K554">
        <v>1.109135</v>
      </c>
      <c r="L554">
        <v>367.10969999999998</v>
      </c>
      <c r="M554">
        <v>0.99980440000000004</v>
      </c>
      <c r="N554">
        <v>0</v>
      </c>
      <c r="O554">
        <v>-1.38603999999999E-2</v>
      </c>
      <c r="P554">
        <v>0.99818629999999997</v>
      </c>
      <c r="Q554">
        <v>5.5653019999999997E-2</v>
      </c>
      <c r="R554">
        <v>-2.2957979999999999E-2</v>
      </c>
      <c r="S554">
        <v>3.0051269999999999</v>
      </c>
      <c r="T554">
        <v>-0.31053249999999999</v>
      </c>
      <c r="U554">
        <v>-0.77841190000000005</v>
      </c>
      <c r="V554">
        <v>9.1587950000000008E-3</v>
      </c>
      <c r="W554">
        <v>6.973356E-2</v>
      </c>
      <c r="X554">
        <v>0.99752359999999896</v>
      </c>
      <c r="Y554">
        <v>0.23620070000000001</v>
      </c>
      <c r="Z554">
        <v>-1.0570400000000001E-2</v>
      </c>
      <c r="AA554">
        <v>0.97164680000000003</v>
      </c>
      <c r="AB554">
        <v>50</v>
      </c>
      <c r="AC554">
        <v>10.446399999999899</v>
      </c>
      <c r="AD554">
        <v>-1.1091387628989999</v>
      </c>
      <c r="AE554">
        <v>-2.7762999999999902</v>
      </c>
      <c r="AF554">
        <v>2.6038113207710798</v>
      </c>
      <c r="AG554">
        <v>-1.1091387628989999</v>
      </c>
      <c r="AH554">
        <v>10.374643328498401</v>
      </c>
      <c r="AI554">
        <v>95.9199956648757</v>
      </c>
      <c r="AJ554">
        <v>75.911008364377096</v>
      </c>
      <c r="AK554">
        <v>10.7537549899138</v>
      </c>
      <c r="AL554">
        <v>86.001316036555195</v>
      </c>
      <c r="AM554">
        <v>89.473951740275794</v>
      </c>
      <c r="AN554">
        <v>0.99999999273654205</v>
      </c>
    </row>
    <row r="555" spans="1:40" x14ac:dyDescent="0.3">
      <c r="A555" t="str">
        <f>"20200111150733639"</f>
        <v>20200111150733639</v>
      </c>
      <c r="B555" t="str">
        <f>"1578726453631713"</f>
        <v>1578726453631713</v>
      </c>
      <c r="C555" t="s">
        <v>40</v>
      </c>
      <c r="D555">
        <v>5.2879659999999999</v>
      </c>
      <c r="E555">
        <v>0.59025369999999899</v>
      </c>
      <c r="F555" t="s">
        <v>43</v>
      </c>
      <c r="G555">
        <v>-223.01580000000001</v>
      </c>
      <c r="H555" s="1">
        <v>-3.9289230000000002E-6</v>
      </c>
      <c r="I555">
        <v>364.25850000000003</v>
      </c>
      <c r="J555">
        <v>-233.5127</v>
      </c>
      <c r="K555">
        <v>1.1091230000000001</v>
      </c>
      <c r="L555">
        <v>367.10539999999997</v>
      </c>
      <c r="M555">
        <v>0.99980170000000002</v>
      </c>
      <c r="N555">
        <v>0</v>
      </c>
      <c r="O555">
        <v>-1.4006330000000001E-2</v>
      </c>
      <c r="P555">
        <v>0.9981679</v>
      </c>
      <c r="Q555">
        <v>5.5766179999999999E-2</v>
      </c>
      <c r="R555">
        <v>-2.3479110000000001E-2</v>
      </c>
      <c r="S555">
        <v>3.00441</v>
      </c>
      <c r="T555">
        <v>-0.30847570000000002</v>
      </c>
      <c r="U555">
        <v>-0.79296880000000003</v>
      </c>
      <c r="V555">
        <v>9.5382709999999992E-3</v>
      </c>
      <c r="W555">
        <v>6.9895289999999999E-2</v>
      </c>
      <c r="X555">
        <v>0.99750870000000003</v>
      </c>
      <c r="Y555">
        <v>0.24051449999999999</v>
      </c>
      <c r="Z555">
        <v>-1.069939E-2</v>
      </c>
      <c r="AA555">
        <v>0.97058650000000002</v>
      </c>
      <c r="AB555">
        <v>50</v>
      </c>
      <c r="AC555">
        <v>10.496899999999901</v>
      </c>
      <c r="AD555">
        <v>-1.1091269289229999</v>
      </c>
      <c r="AE555">
        <v>-2.8468999999999398</v>
      </c>
      <c r="AF555">
        <v>2.6717973596452498</v>
      </c>
      <c r="AG555">
        <v>-1.1091269289229999</v>
      </c>
      <c r="AH555">
        <v>10.4273091996077</v>
      </c>
      <c r="AI555">
        <v>95.882928054544493</v>
      </c>
      <c r="AJ555">
        <v>75.628255772097603</v>
      </c>
      <c r="AK555">
        <v>10.821157092459799</v>
      </c>
      <c r="AL555">
        <v>85.992026826795495</v>
      </c>
      <c r="AM555">
        <v>89.452149122282407</v>
      </c>
      <c r="AN555">
        <v>0.99999996837677096</v>
      </c>
    </row>
    <row r="556" spans="1:40" x14ac:dyDescent="0.3">
      <c r="A556" t="str">
        <f>"20200111150733652"</f>
        <v>20200111150733652</v>
      </c>
      <c r="B556" t="str">
        <f>"1578726453641473"</f>
        <v>1578726453641473</v>
      </c>
      <c r="C556" t="s">
        <v>40</v>
      </c>
      <c r="D556">
        <v>5.2964890000000002</v>
      </c>
      <c r="E556">
        <v>0.59106579999999997</v>
      </c>
      <c r="F556" t="s">
        <v>43</v>
      </c>
      <c r="G556">
        <v>-222.68870000000001</v>
      </c>
      <c r="H556" s="1">
        <v>-4.0766970000000004E-6</v>
      </c>
      <c r="I556">
        <v>364.21660000000003</v>
      </c>
      <c r="J556">
        <v>-233.2253</v>
      </c>
      <c r="K556">
        <v>1.109105</v>
      </c>
      <c r="L556">
        <v>367.10120000000001</v>
      </c>
      <c r="M556">
        <v>0.99979870000000004</v>
      </c>
      <c r="N556">
        <v>0</v>
      </c>
      <c r="O556">
        <v>-1.4170790000000001E-2</v>
      </c>
      <c r="P556">
        <v>0.99815169999999998</v>
      </c>
      <c r="Q556">
        <v>5.6054090000000001E-2</v>
      </c>
      <c r="R556">
        <v>-2.3482139999999999E-2</v>
      </c>
      <c r="S556">
        <v>3.0038450000000001</v>
      </c>
      <c r="T556">
        <v>-0.3077975</v>
      </c>
      <c r="U556">
        <v>-0.80166630000000005</v>
      </c>
      <c r="V556">
        <v>9.3817659999999997E-3</v>
      </c>
      <c r="W556">
        <v>7.0228239999999997E-2</v>
      </c>
      <c r="X556">
        <v>0.99748680000000001</v>
      </c>
      <c r="Y556">
        <v>0.2430185</v>
      </c>
      <c r="Z556">
        <v>-1.0783310000000001E-2</v>
      </c>
      <c r="AA556">
        <v>0.96996170000000004</v>
      </c>
      <c r="AB556">
        <v>50</v>
      </c>
      <c r="AC556">
        <v>10.5365999999999</v>
      </c>
      <c r="AD556">
        <v>-1.109109076697</v>
      </c>
      <c r="AE556">
        <v>-2.8845999999999701</v>
      </c>
      <c r="AF556">
        <v>2.7070796761644198</v>
      </c>
      <c r="AG556">
        <v>-1.109109076697</v>
      </c>
      <c r="AH556">
        <v>10.4685172458605</v>
      </c>
      <c r="AI556">
        <v>95.856521606959205</v>
      </c>
      <c r="AJ556">
        <v>75.501349032680693</v>
      </c>
      <c r="AK556">
        <v>10.869602414255599</v>
      </c>
      <c r="AL556">
        <v>85.972903208313895</v>
      </c>
      <c r="AM556">
        <v>89.461125955152696</v>
      </c>
      <c r="AN556">
        <v>0.99999996970050697</v>
      </c>
    </row>
    <row r="557" spans="1:40" x14ac:dyDescent="0.3">
      <c r="A557" t="str">
        <f>"20200111150733665"</f>
        <v>20200111150733665</v>
      </c>
      <c r="B557" t="str">
        <f>"1578726453661969"</f>
        <v>1578726453661969</v>
      </c>
      <c r="C557" t="s">
        <v>40</v>
      </c>
      <c r="D557">
        <v>5.2625830000000002</v>
      </c>
      <c r="E557">
        <v>0.59257360000000003</v>
      </c>
      <c r="F557" t="s">
        <v>43</v>
      </c>
      <c r="G557">
        <v>-222.3331</v>
      </c>
      <c r="H557" s="1">
        <v>-4.2374189999999998E-6</v>
      </c>
      <c r="I557">
        <v>364.17039999999997</v>
      </c>
      <c r="J557">
        <v>-232.9357</v>
      </c>
      <c r="K557">
        <v>1.1090799999999901</v>
      </c>
      <c r="L557">
        <v>367.09699999999998</v>
      </c>
      <c r="M557">
        <v>0.99979560000000001</v>
      </c>
      <c r="N557">
        <v>0</v>
      </c>
      <c r="O557">
        <v>-1.43514E-2</v>
      </c>
      <c r="P557">
        <v>0.99813160000000001</v>
      </c>
      <c r="Q557">
        <v>5.668467E-2</v>
      </c>
      <c r="R557">
        <v>-2.281671E-2</v>
      </c>
      <c r="S557">
        <v>3.003708</v>
      </c>
      <c r="T557">
        <v>-0.30585269999999998</v>
      </c>
      <c r="U557">
        <v>-0.80819700000000005</v>
      </c>
      <c r="V557">
        <v>8.5417659999999992E-3</v>
      </c>
      <c r="W557">
        <v>7.0902720000000002E-2</v>
      </c>
      <c r="X557">
        <v>0.99744670000000002</v>
      </c>
      <c r="Y557">
        <v>0.2448284</v>
      </c>
      <c r="Z557">
        <v>-1.0785350000000001E-2</v>
      </c>
      <c r="AA557">
        <v>0.96950639999999999</v>
      </c>
      <c r="AB557">
        <v>50</v>
      </c>
      <c r="AC557">
        <v>10.602599999999899</v>
      </c>
      <c r="AD557">
        <v>-1.10908423741899</v>
      </c>
      <c r="AE557">
        <v>-2.9266000000000001</v>
      </c>
      <c r="AF557">
        <v>2.7461989182519</v>
      </c>
      <c r="AG557">
        <v>-1.10908423741899</v>
      </c>
      <c r="AH557">
        <v>10.536384013894301</v>
      </c>
      <c r="AI557">
        <v>95.8160522384008</v>
      </c>
      <c r="AJ557">
        <v>75.3914631880331</v>
      </c>
      <c r="AK557">
        <v>10.944727700246601</v>
      </c>
      <c r="AL557">
        <v>85.9341620522233</v>
      </c>
      <c r="AM557">
        <v>89.509352050361002</v>
      </c>
      <c r="AN557">
        <v>1.00000003840534</v>
      </c>
    </row>
    <row r="558" spans="1:40" x14ac:dyDescent="0.3">
      <c r="A558" t="str">
        <f>"20200111150733677"</f>
        <v>20200111150733677</v>
      </c>
      <c r="B558" t="str">
        <f>"1578726453671729"</f>
        <v>1578726453671729</v>
      </c>
      <c r="C558" t="s">
        <v>40</v>
      </c>
      <c r="D558">
        <v>5.2687920000000004</v>
      </c>
      <c r="E558">
        <v>0.59327450000000004</v>
      </c>
      <c r="F558" t="s">
        <v>43</v>
      </c>
      <c r="G558">
        <v>-221.93629999999999</v>
      </c>
      <c r="H558" s="1">
        <v>-4.4198880000000003E-6</v>
      </c>
      <c r="I558">
        <v>364.10140000000001</v>
      </c>
      <c r="J558">
        <v>-232.64660000000001</v>
      </c>
      <c r="K558">
        <v>1.109057</v>
      </c>
      <c r="L558">
        <v>367.09269999999998</v>
      </c>
      <c r="M558">
        <v>0.99979189999999996</v>
      </c>
      <c r="N558">
        <v>0</v>
      </c>
      <c r="O558">
        <v>-1.454945E-2</v>
      </c>
      <c r="P558">
        <v>0.99814890000000001</v>
      </c>
      <c r="Q558">
        <v>5.6555550000000003E-2</v>
      </c>
      <c r="R558">
        <v>-2.2370859999999999E-2</v>
      </c>
      <c r="S558">
        <v>3.0041199999999999</v>
      </c>
      <c r="T558">
        <v>-0.30290869999999998</v>
      </c>
      <c r="U558">
        <v>-0.81814580000000003</v>
      </c>
      <c r="V558">
        <v>7.9032640000000001E-3</v>
      </c>
      <c r="W558">
        <v>7.081664E-2</v>
      </c>
      <c r="X558">
        <v>0.99745799999999996</v>
      </c>
      <c r="Y558">
        <v>0.24760409999999999</v>
      </c>
      <c r="Z558">
        <v>-1.079369E-2</v>
      </c>
      <c r="AA558">
        <v>0.96880109999999997</v>
      </c>
      <c r="AB558">
        <v>50</v>
      </c>
      <c r="AC558">
        <v>10.7103</v>
      </c>
      <c r="AD558">
        <v>-1.109061419888</v>
      </c>
      <c r="AE558">
        <v>-2.9912999999999599</v>
      </c>
      <c r="AF558">
        <v>2.80721532339538</v>
      </c>
      <c r="AG558">
        <v>-1.109061419888</v>
      </c>
      <c r="AH558">
        <v>10.6467898066751</v>
      </c>
      <c r="AI558">
        <v>95.751784718567293</v>
      </c>
      <c r="AJ558">
        <v>75.229118985119399</v>
      </c>
      <c r="AK558">
        <v>11.066372860721399</v>
      </c>
      <c r="AL558">
        <v>85.939106182387803</v>
      </c>
      <c r="AM558">
        <v>89.546031817087496</v>
      </c>
      <c r="AN558">
        <v>0.99999995992336999</v>
      </c>
    </row>
    <row r="559" spans="1:40" x14ac:dyDescent="0.3">
      <c r="A559" t="str">
        <f>"20200111150733690"</f>
        <v>20200111150733690</v>
      </c>
      <c r="B559" t="str">
        <f>"1578726453681489"</f>
        <v>1578726453681489</v>
      </c>
      <c r="C559" t="s">
        <v>40</v>
      </c>
      <c r="D559">
        <v>5.2768410000000001</v>
      </c>
      <c r="E559">
        <v>0.59395679999999995</v>
      </c>
      <c r="F559" t="s">
        <v>43</v>
      </c>
      <c r="G559">
        <v>-221.63339999999999</v>
      </c>
      <c r="H559" s="1">
        <v>-4.5538719999999998E-6</v>
      </c>
      <c r="I559">
        <v>364.07850000000002</v>
      </c>
      <c r="J559">
        <v>-232.38040000000001</v>
      </c>
      <c r="K559">
        <v>1.1090310000000001</v>
      </c>
      <c r="L559">
        <v>367.08870000000002</v>
      </c>
      <c r="M559">
        <v>0.99978840000000002</v>
      </c>
      <c r="N559">
        <v>0</v>
      </c>
      <c r="O559">
        <v>-1.4758439999999999E-2</v>
      </c>
      <c r="P559">
        <v>0.99814360000000002</v>
      </c>
      <c r="Q559">
        <v>5.6673769999999998E-2</v>
      </c>
      <c r="R559">
        <v>-2.2307759999999999E-2</v>
      </c>
      <c r="S559">
        <v>3.0042719999999998</v>
      </c>
      <c r="T559">
        <v>-0.30253849999999999</v>
      </c>
      <c r="U559">
        <v>-0.8222351</v>
      </c>
      <c r="V559">
        <v>7.6371440000000002E-3</v>
      </c>
      <c r="W559">
        <v>7.0970720000000001E-2</v>
      </c>
      <c r="X559">
        <v>0.99744920000000004</v>
      </c>
      <c r="Y559">
        <v>0.2486158</v>
      </c>
      <c r="Z559">
        <v>-1.080745E-2</v>
      </c>
      <c r="AA559">
        <v>0.96854189999999996</v>
      </c>
      <c r="AB559">
        <v>50</v>
      </c>
      <c r="AC559">
        <v>10.747</v>
      </c>
      <c r="AD559">
        <v>-1.10903555387199</v>
      </c>
      <c r="AE559">
        <v>-3.01019999999999</v>
      </c>
      <c r="AF559">
        <v>2.82336752654949</v>
      </c>
      <c r="AG559">
        <v>-1.10903555387199</v>
      </c>
      <c r="AH559">
        <v>10.684753200449</v>
      </c>
      <c r="AI559">
        <v>95.730544316675804</v>
      </c>
      <c r="AJ559">
        <v>75.198326049525306</v>
      </c>
      <c r="AK559">
        <v>11.1069939679569</v>
      </c>
      <c r="AL559">
        <v>85.930256097186302</v>
      </c>
      <c r="AM559">
        <v>89.561313430181301</v>
      </c>
      <c r="AN559">
        <v>1.0000000378232099</v>
      </c>
    </row>
    <row r="560" spans="1:40" x14ac:dyDescent="0.3">
      <c r="A560" t="str">
        <f>"20200111150733702"</f>
        <v>20200111150733702</v>
      </c>
      <c r="B560" t="str">
        <f>"1578726453691249"</f>
        <v>1578726453691249</v>
      </c>
      <c r="C560" t="s">
        <v>40</v>
      </c>
      <c r="D560">
        <v>5.2985110000000004</v>
      </c>
      <c r="E560">
        <v>0.59471249999999998</v>
      </c>
      <c r="F560" t="s">
        <v>43</v>
      </c>
      <c r="G560">
        <v>-221.3152</v>
      </c>
      <c r="H560" s="1">
        <v>-4.6969879999999998E-6</v>
      </c>
      <c r="I560">
        <v>364.04129999999998</v>
      </c>
      <c r="J560">
        <v>-232.095</v>
      </c>
      <c r="K560">
        <v>1.1090009999999999</v>
      </c>
      <c r="L560">
        <v>367.08429999999998</v>
      </c>
      <c r="M560">
        <v>0.99978440000000002</v>
      </c>
      <c r="N560">
        <v>0</v>
      </c>
      <c r="O560">
        <v>-1.499444E-2</v>
      </c>
      <c r="P560">
        <v>0.99814990000000003</v>
      </c>
      <c r="Q560">
        <v>5.6381569999999999E-2</v>
      </c>
      <c r="R560">
        <v>-2.2761880000000002E-2</v>
      </c>
      <c r="S560">
        <v>3.004181</v>
      </c>
      <c r="T560">
        <v>-0.30110110000000001</v>
      </c>
      <c r="U560">
        <v>-0.82736209999999899</v>
      </c>
      <c r="V560">
        <v>7.8612479999999995E-3</v>
      </c>
      <c r="W560">
        <v>7.0715790000000001E-2</v>
      </c>
      <c r="X560">
        <v>0.99746559999999995</v>
      </c>
      <c r="Y560">
        <v>0.2499374</v>
      </c>
      <c r="Z560">
        <v>-1.079602E-2</v>
      </c>
      <c r="AA560">
        <v>0.9682018</v>
      </c>
      <c r="AB560">
        <v>50</v>
      </c>
      <c r="AC560">
        <v>10.7797999999999</v>
      </c>
      <c r="AD560">
        <v>-1.109005696988</v>
      </c>
      <c r="AE560">
        <v>-3.0430000000000001</v>
      </c>
      <c r="AF560">
        <v>2.8530364359927098</v>
      </c>
      <c r="AG560">
        <v>-1.109005696988</v>
      </c>
      <c r="AH560">
        <v>10.7191433857743</v>
      </c>
      <c r="AI560">
        <v>95.709429115761395</v>
      </c>
      <c r="AJ560">
        <v>75.095542891161401</v>
      </c>
      <c r="AK560">
        <v>11.147634074809</v>
      </c>
      <c r="AL560">
        <v>85.944899442958004</v>
      </c>
      <c r="AM560">
        <v>89.548448581300605</v>
      </c>
      <c r="AN560">
        <v>1.0000000726793901</v>
      </c>
    </row>
    <row r="561" spans="1:40" x14ac:dyDescent="0.3">
      <c r="A561" t="str">
        <f>"20200111150733716"</f>
        <v>20200111150733716</v>
      </c>
      <c r="B561" t="str">
        <f>"1578726453711745"</f>
        <v>1578726453711745</v>
      </c>
      <c r="C561" t="s">
        <v>40</v>
      </c>
      <c r="D561">
        <v>5.2768769999999998</v>
      </c>
      <c r="E561">
        <v>0.59613629999999995</v>
      </c>
      <c r="F561" t="s">
        <v>43</v>
      </c>
      <c r="G561">
        <v>-221.09100000000001</v>
      </c>
      <c r="H561" s="1">
        <v>-4.7954010000000001E-6</v>
      </c>
      <c r="I561">
        <v>364.02870000000001</v>
      </c>
      <c r="J561">
        <v>-231.7817</v>
      </c>
      <c r="K561">
        <v>1.108968</v>
      </c>
      <c r="L561">
        <v>367.0795</v>
      </c>
      <c r="M561">
        <v>0.99977950000000004</v>
      </c>
      <c r="N561">
        <v>0</v>
      </c>
      <c r="O561">
        <v>-1.528002E-2</v>
      </c>
      <c r="P561">
        <v>0.99814480000000005</v>
      </c>
      <c r="Q561">
        <v>5.6091469999999997E-2</v>
      </c>
      <c r="R561">
        <v>-2.368104E-2</v>
      </c>
      <c r="S561">
        <v>3.0036320000000001</v>
      </c>
      <c r="T561">
        <v>-0.30271039999999999</v>
      </c>
      <c r="U561">
        <v>-0.83404539999999905</v>
      </c>
      <c r="V561">
        <v>8.5018360000000005E-3</v>
      </c>
      <c r="W561">
        <v>7.0462730000000001E-2</v>
      </c>
      <c r="X561">
        <v>0.99747819999999998</v>
      </c>
      <c r="Y561">
        <v>0.251689</v>
      </c>
      <c r="Z561">
        <v>-1.091049E-2</v>
      </c>
      <c r="AA561">
        <v>0.96774669999999896</v>
      </c>
      <c r="AB561">
        <v>50</v>
      </c>
      <c r="AC561">
        <v>10.6907</v>
      </c>
      <c r="AD561">
        <v>-1.108972795401</v>
      </c>
      <c r="AE561">
        <v>-3.0507999999999802</v>
      </c>
      <c r="AF561">
        <v>2.8586289673579999</v>
      </c>
      <c r="AG561">
        <v>-1.108972795401</v>
      </c>
      <c r="AH561">
        <v>10.6302998929854</v>
      </c>
      <c r="AI561">
        <v>95.752731872005796</v>
      </c>
      <c r="AJ561">
        <v>74.948473755352595</v>
      </c>
      <c r="AK561">
        <v>11.0636728100918</v>
      </c>
      <c r="AL561">
        <v>85.959434751999893</v>
      </c>
      <c r="AM561">
        <v>89.511660981180299</v>
      </c>
      <c r="AN561">
        <v>1.0000000185048299</v>
      </c>
    </row>
    <row r="562" spans="1:40" x14ac:dyDescent="0.3">
      <c r="A562" t="str">
        <f>"20200111150733732"</f>
        <v>20200111150733732</v>
      </c>
      <c r="B562" t="str">
        <f>"1578726453721504"</f>
        <v>1578726453721504</v>
      </c>
      <c r="C562" t="s">
        <v>40</v>
      </c>
      <c r="D562">
        <v>5.2278019999999996</v>
      </c>
      <c r="E562">
        <v>0.59686779999999995</v>
      </c>
      <c r="F562" t="s">
        <v>43</v>
      </c>
      <c r="G562">
        <v>-220.80869999999999</v>
      </c>
      <c r="H562" s="1">
        <v>-4.9248839999999996E-6</v>
      </c>
      <c r="I562">
        <v>363.98160000000001</v>
      </c>
      <c r="J562">
        <v>-231.43109999999999</v>
      </c>
      <c r="K562">
        <v>1.108932</v>
      </c>
      <c r="L562">
        <v>367.07389999999998</v>
      </c>
      <c r="M562">
        <v>0.99977349999999998</v>
      </c>
      <c r="N562">
        <v>0</v>
      </c>
      <c r="O562">
        <v>-1.562935E-2</v>
      </c>
      <c r="P562">
        <v>0.99806519999999999</v>
      </c>
      <c r="Q562">
        <v>5.6338819999999998E-2</v>
      </c>
      <c r="R562">
        <v>-2.6304060000000001E-2</v>
      </c>
      <c r="S562">
        <v>3.0025179999999998</v>
      </c>
      <c r="T562">
        <v>-0.30344310000000002</v>
      </c>
      <c r="U562">
        <v>-0.84765630000000003</v>
      </c>
      <c r="V562">
        <v>1.07846E-2</v>
      </c>
      <c r="W562">
        <v>7.0745769999999999E-2</v>
      </c>
      <c r="X562">
        <v>0.99743610000000005</v>
      </c>
      <c r="Y562">
        <v>0.25548860000000001</v>
      </c>
      <c r="Z562">
        <v>-1.108752E-2</v>
      </c>
      <c r="AA562">
        <v>0.96674850000000001</v>
      </c>
      <c r="AB562">
        <v>50</v>
      </c>
      <c r="AC562">
        <v>10.622400000000001</v>
      </c>
      <c r="AD562">
        <v>-1.108936924884</v>
      </c>
      <c r="AE562">
        <v>-3.0922999999999599</v>
      </c>
      <c r="AF562">
        <v>2.8967794646009901</v>
      </c>
      <c r="AG562">
        <v>-1.108936924884</v>
      </c>
      <c r="AH562">
        <v>10.5633073972259</v>
      </c>
      <c r="AI562">
        <v>95.781056056938297</v>
      </c>
      <c r="AJ562">
        <v>74.664754191881897</v>
      </c>
      <c r="AK562">
        <v>11.0092931443482</v>
      </c>
      <c r="AL562">
        <v>85.943177199065403</v>
      </c>
      <c r="AM562">
        <v>89.380523738658994</v>
      </c>
      <c r="AN562">
        <v>1.0000000225766299</v>
      </c>
    </row>
    <row r="563" spans="1:40" x14ac:dyDescent="0.3">
      <c r="A563" t="str">
        <f>"20200111150733744"</f>
        <v>20200111150733744</v>
      </c>
      <c r="B563" t="str">
        <f>"1578726453742001"</f>
        <v>1578726453742001</v>
      </c>
      <c r="C563" t="s">
        <v>40</v>
      </c>
      <c r="D563">
        <v>5.2085589999999904</v>
      </c>
      <c r="E563">
        <v>0.59805120000000001</v>
      </c>
      <c r="F563" t="s">
        <v>43</v>
      </c>
      <c r="G563">
        <v>-220.4624</v>
      </c>
      <c r="H563" s="1">
        <v>-5.0833290000000003E-6</v>
      </c>
      <c r="I563">
        <v>363.92579999999998</v>
      </c>
      <c r="J563">
        <v>-231.16329999999999</v>
      </c>
      <c r="K563">
        <v>1.108903</v>
      </c>
      <c r="L563">
        <v>367.06950000000001</v>
      </c>
      <c r="M563">
        <v>0.99976860000000001</v>
      </c>
      <c r="N563">
        <v>0</v>
      </c>
      <c r="O563">
        <v>-1.5913449999999999E-2</v>
      </c>
      <c r="P563">
        <v>0.99802999999999997</v>
      </c>
      <c r="Q563">
        <v>5.6327479999999999E-2</v>
      </c>
      <c r="R563">
        <v>-2.7629589999999999E-2</v>
      </c>
      <c r="S563">
        <v>3.0002749999999998</v>
      </c>
      <c r="T563">
        <v>-0.3033264</v>
      </c>
      <c r="U563">
        <v>-0.86108399999999996</v>
      </c>
      <c r="V563">
        <v>1.1832860000000001E-2</v>
      </c>
      <c r="W563">
        <v>7.0760020000000007E-2</v>
      </c>
      <c r="X563">
        <v>0.99742319999999995</v>
      </c>
      <c r="Y563">
        <v>0.25938689999999998</v>
      </c>
      <c r="Z563">
        <v>-1.1249250000000001E-2</v>
      </c>
      <c r="AA563">
        <v>0.96570800000000001</v>
      </c>
      <c r="AB563">
        <v>50</v>
      </c>
      <c r="AC563">
        <v>10.700899999999899</v>
      </c>
      <c r="AD563">
        <v>-1.1089080833289999</v>
      </c>
      <c r="AE563">
        <v>-3.1437000000000199</v>
      </c>
      <c r="AF563">
        <v>2.94389392303597</v>
      </c>
      <c r="AG563">
        <v>-1.1089080833289999</v>
      </c>
      <c r="AH563">
        <v>10.644352393776201</v>
      </c>
      <c r="AI563">
        <v>95.733776081107806</v>
      </c>
      <c r="AJ563">
        <v>74.540225596770597</v>
      </c>
      <c r="AK563">
        <v>11.099478656686999</v>
      </c>
      <c r="AL563">
        <v>85.942358666157503</v>
      </c>
      <c r="AM563">
        <v>89.320307434129703</v>
      </c>
      <c r="AN563">
        <v>1.0000000184522</v>
      </c>
    </row>
    <row r="564" spans="1:40" x14ac:dyDescent="0.3">
      <c r="A564" t="str">
        <f>"20200111150733756"</f>
        <v>20200111150733756</v>
      </c>
      <c r="B564" t="str">
        <f>"1578726453751761"</f>
        <v>1578726453751761</v>
      </c>
      <c r="C564" t="s">
        <v>40</v>
      </c>
      <c r="D564">
        <v>5.3022589999999896</v>
      </c>
      <c r="E564">
        <v>0.59847249999999996</v>
      </c>
      <c r="F564" t="s">
        <v>43</v>
      </c>
      <c r="G564">
        <v>-220.11949999999999</v>
      </c>
      <c r="H564" s="1">
        <v>-5.244502E-6</v>
      </c>
      <c r="I564">
        <v>363.84660000000002</v>
      </c>
      <c r="J564">
        <v>-230.8844</v>
      </c>
      <c r="K564">
        <v>1.1088739999999999</v>
      </c>
      <c r="L564">
        <v>367.06479999999999</v>
      </c>
      <c r="M564">
        <v>0.99976330000000002</v>
      </c>
      <c r="N564">
        <v>0</v>
      </c>
      <c r="O564">
        <v>-1.622823E-2</v>
      </c>
      <c r="P564">
        <v>0.99799629999999995</v>
      </c>
      <c r="Q564">
        <v>5.6348879999999997E-2</v>
      </c>
      <c r="R564">
        <v>-2.878739E-2</v>
      </c>
      <c r="S564">
        <v>2.998688</v>
      </c>
      <c r="T564">
        <v>-0.30109449999999999</v>
      </c>
      <c r="U564">
        <v>-0.87509159999999997</v>
      </c>
      <c r="V564">
        <v>1.268297E-2</v>
      </c>
      <c r="W564">
        <v>7.0807590000000004E-2</v>
      </c>
      <c r="X564">
        <v>0.99740930000000005</v>
      </c>
      <c r="Y564">
        <v>0.26337890000000003</v>
      </c>
      <c r="Z564">
        <v>-1.133049E-2</v>
      </c>
      <c r="AA564">
        <v>0.96462599999999998</v>
      </c>
      <c r="AB564">
        <v>50</v>
      </c>
      <c r="AC564">
        <v>10.764900000000001</v>
      </c>
      <c r="AD564">
        <v>-1.1088792445019999</v>
      </c>
      <c r="AE564">
        <v>-3.21819999999996</v>
      </c>
      <c r="AF564">
        <v>3.0137081063367099</v>
      </c>
      <c r="AG564">
        <v>-1.1088792445019999</v>
      </c>
      <c r="AH564">
        <v>10.7113813160601</v>
      </c>
      <c r="AI564">
        <v>95.6909762912736</v>
      </c>
      <c r="AJ564">
        <v>74.285750503217898</v>
      </c>
      <c r="AK564">
        <v>11.182385229776701</v>
      </c>
      <c r="AL564">
        <v>85.939625941785096</v>
      </c>
      <c r="AM564">
        <v>89.271471110457298</v>
      </c>
      <c r="AN564">
        <v>0.99999994212805698</v>
      </c>
    </row>
    <row r="565" spans="1:40" x14ac:dyDescent="0.3">
      <c r="A565" t="str">
        <f>"20200111150733769"</f>
        <v>20200111150733769</v>
      </c>
      <c r="B565" t="str">
        <f>"1578726453761521"</f>
        <v>1578726453761521</v>
      </c>
      <c r="C565" t="s">
        <v>40</v>
      </c>
      <c r="D565">
        <v>5.2749569999999997</v>
      </c>
      <c r="E565">
        <v>0.59882539999999995</v>
      </c>
      <c r="F565" t="s">
        <v>43</v>
      </c>
      <c r="G565">
        <v>-219.77549999999999</v>
      </c>
      <c r="H565" s="1">
        <v>-1.6115379999999999E-6</v>
      </c>
      <c r="I565">
        <v>363.79450000000003</v>
      </c>
      <c r="J565">
        <v>-230.6046</v>
      </c>
      <c r="K565">
        <v>1.1088389999999999</v>
      </c>
      <c r="L565">
        <v>367.06009999999998</v>
      </c>
      <c r="M565">
        <v>0.99975720000000001</v>
      </c>
      <c r="N565">
        <v>0</v>
      </c>
      <c r="O565">
        <v>-1.6570080000000001E-2</v>
      </c>
      <c r="P565">
        <v>0.99795400000000001</v>
      </c>
      <c r="Q565">
        <v>5.6578900000000001E-2</v>
      </c>
      <c r="R565">
        <v>-2.9779449999999999E-2</v>
      </c>
      <c r="S565">
        <v>2.9974820000000002</v>
      </c>
      <c r="T565">
        <v>-0.29920200000000002</v>
      </c>
      <c r="U565">
        <v>-0.88241579999999997</v>
      </c>
      <c r="V565">
        <v>1.3341189999999999E-2</v>
      </c>
      <c r="W565">
        <v>7.1060159999999997E-2</v>
      </c>
      <c r="X565">
        <v>0.99738280000000001</v>
      </c>
      <c r="Y565">
        <v>0.26533050000000002</v>
      </c>
      <c r="Z565">
        <v>-1.132203E-2</v>
      </c>
      <c r="AA565">
        <v>0.96409109999999998</v>
      </c>
      <c r="AB565">
        <v>50</v>
      </c>
      <c r="AC565">
        <v>10.8291</v>
      </c>
      <c r="AD565">
        <v>-1.1088406115379901</v>
      </c>
      <c r="AE565">
        <v>-3.2655999999999401</v>
      </c>
      <c r="AF565">
        <v>3.0563202814844201</v>
      </c>
      <c r="AG565">
        <v>-1.1088406115379901</v>
      </c>
      <c r="AH565">
        <v>10.7781446639405</v>
      </c>
      <c r="AI565">
        <v>95.652509346568294</v>
      </c>
      <c r="AJ565">
        <v>74.168442462564897</v>
      </c>
      <c r="AK565">
        <v>11.257842757901599</v>
      </c>
      <c r="AL565">
        <v>85.9251184035584</v>
      </c>
      <c r="AM565">
        <v>89.233646001873794</v>
      </c>
      <c r="AN565">
        <v>0.99999999171284004</v>
      </c>
    </row>
    <row r="566" spans="1:40" x14ac:dyDescent="0.3">
      <c r="A566" t="str">
        <f>"20200111150733781"</f>
        <v>20200111150733781</v>
      </c>
      <c r="B566" t="str">
        <f>"1578726453771281"</f>
        <v>1578726453771281</v>
      </c>
      <c r="C566" t="s">
        <v>40</v>
      </c>
      <c r="D566">
        <v>5.291493</v>
      </c>
      <c r="E566">
        <v>0.59915299999999905</v>
      </c>
      <c r="F566" t="s">
        <v>43</v>
      </c>
      <c r="G566">
        <v>-219.48320000000001</v>
      </c>
      <c r="H566" s="1">
        <v>-1.7190260000000001E-6</v>
      </c>
      <c r="I566">
        <v>363.76440000000002</v>
      </c>
      <c r="J566">
        <v>-230.3382</v>
      </c>
      <c r="K566">
        <v>1.1088039999999999</v>
      </c>
      <c r="L566">
        <v>367.05549999999999</v>
      </c>
      <c r="M566">
        <v>0.9997511</v>
      </c>
      <c r="N566">
        <v>0</v>
      </c>
      <c r="O566">
        <v>-1.6907490000000001E-2</v>
      </c>
      <c r="P566">
        <v>0.997919</v>
      </c>
      <c r="Q566">
        <v>5.6707059999999997E-2</v>
      </c>
      <c r="R566">
        <v>-3.0699110000000002E-2</v>
      </c>
      <c r="S566">
        <v>2.996597</v>
      </c>
      <c r="T566">
        <v>-0.2987688</v>
      </c>
      <c r="U566">
        <v>-0.88800049999999997</v>
      </c>
      <c r="V566">
        <v>1.3930659999999999E-2</v>
      </c>
      <c r="W566">
        <v>7.1209010000000003E-2</v>
      </c>
      <c r="X566">
        <v>0.99736409999999998</v>
      </c>
      <c r="Y566">
        <v>0.266733099999999</v>
      </c>
      <c r="Z566">
        <v>-1.1341479999999999E-2</v>
      </c>
      <c r="AA566">
        <v>0.96370370000000005</v>
      </c>
      <c r="AB566">
        <v>50</v>
      </c>
      <c r="AC566">
        <v>10.854999999999899</v>
      </c>
      <c r="AD566">
        <v>-1.1088057190259999</v>
      </c>
      <c r="AE566">
        <v>-3.2910999999999699</v>
      </c>
      <c r="AF566">
        <v>3.0776701333897698</v>
      </c>
      <c r="AG566">
        <v>-1.1088057190259999</v>
      </c>
      <c r="AH566">
        <v>10.8058415354564</v>
      </c>
      <c r="AI566">
        <v>95.6360990105958</v>
      </c>
      <c r="AJ566">
        <v>74.102230518475295</v>
      </c>
      <c r="AK566">
        <v>11.290160090180301</v>
      </c>
      <c r="AL566">
        <v>85.9165681665216</v>
      </c>
      <c r="AM566">
        <v>89.199774560834001</v>
      </c>
      <c r="AN566">
        <v>0.99999996718101203</v>
      </c>
    </row>
    <row r="567" spans="1:40" x14ac:dyDescent="0.3">
      <c r="A567" t="str">
        <f>"20200111150733792"</f>
        <v>20200111150733792</v>
      </c>
      <c r="B567" t="str">
        <f>"1578726453782017"</f>
        <v>1578726453782017</v>
      </c>
      <c r="C567" t="s">
        <v>40</v>
      </c>
      <c r="D567">
        <v>5.3476280000000003</v>
      </c>
      <c r="E567">
        <v>0.59943780000000002</v>
      </c>
      <c r="F567" t="s">
        <v>43</v>
      </c>
      <c r="G567">
        <v>-219.2287</v>
      </c>
      <c r="H567" s="1">
        <v>-1.8119219999999999E-6</v>
      </c>
      <c r="I567">
        <v>363.7407</v>
      </c>
      <c r="J567">
        <v>-230.0651</v>
      </c>
      <c r="K567">
        <v>1.1087640000000001</v>
      </c>
      <c r="L567">
        <v>367.05070000000001</v>
      </c>
      <c r="M567">
        <v>0.99974450000000004</v>
      </c>
      <c r="N567">
        <v>0</v>
      </c>
      <c r="O567">
        <v>-1.728466E-2</v>
      </c>
      <c r="P567">
        <v>0.99789660000000002</v>
      </c>
      <c r="Q567">
        <v>5.6661929999999999E-2</v>
      </c>
      <c r="R567">
        <v>-3.1498539999999998E-2</v>
      </c>
      <c r="S567">
        <v>2.9957280000000002</v>
      </c>
      <c r="T567">
        <v>-0.29899500000000001</v>
      </c>
      <c r="U567">
        <v>-0.89385990000000004</v>
      </c>
      <c r="V567">
        <v>1.436113E-2</v>
      </c>
      <c r="W567">
        <v>7.1179060000000002E-2</v>
      </c>
      <c r="X567">
        <v>0.99736020000000003</v>
      </c>
      <c r="Y567">
        <v>0.26817099999999999</v>
      </c>
      <c r="Z567">
        <v>-1.138345E-2</v>
      </c>
      <c r="AA567">
        <v>0.9633041</v>
      </c>
      <c r="AB567">
        <v>50</v>
      </c>
      <c r="AC567">
        <v>10.8363999999999</v>
      </c>
      <c r="AD567">
        <v>-1.1087658119220001</v>
      </c>
      <c r="AE567">
        <v>-3.31</v>
      </c>
      <c r="AF567">
        <v>3.0925685830417402</v>
      </c>
      <c r="AG567">
        <v>-1.1087658119220001</v>
      </c>
      <c r="AH567">
        <v>10.7886899874853</v>
      </c>
      <c r="AI567">
        <v>95.642083368528802</v>
      </c>
      <c r="AJ567">
        <v>74.005096244714494</v>
      </c>
      <c r="AK567">
        <v>11.2778177726265</v>
      </c>
      <c r="AL567">
        <v>85.918288816262802</v>
      </c>
      <c r="AM567">
        <v>89.175047011359496</v>
      </c>
      <c r="AN567">
        <v>1.0000000345906901</v>
      </c>
    </row>
    <row r="568" spans="1:40" x14ac:dyDescent="0.3">
      <c r="A568" t="str">
        <f>"20200111150733805"</f>
        <v>20200111150733805</v>
      </c>
      <c r="B568" t="str">
        <f>"1578726453801537"</f>
        <v>1578726453801537</v>
      </c>
      <c r="C568" t="s">
        <v>40</v>
      </c>
      <c r="D568">
        <v>6.6915769999999997</v>
      </c>
      <c r="E568">
        <v>0.59969419999999996</v>
      </c>
      <c r="F568" t="s">
        <v>43</v>
      </c>
      <c r="G568">
        <v>-218.88329999999999</v>
      </c>
      <c r="H568" s="1">
        <v>-1.941822E-6</v>
      </c>
      <c r="I568">
        <v>363.69420000000002</v>
      </c>
      <c r="J568">
        <v>-229.80760000000001</v>
      </c>
      <c r="K568">
        <v>1.1087229999999999</v>
      </c>
      <c r="L568">
        <v>367.04610000000002</v>
      </c>
      <c r="M568">
        <v>0.99973780000000001</v>
      </c>
      <c r="N568">
        <v>0</v>
      </c>
      <c r="O568">
        <v>-1.7657490000000001E-2</v>
      </c>
      <c r="P568">
        <v>0.99786529999999996</v>
      </c>
      <c r="Q568">
        <v>5.7040750000000001E-2</v>
      </c>
      <c r="R568">
        <v>-3.1806569999999999E-2</v>
      </c>
      <c r="S568">
        <v>2.9948269999999999</v>
      </c>
      <c r="T568">
        <v>-0.29696109999999998</v>
      </c>
      <c r="U568">
        <v>-0.89895630000000004</v>
      </c>
      <c r="V568">
        <v>1.430505E-2</v>
      </c>
      <c r="W568">
        <v>7.1570010000000003E-2</v>
      </c>
      <c r="X568">
        <v>0.99733300000000003</v>
      </c>
      <c r="Y568">
        <v>0.26940700000000001</v>
      </c>
      <c r="Z568">
        <v>-1.1330720000000001E-2</v>
      </c>
      <c r="AA568">
        <v>0.96295969999999997</v>
      </c>
      <c r="AB568">
        <v>50</v>
      </c>
      <c r="AC568">
        <v>10.924300000000001</v>
      </c>
      <c r="AD568">
        <v>-1.108724941822</v>
      </c>
      <c r="AE568">
        <v>-3.3519000000000001</v>
      </c>
      <c r="AF568">
        <v>3.12900386365913</v>
      </c>
      <c r="AG568">
        <v>-1.108724941822</v>
      </c>
      <c r="AH568">
        <v>10.8793678217248</v>
      </c>
      <c r="AI568">
        <v>95.5937368387996</v>
      </c>
      <c r="AJ568">
        <v>73.954289567565596</v>
      </c>
      <c r="AK568">
        <v>11.374558469487599</v>
      </c>
      <c r="AL568">
        <v>85.895831642990402</v>
      </c>
      <c r="AM568">
        <v>89.178245590164394</v>
      </c>
      <c r="AN568">
        <v>1.00000000683795</v>
      </c>
    </row>
    <row r="569" spans="1:40" x14ac:dyDescent="0.3">
      <c r="A569" t="str">
        <f>"20200111150733818"</f>
        <v>20200111150733818</v>
      </c>
      <c r="B569" t="str">
        <f>"1578726453811296"</f>
        <v>1578726453811296</v>
      </c>
      <c r="C569" t="s">
        <v>40</v>
      </c>
      <c r="D569">
        <v>5.253908</v>
      </c>
      <c r="E569">
        <v>0.59969419999999996</v>
      </c>
      <c r="F569" t="s">
        <v>43</v>
      </c>
      <c r="G569">
        <v>-218.54349999999999</v>
      </c>
      <c r="H569" s="1">
        <v>-2.068041E-6</v>
      </c>
      <c r="I569">
        <v>363.65440000000001</v>
      </c>
      <c r="J569">
        <v>-229.5078</v>
      </c>
      <c r="K569">
        <v>1.108673</v>
      </c>
      <c r="L569">
        <v>367.04050000000001</v>
      </c>
      <c r="M569">
        <v>0.99972939999999999</v>
      </c>
      <c r="N569">
        <v>0</v>
      </c>
      <c r="O569">
        <v>-1.8112989999999999E-2</v>
      </c>
      <c r="P569">
        <v>0.99784090000000003</v>
      </c>
      <c r="Q569">
        <v>5.728776E-2</v>
      </c>
      <c r="R569">
        <v>-3.2121179999999999E-2</v>
      </c>
      <c r="S569">
        <v>2.9945219999999999</v>
      </c>
      <c r="T569">
        <v>-0.29475059999999997</v>
      </c>
      <c r="U569">
        <v>-0.90164180000000005</v>
      </c>
      <c r="V569">
        <v>1.417443E-2</v>
      </c>
      <c r="W569">
        <v>7.182732E-2</v>
      </c>
      <c r="X569">
        <v>0.99731639999999999</v>
      </c>
      <c r="Y569">
        <v>0.26980460000000001</v>
      </c>
      <c r="Z569">
        <v>-1.122184E-2</v>
      </c>
      <c r="AA569">
        <v>0.96284970000000003</v>
      </c>
      <c r="AB569">
        <v>50</v>
      </c>
      <c r="AC569">
        <v>10.9643</v>
      </c>
      <c r="AD569">
        <v>-1.108675068041</v>
      </c>
      <c r="AE569">
        <v>-3.3860999999999901</v>
      </c>
      <c r="AF569">
        <v>3.1574542119826798</v>
      </c>
      <c r="AG569">
        <v>-1.108675068041</v>
      </c>
      <c r="AH569">
        <v>10.9218911617012</v>
      </c>
      <c r="AI569">
        <v>95.569657803479302</v>
      </c>
      <c r="AJ569">
        <v>73.875730712991199</v>
      </c>
      <c r="AK569">
        <v>11.423063689540999</v>
      </c>
      <c r="AL569">
        <v>85.881050962186706</v>
      </c>
      <c r="AM569">
        <v>89.185734497458895</v>
      </c>
      <c r="AN569">
        <v>1.0000000400365801</v>
      </c>
    </row>
    <row r="570" spans="1:40" x14ac:dyDescent="0.3">
      <c r="A570" t="str">
        <f>"20200111150733830"</f>
        <v>20200111150733830</v>
      </c>
      <c r="B570" t="str">
        <f>"1578726453822034"</f>
        <v>1578726453822034</v>
      </c>
      <c r="C570" t="s">
        <v>40</v>
      </c>
      <c r="D570">
        <v>5.7356379999999998</v>
      </c>
      <c r="E570">
        <v>0.54050609999999999</v>
      </c>
      <c r="F570" t="s">
        <v>43</v>
      </c>
      <c r="G570">
        <v>-218.19579999999999</v>
      </c>
      <c r="H570" s="1">
        <v>-2.192998E-6</v>
      </c>
      <c r="I570">
        <v>363.62959999999998</v>
      </c>
      <c r="J570">
        <v>-229.23650000000001</v>
      </c>
      <c r="K570">
        <v>1.1086210000000001</v>
      </c>
      <c r="L570">
        <v>367.03530000000001</v>
      </c>
      <c r="M570">
        <v>0.99972099999999997</v>
      </c>
      <c r="N570">
        <v>0</v>
      </c>
      <c r="O570">
        <v>-1.856611E-2</v>
      </c>
      <c r="P570">
        <v>0.99781629999999999</v>
      </c>
      <c r="Q570">
        <v>5.762519E-2</v>
      </c>
      <c r="R570">
        <v>-3.2284670000000001E-2</v>
      </c>
      <c r="S570">
        <v>2.994278</v>
      </c>
      <c r="T570">
        <v>-0.29346349999999999</v>
      </c>
      <c r="U570">
        <v>-0.90286250000000001</v>
      </c>
      <c r="V570">
        <v>1.389544E-2</v>
      </c>
      <c r="W570">
        <v>7.2171659999999999E-2</v>
      </c>
      <c r="X570">
        <v>0.99729540000000005</v>
      </c>
      <c r="Y570">
        <v>0.26976169999999999</v>
      </c>
      <c r="Z570">
        <v>-1.1127949999999999E-2</v>
      </c>
      <c r="AA570">
        <v>0.96286280000000002</v>
      </c>
      <c r="AB570">
        <v>50</v>
      </c>
      <c r="AC570">
        <v>11.040699999999999</v>
      </c>
      <c r="AD570">
        <v>-1.1086231929979999</v>
      </c>
      <c r="AE570">
        <v>-3.4057000000000199</v>
      </c>
      <c r="AF570">
        <v>3.1709147404383899</v>
      </c>
      <c r="AG570">
        <v>-1.1086231929979999</v>
      </c>
      <c r="AH570">
        <v>11.000754156698999</v>
      </c>
      <c r="AI570">
        <v>95.530964072121705</v>
      </c>
      <c r="AJ570">
        <v>73.920626648403399</v>
      </c>
      <c r="AK570">
        <v>11.5021883870554</v>
      </c>
      <c r="AL570">
        <v>85.861270120404498</v>
      </c>
      <c r="AM570">
        <v>89.2017424796163</v>
      </c>
      <c r="AN570">
        <v>0.99999997331055401</v>
      </c>
    </row>
    <row r="571" spans="1:40" x14ac:dyDescent="0.3">
      <c r="A571" t="str">
        <f>"20200111150733844"</f>
        <v>20200111150733844</v>
      </c>
      <c r="B571" t="str">
        <f>"1578726453841553"</f>
        <v>1578726453841553</v>
      </c>
      <c r="C571" t="s">
        <v>40</v>
      </c>
      <c r="D571">
        <v>5.3563980000000004</v>
      </c>
      <c r="E571">
        <v>0.5366706</v>
      </c>
      <c r="F571" t="s">
        <v>41</v>
      </c>
      <c r="G571">
        <v>-228.3475</v>
      </c>
      <c r="H571">
        <v>0.97065400000000002</v>
      </c>
      <c r="I571">
        <v>366.9067</v>
      </c>
      <c r="J571">
        <v>-228.93510000000001</v>
      </c>
      <c r="K571">
        <v>1.108557</v>
      </c>
      <c r="L571">
        <v>367.02940000000001</v>
      </c>
      <c r="M571">
        <v>0.99971100000000002</v>
      </c>
      <c r="N571">
        <v>0</v>
      </c>
      <c r="O571">
        <v>-1.9093209999999999E-2</v>
      </c>
      <c r="P571">
        <v>0.99782769999999998</v>
      </c>
      <c r="Q571">
        <v>5.7832389999999997E-2</v>
      </c>
      <c r="R571">
        <v>-3.1551740000000002E-2</v>
      </c>
      <c r="S571">
        <v>3.019501</v>
      </c>
      <c r="T571">
        <v>-0.46868480000000001</v>
      </c>
      <c r="U571">
        <v>-0.43643189999999998</v>
      </c>
      <c r="V571">
        <v>1.264729E-2</v>
      </c>
      <c r="W571">
        <v>7.2388049999999995E-2</v>
      </c>
      <c r="X571">
        <v>0.99729630000000002</v>
      </c>
      <c r="Y571">
        <v>0.122909199999999</v>
      </c>
      <c r="Z571">
        <v>-6.5038029999999998E-3</v>
      </c>
      <c r="AA571">
        <v>0.99239659999999996</v>
      </c>
      <c r="AB571">
        <v>50</v>
      </c>
      <c r="AC571">
        <v>0.587600000000009</v>
      </c>
      <c r="AD571">
        <v>-0.137902999999999</v>
      </c>
      <c r="AE571">
        <v>-0.122700000000008</v>
      </c>
      <c r="AF571">
        <v>0.105869729597559</v>
      </c>
      <c r="AG571">
        <v>-0.137902999999999</v>
      </c>
      <c r="AH571">
        <v>0.56026643270772503</v>
      </c>
      <c r="AI571">
        <v>103.59635385401501</v>
      </c>
      <c r="AJ571">
        <v>79.299379111974304</v>
      </c>
      <c r="AK571">
        <v>0.58662092757853401</v>
      </c>
      <c r="AL571">
        <v>85.848839262345194</v>
      </c>
      <c r="AM571">
        <v>89.2734380974765</v>
      </c>
      <c r="AN571">
        <v>0.99999994686041604</v>
      </c>
    </row>
    <row r="572" spans="1:40" x14ac:dyDescent="0.3">
      <c r="A572" t="str">
        <f>"20200111150733858"</f>
        <v>20200111150733858</v>
      </c>
      <c r="B572" t="str">
        <f>"1578726453851315"</f>
        <v>1578726453851315</v>
      </c>
      <c r="C572" t="s">
        <v>40</v>
      </c>
      <c r="D572">
        <v>6.332776</v>
      </c>
      <c r="E572">
        <v>0.54886840000000003</v>
      </c>
      <c r="F572" t="s">
        <v>41</v>
      </c>
      <c r="G572">
        <v>-227.90539999999999</v>
      </c>
      <c r="H572">
        <v>0.96385549999999998</v>
      </c>
      <c r="I572">
        <v>366.892</v>
      </c>
      <c r="J572">
        <v>-228.62899999999999</v>
      </c>
      <c r="K572">
        <v>1.108484</v>
      </c>
      <c r="L572">
        <v>367.02319999999997</v>
      </c>
      <c r="M572">
        <v>0.99969969999999997</v>
      </c>
      <c r="N572">
        <v>0</v>
      </c>
      <c r="O572">
        <v>-1.9665729999999999E-2</v>
      </c>
      <c r="P572">
        <v>0.99784459999999997</v>
      </c>
      <c r="Q572">
        <v>5.7590509999999998E-2</v>
      </c>
      <c r="R572">
        <v>-3.145208E-2</v>
      </c>
      <c r="S572">
        <v>3.0183870000000002</v>
      </c>
      <c r="T572">
        <v>-0.42418319999999998</v>
      </c>
      <c r="U572">
        <v>-0.40264889999999998</v>
      </c>
      <c r="V572">
        <v>1.1986689999999999E-2</v>
      </c>
      <c r="W572">
        <v>7.2153099999999998E-2</v>
      </c>
      <c r="X572">
        <v>0.99732149999999997</v>
      </c>
      <c r="Y572">
        <v>0.1118175</v>
      </c>
      <c r="Z572">
        <v>-5.0471439999999999E-3</v>
      </c>
      <c r="AA572">
        <v>0.99371589999999999</v>
      </c>
      <c r="AB572">
        <v>50</v>
      </c>
      <c r="AC572">
        <v>0.72360000000003299</v>
      </c>
      <c r="AD572">
        <v>-0.14462849999999999</v>
      </c>
      <c r="AE572">
        <v>-0.131199999999978</v>
      </c>
      <c r="AF572">
        <v>0.112588300991531</v>
      </c>
      <c r="AG572">
        <v>-0.14462849999999999</v>
      </c>
      <c r="AH572">
        <v>0.69900443924044997</v>
      </c>
      <c r="AI572">
        <v>101.545179583189</v>
      </c>
      <c r="AJ572">
        <v>80.849984351217699</v>
      </c>
      <c r="AK572">
        <v>0.72263457889189397</v>
      </c>
      <c r="AL572">
        <v>85.862336264831598</v>
      </c>
      <c r="AM572">
        <v>89.311401909408701</v>
      </c>
      <c r="AN572">
        <v>0.99999996246950695</v>
      </c>
    </row>
    <row r="573" spans="1:40" x14ac:dyDescent="0.3">
      <c r="A573" t="str">
        <f>"20200111150733869"</f>
        <v>20200111150733869</v>
      </c>
      <c r="B573" t="str">
        <f>"1578726453862049"</f>
        <v>1578726453862049</v>
      </c>
      <c r="C573" t="s">
        <v>40</v>
      </c>
      <c r="D573">
        <v>5.2909389999999998</v>
      </c>
      <c r="E573">
        <v>0.544494699999999</v>
      </c>
      <c r="F573" t="s">
        <v>41</v>
      </c>
      <c r="G573">
        <v>-227.8878</v>
      </c>
      <c r="H573">
        <v>0.99974730000000001</v>
      </c>
      <c r="I573">
        <v>366.90030000000002</v>
      </c>
      <c r="J573">
        <v>-228.35919999999999</v>
      </c>
      <c r="K573">
        <v>1.108419</v>
      </c>
      <c r="L573">
        <v>367.01749999999998</v>
      </c>
      <c r="M573">
        <v>0.99968869999999999</v>
      </c>
      <c r="N573">
        <v>0</v>
      </c>
      <c r="O573">
        <v>-2.0215629999999998E-2</v>
      </c>
      <c r="P573">
        <v>0.99787510000000001</v>
      </c>
      <c r="Q573">
        <v>5.7155289999999997E-2</v>
      </c>
      <c r="R573">
        <v>-3.1283970000000001E-2</v>
      </c>
      <c r="S573">
        <v>3.016235</v>
      </c>
      <c r="T573">
        <v>-0.44249630000000001</v>
      </c>
      <c r="U573">
        <v>-0.50009159999999997</v>
      </c>
      <c r="V573">
        <v>1.1278720000000001E-2</v>
      </c>
      <c r="W573">
        <v>7.1724590000000005E-2</v>
      </c>
      <c r="X573">
        <v>0.99736069999999999</v>
      </c>
      <c r="Y573">
        <v>0.1423169</v>
      </c>
      <c r="Z573">
        <v>-7.385216E-3</v>
      </c>
      <c r="AA573">
        <v>0.98979360000000005</v>
      </c>
      <c r="AB573">
        <v>50</v>
      </c>
      <c r="AC573">
        <v>0.471399999999988</v>
      </c>
      <c r="AD573">
        <v>-0.1086717</v>
      </c>
      <c r="AE573">
        <v>-0.117199999999968</v>
      </c>
      <c r="AF573">
        <v>0.10251450429058399</v>
      </c>
      <c r="AG573">
        <v>-0.1086717</v>
      </c>
      <c r="AH573">
        <v>0.451095732498974</v>
      </c>
      <c r="AI573">
        <v>103.22000317463799</v>
      </c>
      <c r="AJ573">
        <v>77.196609939341499</v>
      </c>
      <c r="AK573">
        <v>0.47519061633161502</v>
      </c>
      <c r="AL573">
        <v>85.886951996973906</v>
      </c>
      <c r="AM573">
        <v>89.352094473648606</v>
      </c>
      <c r="AN573">
        <v>0.99999999611999801</v>
      </c>
    </row>
    <row r="574" spans="1:40" x14ac:dyDescent="0.3">
      <c r="A574" t="str">
        <f>"20200111150733883"</f>
        <v>20200111150733883</v>
      </c>
      <c r="B574" t="str">
        <f>"1578726453881569"</f>
        <v>1578726453881569</v>
      </c>
      <c r="C574" t="s">
        <v>40</v>
      </c>
      <c r="D574">
        <v>5.9096089999999997</v>
      </c>
      <c r="E574">
        <v>0.54486869999999998</v>
      </c>
      <c r="F574" t="s">
        <v>41</v>
      </c>
      <c r="G574">
        <v>-227.45169999999999</v>
      </c>
      <c r="H574">
        <v>0.98139520000000002</v>
      </c>
      <c r="I574">
        <v>366.87779999999998</v>
      </c>
      <c r="J574">
        <v>-228.06270000000001</v>
      </c>
      <c r="K574">
        <v>1.1083480000000001</v>
      </c>
      <c r="L574">
        <v>367.01119999999997</v>
      </c>
      <c r="M574">
        <v>0.9996756</v>
      </c>
      <c r="N574">
        <v>0</v>
      </c>
      <c r="O574">
        <v>-2.0844149999999999E-2</v>
      </c>
      <c r="P574">
        <v>0.99790630000000002</v>
      </c>
      <c r="Q574">
        <v>5.6509799999999999E-2</v>
      </c>
      <c r="R574">
        <v>-3.1462759999999999E-2</v>
      </c>
      <c r="S574">
        <v>3.016022</v>
      </c>
      <c r="T574">
        <v>-0.42214780000000002</v>
      </c>
      <c r="U574">
        <v>-0.46423340000000002</v>
      </c>
      <c r="V574">
        <v>1.083948E-2</v>
      </c>
      <c r="W574">
        <v>7.1084889999999998E-2</v>
      </c>
      <c r="X574">
        <v>0.99741139999999995</v>
      </c>
      <c r="Y574">
        <v>0.13045109999999999</v>
      </c>
      <c r="Z574">
        <v>-6.1471809999999998E-3</v>
      </c>
      <c r="AA574">
        <v>0.99143570000000003</v>
      </c>
      <c r="AB574">
        <v>50</v>
      </c>
      <c r="AC574">
        <v>0.61100000000001797</v>
      </c>
      <c r="AD574">
        <v>-0.12695279999999901</v>
      </c>
      <c r="AE574">
        <v>-0.133399999999994</v>
      </c>
      <c r="AF574">
        <v>0.115859564884219</v>
      </c>
      <c r="AG574">
        <v>-0.12695279999999901</v>
      </c>
      <c r="AH574">
        <v>0.58936188435194004</v>
      </c>
      <c r="AI574">
        <v>101.934489851542</v>
      </c>
      <c r="AJ574">
        <v>78.878343205082203</v>
      </c>
      <c r="AK574">
        <v>0.61391195046999203</v>
      </c>
      <c r="AL574">
        <v>85.923698036370894</v>
      </c>
      <c r="AM574">
        <v>89.377356216408003</v>
      </c>
      <c r="AN574">
        <v>1.0000000283814701</v>
      </c>
    </row>
    <row r="575" spans="1:40" x14ac:dyDescent="0.3">
      <c r="A575" t="str">
        <f>"20200111150733897"</f>
        <v>20200111150733897</v>
      </c>
      <c r="B575" t="str">
        <f>"1578726453891330"</f>
        <v>1578726453891330</v>
      </c>
      <c r="C575" t="s">
        <v>40</v>
      </c>
      <c r="D575">
        <v>5.1601679999999996</v>
      </c>
      <c r="E575">
        <v>0.54486869999999998</v>
      </c>
      <c r="F575" t="s">
        <v>41</v>
      </c>
      <c r="G575">
        <v>-227.0153</v>
      </c>
      <c r="H575">
        <v>0.96340510000000001</v>
      </c>
      <c r="I575">
        <v>366.84890000000001</v>
      </c>
      <c r="J575">
        <v>-227.75970000000001</v>
      </c>
      <c r="K575">
        <v>1.108277</v>
      </c>
      <c r="L575">
        <v>367.00450000000001</v>
      </c>
      <c r="M575">
        <v>0.99966109999999997</v>
      </c>
      <c r="N575">
        <v>0</v>
      </c>
      <c r="O575">
        <v>-2.1530110000000002E-2</v>
      </c>
      <c r="P575">
        <v>0.997919</v>
      </c>
      <c r="Q575">
        <v>5.6036889999999999E-2</v>
      </c>
      <c r="R575">
        <v>-3.1898349999999999E-2</v>
      </c>
      <c r="S575">
        <v>3.0151819999999998</v>
      </c>
      <c r="T575">
        <v>-0.41722140000000002</v>
      </c>
      <c r="U575">
        <v>-0.4673157</v>
      </c>
      <c r="V575">
        <v>1.060149E-2</v>
      </c>
      <c r="W575">
        <v>7.0616380000000006E-2</v>
      </c>
      <c r="X575">
        <v>0.99744719999999998</v>
      </c>
      <c r="Y575">
        <v>0.1308288</v>
      </c>
      <c r="Z575">
        <v>-6.0093369999999896E-3</v>
      </c>
      <c r="AA575">
        <v>0.99138680000000001</v>
      </c>
      <c r="AB575">
        <v>50</v>
      </c>
      <c r="AC575">
        <v>0.74440000000001205</v>
      </c>
      <c r="AD575">
        <v>-0.1448719</v>
      </c>
      <c r="AE575">
        <v>-0.15559999999999199</v>
      </c>
      <c r="AF575">
        <v>0.13464883216760901</v>
      </c>
      <c r="AG575">
        <v>-0.1448719</v>
      </c>
      <c r="AH575">
        <v>0.72139853910689899</v>
      </c>
      <c r="AI575">
        <v>101.16726188800899</v>
      </c>
      <c r="AJ575">
        <v>79.427415105904402</v>
      </c>
      <c r="AK575">
        <v>0.74802007168208995</v>
      </c>
      <c r="AL575">
        <v>85.950609158637107</v>
      </c>
      <c r="AM575">
        <v>89.3910477044342</v>
      </c>
      <c r="AN575">
        <v>0.99999999075118196</v>
      </c>
    </row>
    <row r="576" spans="1:40" x14ac:dyDescent="0.3">
      <c r="A576" t="str">
        <f>"20200111150733912"</f>
        <v>20200111150733912</v>
      </c>
      <c r="B576" t="str">
        <f>"1578726453902065"</f>
        <v>1578726453902065</v>
      </c>
      <c r="C576" t="s">
        <v>40</v>
      </c>
      <c r="D576">
        <v>5.3373879999999998</v>
      </c>
      <c r="E576">
        <v>0.54300729999999997</v>
      </c>
      <c r="F576" t="s">
        <v>41</v>
      </c>
      <c r="G576">
        <v>-226.99639999999999</v>
      </c>
      <c r="H576">
        <v>1.0022439999999999</v>
      </c>
      <c r="I576">
        <v>366.88600000000002</v>
      </c>
      <c r="J576">
        <v>-227.42760000000001</v>
      </c>
      <c r="K576">
        <v>1.108193</v>
      </c>
      <c r="L576">
        <v>366.99680000000001</v>
      </c>
      <c r="M576">
        <v>0.99964330000000001</v>
      </c>
      <c r="N576">
        <v>0</v>
      </c>
      <c r="O576">
        <v>-2.2336539999999998E-2</v>
      </c>
      <c r="P576">
        <v>0.99790409999999996</v>
      </c>
      <c r="Q576">
        <v>5.576267E-2</v>
      </c>
      <c r="R576">
        <v>-3.2834740000000001E-2</v>
      </c>
      <c r="S576">
        <v>3.0148009999999998</v>
      </c>
      <c r="T576">
        <v>-0.41879929999999899</v>
      </c>
      <c r="U576">
        <v>-0.46847529999999998</v>
      </c>
      <c r="V576">
        <v>1.074578E-2</v>
      </c>
      <c r="W576">
        <v>7.0344779999999996E-2</v>
      </c>
      <c r="X576">
        <v>0.99746480000000004</v>
      </c>
      <c r="Y576">
        <v>0.13042400000000001</v>
      </c>
      <c r="Z576">
        <v>-5.8938810000000001E-3</v>
      </c>
      <c r="AA576">
        <v>0.99144080000000001</v>
      </c>
      <c r="AB576">
        <v>50</v>
      </c>
      <c r="AC576">
        <v>0.43120000000001801</v>
      </c>
      <c r="AD576">
        <v>-0.105948999999999</v>
      </c>
      <c r="AE576">
        <v>-0.11080000000004001</v>
      </c>
      <c r="AF576">
        <v>9.5718969264966994E-2</v>
      </c>
      <c r="AG576">
        <v>-0.105948999999999</v>
      </c>
      <c r="AH576">
        <v>0.41032944707354801</v>
      </c>
      <c r="AI576">
        <v>104.11460954163699</v>
      </c>
      <c r="AJ576">
        <v>76.869231177163897</v>
      </c>
      <c r="AK576">
        <v>0.43446238826143702</v>
      </c>
      <c r="AL576">
        <v>85.966209297484497</v>
      </c>
      <c r="AM576">
        <v>89.382771177063205</v>
      </c>
      <c r="AN576">
        <v>0.99999994355004596</v>
      </c>
    </row>
    <row r="577" spans="1:40" x14ac:dyDescent="0.3">
      <c r="A577" t="str">
        <f>"20200111150733927"</f>
        <v>20200111150733927</v>
      </c>
      <c r="B577" t="str">
        <f>"1578726453921584"</f>
        <v>1578726453921584</v>
      </c>
      <c r="C577" t="s">
        <v>40</v>
      </c>
      <c r="D577">
        <v>5.299315</v>
      </c>
      <c r="E577">
        <v>0.54032749999999996</v>
      </c>
      <c r="F577" t="s">
        <v>41</v>
      </c>
      <c r="G577">
        <v>-226.5581</v>
      </c>
      <c r="H577">
        <v>0.98943729999999996</v>
      </c>
      <c r="I577">
        <v>366.86470000000003</v>
      </c>
      <c r="J577">
        <v>-227.09229999999999</v>
      </c>
      <c r="K577">
        <v>1.1081099999999999</v>
      </c>
      <c r="L577">
        <v>366.98880000000003</v>
      </c>
      <c r="M577">
        <v>0.9996237</v>
      </c>
      <c r="N577">
        <v>0</v>
      </c>
      <c r="O577">
        <v>-2.3197019999999999E-2</v>
      </c>
      <c r="P577">
        <v>0.99783829999999996</v>
      </c>
      <c r="Q577">
        <v>5.6074230000000003E-2</v>
      </c>
      <c r="R577">
        <v>-3.4275449999999999E-2</v>
      </c>
      <c r="S577">
        <v>3.0142820000000001</v>
      </c>
      <c r="T577">
        <v>-0.4119564</v>
      </c>
      <c r="U577">
        <v>-0.4564819</v>
      </c>
      <c r="V577">
        <v>1.1343590000000001E-2</v>
      </c>
      <c r="W577">
        <v>7.0655869999999996E-2</v>
      </c>
      <c r="X577">
        <v>0.9974362</v>
      </c>
      <c r="Y577">
        <v>0.1258223</v>
      </c>
      <c r="Z577">
        <v>-5.3735759999999997E-3</v>
      </c>
      <c r="AA577">
        <v>0.99203819999999998</v>
      </c>
      <c r="AB577">
        <v>50</v>
      </c>
      <c r="AC577">
        <v>0.53419999999999801</v>
      </c>
      <c r="AD577">
        <v>-0.11867269999999901</v>
      </c>
      <c r="AE577">
        <v>-0.124099999999998</v>
      </c>
      <c r="AF577">
        <v>0.106678339478013</v>
      </c>
      <c r="AG577">
        <v>-0.11867269999999901</v>
      </c>
      <c r="AH577">
        <v>0.51291849813235502</v>
      </c>
      <c r="AI577">
        <v>102.763257191891</v>
      </c>
      <c r="AJ577">
        <v>78.250948837526906</v>
      </c>
      <c r="AK577">
        <v>0.53716744462544097</v>
      </c>
      <c r="AL577">
        <v>85.948340721282506</v>
      </c>
      <c r="AM577">
        <v>89.348417660435899</v>
      </c>
      <c r="AN577">
        <v>0.99999995103499095</v>
      </c>
    </row>
    <row r="578" spans="1:40" x14ac:dyDescent="0.3">
      <c r="A578" t="str">
        <f>"20200111150733942"</f>
        <v>20200111150733942</v>
      </c>
      <c r="B578" t="str">
        <f>"1578726453931346"</f>
        <v>1578726453931346</v>
      </c>
      <c r="C578" t="s">
        <v>40</v>
      </c>
      <c r="D578">
        <v>5.3152599999999897</v>
      </c>
      <c r="E578">
        <v>0.53950690000000001</v>
      </c>
      <c r="F578" t="s">
        <v>41</v>
      </c>
      <c r="G578">
        <v>-226.119</v>
      </c>
      <c r="H578">
        <v>0.97875369999999995</v>
      </c>
      <c r="I578">
        <v>366.84690000000001</v>
      </c>
      <c r="J578">
        <v>-226.76439999999999</v>
      </c>
      <c r="K578">
        <v>1.108028</v>
      </c>
      <c r="L578">
        <v>366.98070000000001</v>
      </c>
      <c r="M578">
        <v>0.99960269999999996</v>
      </c>
      <c r="N578">
        <v>0</v>
      </c>
      <c r="O578">
        <v>-2.408217E-2</v>
      </c>
      <c r="P578">
        <v>0.99776450000000005</v>
      </c>
      <c r="Q578">
        <v>5.647945E-2</v>
      </c>
      <c r="R578">
        <v>-3.5723530000000003E-2</v>
      </c>
      <c r="S578">
        <v>3.0139309999999999</v>
      </c>
      <c r="T578">
        <v>-0.40069450000000001</v>
      </c>
      <c r="U578">
        <v>-0.43914789999999998</v>
      </c>
      <c r="V578">
        <v>1.192476E-2</v>
      </c>
      <c r="W578">
        <v>7.1060139999999994E-2</v>
      </c>
      <c r="X578">
        <v>0.99740079999999998</v>
      </c>
      <c r="Y578">
        <v>0.1194873</v>
      </c>
      <c r="Z578">
        <v>-4.697133E-3</v>
      </c>
      <c r="AA578">
        <v>0.99282459999999995</v>
      </c>
      <c r="AB578">
        <v>50</v>
      </c>
      <c r="AC578">
        <v>0.645399999999966</v>
      </c>
      <c r="AD578">
        <v>-0.12927429999999901</v>
      </c>
      <c r="AE578">
        <v>-0.133800000000007</v>
      </c>
      <c r="AF578">
        <v>0.113837859806991</v>
      </c>
      <c r="AG578">
        <v>-0.12927429999999901</v>
      </c>
      <c r="AH578">
        <v>0.62441577337100596</v>
      </c>
      <c r="AI578">
        <v>101.512266727951</v>
      </c>
      <c r="AJ578">
        <v>79.667823444430098</v>
      </c>
      <c r="AK578">
        <v>0.647739114922387</v>
      </c>
      <c r="AL578">
        <v>85.925119788738499</v>
      </c>
      <c r="AM578">
        <v>89.315013715641399</v>
      </c>
      <c r="AN578">
        <v>1.00000004961925</v>
      </c>
    </row>
    <row r="579" spans="1:40" x14ac:dyDescent="0.3">
      <c r="A579" t="str">
        <f>"20200111150733955"</f>
        <v>20200111150733955</v>
      </c>
      <c r="B579" t="str">
        <f>"1578726453951841"</f>
        <v>1578726453951841</v>
      </c>
      <c r="C579" t="s">
        <v>40</v>
      </c>
      <c r="D579">
        <v>5.327807</v>
      </c>
      <c r="E579">
        <v>0.53829740000000004</v>
      </c>
      <c r="F579" t="s">
        <v>41</v>
      </c>
      <c r="G579">
        <v>-225.68119999999999</v>
      </c>
      <c r="H579">
        <v>0.9659797</v>
      </c>
      <c r="I579">
        <v>366.82330000000002</v>
      </c>
      <c r="J579">
        <v>-226.45320000000001</v>
      </c>
      <c r="K579">
        <v>1.107955</v>
      </c>
      <c r="L579">
        <v>366.97269999999997</v>
      </c>
      <c r="M579">
        <v>0.99958060000000004</v>
      </c>
      <c r="N579">
        <v>0</v>
      </c>
      <c r="O579">
        <v>-2.4976430000000001E-2</v>
      </c>
      <c r="P579">
        <v>0.99770250000000005</v>
      </c>
      <c r="Q579">
        <v>5.6608760000000001E-2</v>
      </c>
      <c r="R579">
        <v>-3.7216399999999997E-2</v>
      </c>
      <c r="S579">
        <v>3.013458</v>
      </c>
      <c r="T579">
        <v>-0.39527390000000001</v>
      </c>
      <c r="U579">
        <v>-0.43695070000000003</v>
      </c>
      <c r="V579">
        <v>1.2539649999999999E-2</v>
      </c>
      <c r="W579">
        <v>7.1187150000000005E-2</v>
      </c>
      <c r="X579">
        <v>0.9973841</v>
      </c>
      <c r="Y579">
        <v>0.1179543</v>
      </c>
      <c r="Z579">
        <v>-4.4193879999999998E-3</v>
      </c>
      <c r="AA579">
        <v>0.99300920000000004</v>
      </c>
      <c r="AB579">
        <v>50</v>
      </c>
      <c r="AC579">
        <v>0.772000000000019</v>
      </c>
      <c r="AD579">
        <v>-0.1419753</v>
      </c>
      <c r="AE579">
        <v>-0.14939999999995701</v>
      </c>
      <c r="AF579">
        <v>0.125963058601581</v>
      </c>
      <c r="AG579">
        <v>-0.1419753</v>
      </c>
      <c r="AH579">
        <v>0.75100781965623498</v>
      </c>
      <c r="AI579">
        <v>100.561088352562</v>
      </c>
      <c r="AJ579">
        <v>80.478668581783296</v>
      </c>
      <c r="AK579">
        <v>0.77462017991217302</v>
      </c>
      <c r="AL579">
        <v>85.917823760683603</v>
      </c>
      <c r="AM579">
        <v>89.279684557500104</v>
      </c>
      <c r="AN579">
        <v>0.99999994804002601</v>
      </c>
    </row>
    <row r="580" spans="1:40" x14ac:dyDescent="0.3">
      <c r="A580" t="str">
        <f>"20200111150733968"</f>
        <v>20200111150733968</v>
      </c>
      <c r="B580" t="str">
        <f>"1578726453961602"</f>
        <v>1578726453961602</v>
      </c>
      <c r="C580" t="s">
        <v>40</v>
      </c>
      <c r="D580">
        <v>5.3363839999999998</v>
      </c>
      <c r="E580">
        <v>0.53793159999999995</v>
      </c>
      <c r="F580" t="s">
        <v>41</v>
      </c>
      <c r="G580">
        <v>-225.66149999999999</v>
      </c>
      <c r="H580">
        <v>1.005498</v>
      </c>
      <c r="I580">
        <v>366.85879999999997</v>
      </c>
      <c r="J580">
        <v>-226.1721</v>
      </c>
      <c r="K580">
        <v>1.1078870000000001</v>
      </c>
      <c r="L580">
        <v>366.96510000000001</v>
      </c>
      <c r="M580">
        <v>0.99955919999999998</v>
      </c>
      <c r="N580">
        <v>0</v>
      </c>
      <c r="O580">
        <v>-2.5822729999999999E-2</v>
      </c>
      <c r="P580">
        <v>0.99769180000000002</v>
      </c>
      <c r="Q580">
        <v>5.5970939999999997E-2</v>
      </c>
      <c r="R580">
        <v>-3.84537E-2</v>
      </c>
      <c r="S580">
        <v>3.0129090000000001</v>
      </c>
      <c r="T580">
        <v>-0.3900903</v>
      </c>
      <c r="U580">
        <v>-0.43228149999999999</v>
      </c>
      <c r="V580">
        <v>1.294153E-2</v>
      </c>
      <c r="W580">
        <v>7.0548830000000007E-2</v>
      </c>
      <c r="X580">
        <v>0.99742439999999999</v>
      </c>
      <c r="Y580">
        <v>0.1156768</v>
      </c>
      <c r="Z580">
        <v>-4.1086059999999999E-3</v>
      </c>
      <c r="AA580">
        <v>0.99327840000000001</v>
      </c>
      <c r="AB580">
        <v>50</v>
      </c>
      <c r="AC580">
        <v>0.51060000000001005</v>
      </c>
      <c r="AD580">
        <v>-0.10238899999999999</v>
      </c>
      <c r="AE580">
        <v>-0.10630000000003199</v>
      </c>
      <c r="AF580">
        <v>8.9623886221495794E-2</v>
      </c>
      <c r="AG580">
        <v>-0.10238899999999999</v>
      </c>
      <c r="AH580">
        <v>0.49413084948719599</v>
      </c>
      <c r="AI580">
        <v>101.52373819021</v>
      </c>
      <c r="AJ580">
        <v>79.719633921656595</v>
      </c>
      <c r="AK580">
        <v>0.51252438451002702</v>
      </c>
      <c r="AL580">
        <v>85.954489313113399</v>
      </c>
      <c r="AM580">
        <v>89.256631937627304</v>
      </c>
      <c r="AN580">
        <v>1.00000002716423</v>
      </c>
    </row>
    <row r="581" spans="1:40" x14ac:dyDescent="0.3">
      <c r="A581" t="str">
        <f>"20200111150733981"</f>
        <v>20200111150733981</v>
      </c>
      <c r="B581" t="str">
        <f>"1578726453971361"</f>
        <v>1578726453971361</v>
      </c>
      <c r="C581" t="s">
        <v>40</v>
      </c>
      <c r="D581">
        <v>5.3455409999999999</v>
      </c>
      <c r="E581">
        <v>0.53770899999999999</v>
      </c>
      <c r="F581" t="s">
        <v>41</v>
      </c>
      <c r="G581">
        <v>-225.22810000000001</v>
      </c>
      <c r="H581">
        <v>0.98490520000000004</v>
      </c>
      <c r="I581">
        <v>366.82909999999998</v>
      </c>
      <c r="J581">
        <v>-225.89240000000001</v>
      </c>
      <c r="K581">
        <v>1.1078190000000001</v>
      </c>
      <c r="L581">
        <v>366.95749999999998</v>
      </c>
      <c r="M581">
        <v>0.99953630000000004</v>
      </c>
      <c r="N581">
        <v>0</v>
      </c>
      <c r="O581">
        <v>-2.668885E-2</v>
      </c>
      <c r="P581">
        <v>0.9976621</v>
      </c>
      <c r="Q581">
        <v>5.520303E-2</v>
      </c>
      <c r="R581">
        <v>-4.0285019999999998E-2</v>
      </c>
      <c r="S581">
        <v>3.0122680000000002</v>
      </c>
      <c r="T581">
        <v>-0.39250119999999999</v>
      </c>
      <c r="U581">
        <v>-0.43356319999999998</v>
      </c>
      <c r="V581">
        <v>1.391741E-2</v>
      </c>
      <c r="W581">
        <v>6.9777320000000004E-2</v>
      </c>
      <c r="X581">
        <v>0.9974655</v>
      </c>
      <c r="Y581">
        <v>0.11526119999999999</v>
      </c>
      <c r="Z581">
        <v>-3.9960209999999998E-3</v>
      </c>
      <c r="AA581">
        <v>0.99332719999999997</v>
      </c>
      <c r="AB581">
        <v>50</v>
      </c>
      <c r="AC581">
        <v>0.664299999999997</v>
      </c>
      <c r="AD581">
        <v>-0.1229138</v>
      </c>
      <c r="AE581">
        <v>-0.12839999999999899</v>
      </c>
      <c r="AF581">
        <v>0.107088774461452</v>
      </c>
      <c r="AG581">
        <v>-0.1229138</v>
      </c>
      <c r="AH581">
        <v>0.64616561901866298</v>
      </c>
      <c r="AI581">
        <v>100.628541930777</v>
      </c>
      <c r="AJ581">
        <v>80.589924179922704</v>
      </c>
      <c r="AK581">
        <v>0.66641264622444496</v>
      </c>
      <c r="AL581">
        <v>85.998802664761797</v>
      </c>
      <c r="AM581">
        <v>89.2006168490947</v>
      </c>
      <c r="AN581">
        <v>0.99999999618887003</v>
      </c>
    </row>
    <row r="582" spans="1:40" x14ac:dyDescent="0.3">
      <c r="A582" t="str">
        <f>"20200111150733994"</f>
        <v>20200111150733994</v>
      </c>
      <c r="B582" t="str">
        <f>"1578726453991858"</f>
        <v>1578726453991858</v>
      </c>
      <c r="C582" t="s">
        <v>40</v>
      </c>
      <c r="D582">
        <v>5.3754970000000002</v>
      </c>
      <c r="E582">
        <v>0.53746780000000005</v>
      </c>
      <c r="F582" t="s">
        <v>41</v>
      </c>
      <c r="G582">
        <v>-224.79470000000001</v>
      </c>
      <c r="H582">
        <v>0.96430360000000004</v>
      </c>
      <c r="I582">
        <v>366.79770000000002</v>
      </c>
      <c r="J582">
        <v>-225.58279999999999</v>
      </c>
      <c r="K582">
        <v>1.1077410000000001</v>
      </c>
      <c r="L582">
        <v>366.9486</v>
      </c>
      <c r="M582">
        <v>0.99950859999999997</v>
      </c>
      <c r="N582">
        <v>0</v>
      </c>
      <c r="O582">
        <v>-2.7710249999999999E-2</v>
      </c>
      <c r="P582">
        <v>0.99757560000000001</v>
      </c>
      <c r="Q582">
        <v>5.4810409999999997E-2</v>
      </c>
      <c r="R582">
        <v>-4.2879790000000001E-2</v>
      </c>
      <c r="S582">
        <v>3.0111690000000002</v>
      </c>
      <c r="T582">
        <v>-0.39384069999999999</v>
      </c>
      <c r="U582">
        <v>-0.43762210000000001</v>
      </c>
      <c r="V582">
        <v>1.55061E-2</v>
      </c>
      <c r="W582">
        <v>6.9377270000000005E-2</v>
      </c>
      <c r="X582">
        <v>0.99746999999999997</v>
      </c>
      <c r="Y582">
        <v>0.115609199999999</v>
      </c>
      <c r="Z582">
        <v>-3.9009700000000001E-3</v>
      </c>
      <c r="AA582">
        <v>0.99328709999999998</v>
      </c>
      <c r="AB582">
        <v>50</v>
      </c>
      <c r="AC582">
        <v>0.78809999999998503</v>
      </c>
      <c r="AD582">
        <v>-0.14343739999999999</v>
      </c>
      <c r="AE582">
        <v>-0.150899999999978</v>
      </c>
      <c r="AF582">
        <v>0.125006784245633</v>
      </c>
      <c r="AG582">
        <v>-0.14343739999999999</v>
      </c>
      <c r="AH582">
        <v>0.76745595439292702</v>
      </c>
      <c r="AI582">
        <v>100.45178470291</v>
      </c>
      <c r="AJ582">
        <v>80.7486439810787</v>
      </c>
      <c r="AK582">
        <v>0.79068933580727696</v>
      </c>
      <c r="AL582">
        <v>86.021779630655402</v>
      </c>
      <c r="AM582">
        <v>89.109384211415204</v>
      </c>
      <c r="AN582">
        <v>1.0000000228149299</v>
      </c>
    </row>
    <row r="583" spans="1:40" x14ac:dyDescent="0.3">
      <c r="A583" t="str">
        <f>"20200111150734008"</f>
        <v>20200111150734008</v>
      </c>
      <c r="B583" t="str">
        <f>"1578726454001617"</f>
        <v>1578726454001617</v>
      </c>
      <c r="C583" t="s">
        <v>40</v>
      </c>
      <c r="D583">
        <v>5.8431839999999999</v>
      </c>
      <c r="E583">
        <v>0.53891579999999994</v>
      </c>
      <c r="F583" t="s">
        <v>41</v>
      </c>
      <c r="G583">
        <v>-224.77600000000001</v>
      </c>
      <c r="H583">
        <v>1.0020230000000001</v>
      </c>
      <c r="I583">
        <v>366.8295</v>
      </c>
      <c r="J583">
        <v>-225.3022</v>
      </c>
      <c r="K583">
        <v>1.1076649999999999</v>
      </c>
      <c r="L583">
        <v>366.9402</v>
      </c>
      <c r="M583">
        <v>0.99948110000000001</v>
      </c>
      <c r="N583">
        <v>0</v>
      </c>
      <c r="O583">
        <v>-2.8681640000000001E-2</v>
      </c>
      <c r="P583">
        <v>0.99747059999999999</v>
      </c>
      <c r="Q583">
        <v>5.4631069999999997E-2</v>
      </c>
      <c r="R583">
        <v>-4.5475120000000001E-2</v>
      </c>
      <c r="S583">
        <v>3.0099330000000002</v>
      </c>
      <c r="T583">
        <v>-0.3945553</v>
      </c>
      <c r="U583">
        <v>-0.44332890000000003</v>
      </c>
      <c r="V583">
        <v>1.71460999999999E-2</v>
      </c>
      <c r="W583">
        <v>6.91888999999999E-2</v>
      </c>
      <c r="X583">
        <v>0.99745620000000002</v>
      </c>
      <c r="Y583">
        <v>0.11654299999999999</v>
      </c>
      <c r="Z583">
        <v>-3.8437160000000001E-3</v>
      </c>
      <c r="AA583">
        <v>0.99317820000000001</v>
      </c>
      <c r="AB583">
        <v>50</v>
      </c>
      <c r="AC583">
        <v>0.52620000000001699</v>
      </c>
      <c r="AD583">
        <v>-0.105642</v>
      </c>
      <c r="AE583">
        <v>-0.110700000000008</v>
      </c>
      <c r="AF583">
        <v>9.2009185876349903E-2</v>
      </c>
      <c r="AG583">
        <v>-0.105642</v>
      </c>
      <c r="AH583">
        <v>0.50949349404197297</v>
      </c>
      <c r="AI583">
        <v>101.532691208899</v>
      </c>
      <c r="AJ583">
        <v>79.763312628900707</v>
      </c>
      <c r="AK583">
        <v>0.52840282258966598</v>
      </c>
      <c r="AL583">
        <v>86.0325982704734</v>
      </c>
      <c r="AM583">
        <v>89.015192427333801</v>
      </c>
      <c r="AN583">
        <v>0.99999998177342897</v>
      </c>
    </row>
    <row r="584" spans="1:40" x14ac:dyDescent="0.3">
      <c r="A584" t="str">
        <f>"20200111150734021"</f>
        <v>20200111150734021</v>
      </c>
      <c r="B584" t="str">
        <f>"1578726454011377"</f>
        <v>1578726454011377</v>
      </c>
      <c r="C584" t="s">
        <v>40</v>
      </c>
      <c r="D584">
        <v>5.7230019999999904</v>
      </c>
      <c r="E584">
        <v>0.54000619999999999</v>
      </c>
      <c r="F584" t="s">
        <v>41</v>
      </c>
      <c r="G584">
        <v>-224.34299999999999</v>
      </c>
      <c r="H584">
        <v>0.98157479999999997</v>
      </c>
      <c r="I584">
        <v>366.7928</v>
      </c>
      <c r="J584">
        <v>-225.00630000000001</v>
      </c>
      <c r="K584">
        <v>1.1075809999999999</v>
      </c>
      <c r="L584">
        <v>366.93119999999999</v>
      </c>
      <c r="M584">
        <v>0.99945010000000001</v>
      </c>
      <c r="N584">
        <v>0</v>
      </c>
      <c r="O584">
        <v>-2.974338E-2</v>
      </c>
      <c r="P584">
        <v>0.99730980000000002</v>
      </c>
      <c r="Q584">
        <v>5.5189439999999999E-2</v>
      </c>
      <c r="R584">
        <v>-4.8245280000000001E-2</v>
      </c>
      <c r="S584">
        <v>3.0081630000000001</v>
      </c>
      <c r="T584">
        <v>-0.39544560000000001</v>
      </c>
      <c r="U584">
        <v>-0.46231080000000002</v>
      </c>
      <c r="V584">
        <v>1.8877189999999999E-2</v>
      </c>
      <c r="W584">
        <v>6.9736409999999999E-2</v>
      </c>
      <c r="X584">
        <v>0.99738680000000002</v>
      </c>
      <c r="Y584">
        <v>0.12166159999999999</v>
      </c>
      <c r="Z584">
        <v>-4.0479189999999996E-3</v>
      </c>
      <c r="AA584">
        <v>0.99256339999999998</v>
      </c>
      <c r="AB584">
        <v>50</v>
      </c>
      <c r="AC584">
        <v>0.66330000000001998</v>
      </c>
      <c r="AD584">
        <v>-0.12600619999999901</v>
      </c>
      <c r="AE584">
        <v>-0.13839999999999</v>
      </c>
      <c r="AF584">
        <v>0.114643203461987</v>
      </c>
      <c r="AG584">
        <v>-0.12600619999999901</v>
      </c>
      <c r="AH584">
        <v>0.64482378626557602</v>
      </c>
      <c r="AI584">
        <v>100.89033784342899</v>
      </c>
      <c r="AJ584">
        <v>79.918724693596104</v>
      </c>
      <c r="AK584">
        <v>0.66694703078455897</v>
      </c>
      <c r="AL584">
        <v>86.001152262019403</v>
      </c>
      <c r="AM584">
        <v>88.9157123432324</v>
      </c>
      <c r="AN584">
        <v>0.99999997199811097</v>
      </c>
    </row>
    <row r="585" spans="1:40" x14ac:dyDescent="0.3">
      <c r="A585" t="str">
        <f>"20200111150734033"</f>
        <v>20200111150734033</v>
      </c>
      <c r="B585" t="str">
        <f>"1578726454031873"</f>
        <v>1578726454031873</v>
      </c>
      <c r="C585" t="s">
        <v>40</v>
      </c>
      <c r="D585">
        <v>4.9104039999999998</v>
      </c>
      <c r="E585">
        <v>0.53766979999999998</v>
      </c>
      <c r="F585" t="s">
        <v>41</v>
      </c>
      <c r="G585">
        <v>-223.9084</v>
      </c>
      <c r="H585">
        <v>0.96463449999999995</v>
      </c>
      <c r="I585">
        <v>366.75580000000002</v>
      </c>
      <c r="J585">
        <v>-224.71690000000001</v>
      </c>
      <c r="K585">
        <v>1.1074930000000001</v>
      </c>
      <c r="L585">
        <v>366.92189999999999</v>
      </c>
      <c r="M585">
        <v>0.99941590000000002</v>
      </c>
      <c r="N585">
        <v>0</v>
      </c>
      <c r="O585">
        <v>-3.0866830000000001E-2</v>
      </c>
      <c r="P585">
        <v>0.9970599</v>
      </c>
      <c r="Q585">
        <v>5.7313879999999998E-2</v>
      </c>
      <c r="R585">
        <v>-5.0859649999999999E-2</v>
      </c>
      <c r="S585">
        <v>3.006561</v>
      </c>
      <c r="T585">
        <v>-0.39154119999999998</v>
      </c>
      <c r="U585">
        <v>-0.47949219999999998</v>
      </c>
      <c r="V585">
        <v>2.0403609999999999E-2</v>
      </c>
      <c r="W585">
        <v>7.1848239999999994E-2</v>
      </c>
      <c r="X585">
        <v>0.99720690000000001</v>
      </c>
      <c r="Y585">
        <v>0.12614790000000001</v>
      </c>
      <c r="Z585">
        <v>-4.1532339999999996E-3</v>
      </c>
      <c r="AA585">
        <v>0.99200270000000002</v>
      </c>
      <c r="AB585">
        <v>50</v>
      </c>
      <c r="AC585">
        <v>0.80850000000000899</v>
      </c>
      <c r="AD585">
        <v>-0.1428585</v>
      </c>
      <c r="AE585">
        <v>-0.16609999999997099</v>
      </c>
      <c r="AF585">
        <v>0.136959426987731</v>
      </c>
      <c r="AG585">
        <v>-0.1428585</v>
      </c>
      <c r="AH585">
        <v>0.78958849918521901</v>
      </c>
      <c r="AI585">
        <v>100.107706078213</v>
      </c>
      <c r="AJ585">
        <v>80.159573146052395</v>
      </c>
      <c r="AK585">
        <v>0.81401255132130701</v>
      </c>
      <c r="AL585">
        <v>85.879849225986305</v>
      </c>
      <c r="AM585">
        <v>88.827848419397597</v>
      </c>
      <c r="AN585">
        <v>1.00000003914986</v>
      </c>
    </row>
    <row r="586" spans="1:40" x14ac:dyDescent="0.3">
      <c r="A586" t="str">
        <f>"20200111150734048"</f>
        <v>20200111150734048</v>
      </c>
      <c r="B586" t="str">
        <f>"1578726454041633"</f>
        <v>1578726454041633</v>
      </c>
      <c r="C586" t="s">
        <v>40</v>
      </c>
      <c r="D586">
        <v>5.3624669999999997</v>
      </c>
      <c r="E586">
        <v>0.53738209999999997</v>
      </c>
      <c r="F586" t="s">
        <v>41</v>
      </c>
      <c r="G586">
        <v>-223.8879</v>
      </c>
      <c r="H586">
        <v>1.005884</v>
      </c>
      <c r="I586">
        <v>366.7921</v>
      </c>
      <c r="J586">
        <v>-224.40280000000001</v>
      </c>
      <c r="K586">
        <v>1.107378</v>
      </c>
      <c r="L586">
        <v>366.91149999999999</v>
      </c>
      <c r="M586">
        <v>0.99937500000000001</v>
      </c>
      <c r="N586">
        <v>0</v>
      </c>
      <c r="O586">
        <v>-3.2159470000000002E-2</v>
      </c>
      <c r="P586">
        <v>0.99693339999999997</v>
      </c>
      <c r="Q586">
        <v>5.8648430000000001E-2</v>
      </c>
      <c r="R586">
        <v>-5.1805219999999999E-2</v>
      </c>
      <c r="S586">
        <v>3.0060579999999999</v>
      </c>
      <c r="T586">
        <v>-0.36859120000000001</v>
      </c>
      <c r="U586">
        <v>-0.46978760000000003</v>
      </c>
      <c r="V586">
        <v>2.009012E-2</v>
      </c>
      <c r="W586">
        <v>7.3179880000000003E-2</v>
      </c>
      <c r="X586">
        <v>0.99711640000000001</v>
      </c>
      <c r="Y586">
        <v>0.12189369999999999</v>
      </c>
      <c r="Z586">
        <v>-3.4981610000000001E-3</v>
      </c>
      <c r="AA586">
        <v>0.992537</v>
      </c>
      <c r="AB586">
        <v>50</v>
      </c>
      <c r="AC586">
        <v>0.51490000000001102</v>
      </c>
      <c r="AD586">
        <v>-0.101493999999999</v>
      </c>
      <c r="AE586">
        <v>-0.11939999999998401</v>
      </c>
      <c r="AF586">
        <v>9.9122751909398399E-2</v>
      </c>
      <c r="AG586">
        <v>-0.101493999999999</v>
      </c>
      <c r="AH586">
        <v>0.50003687630942595</v>
      </c>
      <c r="AI586">
        <v>101.26027925443</v>
      </c>
      <c r="AJ586">
        <v>78.787564922463204</v>
      </c>
      <c r="AK586">
        <v>0.51977228634410699</v>
      </c>
      <c r="AL586">
        <v>85.803350363616303</v>
      </c>
      <c r="AM586">
        <v>88.845748236245896</v>
      </c>
      <c r="AN586">
        <v>1.00000001145369</v>
      </c>
    </row>
    <row r="587" spans="1:40" x14ac:dyDescent="0.3">
      <c r="A587" t="str">
        <f>"20200111150734061"</f>
        <v>20200111150734061</v>
      </c>
      <c r="B587" t="str">
        <f>"1578726454051392"</f>
        <v>1578726454051392</v>
      </c>
      <c r="C587" t="s">
        <v>40</v>
      </c>
      <c r="D587">
        <v>6.5152039999999998</v>
      </c>
      <c r="E587">
        <v>0.53662710000000002</v>
      </c>
      <c r="F587" t="s">
        <v>41</v>
      </c>
      <c r="G587">
        <v>-223.452</v>
      </c>
      <c r="H587">
        <v>0.99253279999999999</v>
      </c>
      <c r="I587">
        <v>366.76229999999998</v>
      </c>
      <c r="J587">
        <v>-224.11179999999999</v>
      </c>
      <c r="K587">
        <v>1.1072550000000001</v>
      </c>
      <c r="L587">
        <v>366.9015</v>
      </c>
      <c r="M587">
        <v>0.99933380000000005</v>
      </c>
      <c r="N587">
        <v>0</v>
      </c>
      <c r="O587">
        <v>-3.3419400000000002E-2</v>
      </c>
      <c r="P587">
        <v>0.99681739999999996</v>
      </c>
      <c r="Q587">
        <v>6.0103190000000001E-2</v>
      </c>
      <c r="R587">
        <v>-5.2372380000000003E-2</v>
      </c>
      <c r="S587">
        <v>3.0060880000000001</v>
      </c>
      <c r="T587">
        <v>-0.36300739999999998</v>
      </c>
      <c r="U587">
        <v>-0.47155760000000002</v>
      </c>
      <c r="V587">
        <v>1.9432149999999999E-2</v>
      </c>
      <c r="W587">
        <v>7.4633089999999999E-2</v>
      </c>
      <c r="X587">
        <v>0.99702170000000001</v>
      </c>
      <c r="Y587">
        <v>0.12124459999999999</v>
      </c>
      <c r="Z587">
        <v>-3.2561059999999999E-3</v>
      </c>
      <c r="AA587">
        <v>0.99261730000000004</v>
      </c>
      <c r="AB587">
        <v>50</v>
      </c>
      <c r="AC587">
        <v>0.65979999999998995</v>
      </c>
      <c r="AD587">
        <v>-0.114722199999999</v>
      </c>
      <c r="AE587">
        <v>-0.13920000000001601</v>
      </c>
      <c r="AF587">
        <v>0.113776591849595</v>
      </c>
      <c r="AG587">
        <v>-0.114722199999999</v>
      </c>
      <c r="AH587">
        <v>0.64540332324311001</v>
      </c>
      <c r="AI587">
        <v>99.929216485056102</v>
      </c>
      <c r="AJ587">
        <v>80.002189276172004</v>
      </c>
      <c r="AK587">
        <v>0.66532078404255401</v>
      </c>
      <c r="AL587">
        <v>85.7198591250215</v>
      </c>
      <c r="AM587">
        <v>88.883435300461997</v>
      </c>
      <c r="AN587">
        <v>0.99999998842372995</v>
      </c>
    </row>
    <row r="588" spans="1:40" x14ac:dyDescent="0.3">
      <c r="A588" t="str">
        <f>"20200111150734073"</f>
        <v>20200111150734073</v>
      </c>
      <c r="B588" t="str">
        <f>"1578726454071890"</f>
        <v>1578726454071890</v>
      </c>
      <c r="C588" t="s">
        <v>40</v>
      </c>
      <c r="D588">
        <v>5.3274059999999999</v>
      </c>
      <c r="E588">
        <v>0.53624729999999998</v>
      </c>
      <c r="F588" t="s">
        <v>41</v>
      </c>
      <c r="G588">
        <v>-223.01509999999999</v>
      </c>
      <c r="H588">
        <v>0.98165550000000001</v>
      </c>
      <c r="I588">
        <v>366.73070000000001</v>
      </c>
      <c r="J588">
        <v>-223.83840000000001</v>
      </c>
      <c r="K588">
        <v>1.1071249999999999</v>
      </c>
      <c r="L588">
        <v>366.89159999999998</v>
      </c>
      <c r="M588">
        <v>0.9992896</v>
      </c>
      <c r="N588">
        <v>0</v>
      </c>
      <c r="O588">
        <v>-3.4713399999999998E-2</v>
      </c>
      <c r="P588">
        <v>0.99669090000000005</v>
      </c>
      <c r="Q588">
        <v>6.1726700000000002E-2</v>
      </c>
      <c r="R588">
        <v>-5.2889489999999997E-2</v>
      </c>
      <c r="S588">
        <v>3.005798</v>
      </c>
      <c r="T588">
        <v>-0.3443502</v>
      </c>
      <c r="U588">
        <v>-0.46734619999999999</v>
      </c>
      <c r="V588">
        <v>1.8694889999999999E-2</v>
      </c>
      <c r="W588">
        <v>7.6256389999999993E-2</v>
      </c>
      <c r="X588">
        <v>0.99691300000000005</v>
      </c>
      <c r="Y588">
        <v>0.1187023</v>
      </c>
      <c r="Z588">
        <v>-2.7995139999999999E-3</v>
      </c>
      <c r="AA588">
        <v>0.99292590000000003</v>
      </c>
      <c r="AB588">
        <v>49</v>
      </c>
      <c r="AC588">
        <v>0.82330000000001702</v>
      </c>
      <c r="AD588">
        <v>-0.12546949999999901</v>
      </c>
      <c r="AE588">
        <v>-0.16089999999996901</v>
      </c>
      <c r="AF588">
        <v>0.12932723308640501</v>
      </c>
      <c r="AG588">
        <v>-0.12546949999999901</v>
      </c>
      <c r="AH588">
        <v>0.81026344103285097</v>
      </c>
      <c r="AI588">
        <v>98.694020210497001</v>
      </c>
      <c r="AJ588">
        <v>80.931437160246105</v>
      </c>
      <c r="AK588">
        <v>0.83005721039120595</v>
      </c>
      <c r="AL588">
        <v>85.626585236235996</v>
      </c>
      <c r="AM588">
        <v>88.925670785006702</v>
      </c>
      <c r="AN588">
        <v>1.0000000327484699</v>
      </c>
    </row>
    <row r="589" spans="1:40" x14ac:dyDescent="0.3">
      <c r="A589" t="str">
        <f>"20200111150734087"</f>
        <v>20200111150734087</v>
      </c>
      <c r="B589" t="str">
        <f>"1578726454081650"</f>
        <v>1578726454081650</v>
      </c>
      <c r="C589" t="s">
        <v>40</v>
      </c>
      <c r="D589">
        <v>4.6727610000000004</v>
      </c>
      <c r="E589">
        <v>0.53459630000000002</v>
      </c>
      <c r="F589" t="s">
        <v>41</v>
      </c>
      <c r="G589">
        <v>-222.9992</v>
      </c>
      <c r="H589">
        <v>1.0128889999999999</v>
      </c>
      <c r="I589">
        <v>366.7611</v>
      </c>
      <c r="J589">
        <v>-223.5352</v>
      </c>
      <c r="K589">
        <v>1.106967</v>
      </c>
      <c r="L589">
        <v>366.8802</v>
      </c>
      <c r="M589">
        <v>0.99923530000000005</v>
      </c>
      <c r="N589">
        <v>0</v>
      </c>
      <c r="O589">
        <v>-3.624119E-2</v>
      </c>
      <c r="P589">
        <v>0.99657180000000001</v>
      </c>
      <c r="Q589">
        <v>6.3057840000000004E-2</v>
      </c>
      <c r="R589">
        <v>-5.3556529999999998E-2</v>
      </c>
      <c r="S589">
        <v>3.006119</v>
      </c>
      <c r="T589">
        <v>-0.33768130000000002</v>
      </c>
      <c r="U589">
        <v>-0.4665222</v>
      </c>
      <c r="V589">
        <v>1.787826E-2</v>
      </c>
      <c r="W589">
        <v>7.7586639999999998E-2</v>
      </c>
      <c r="X589">
        <v>0.99682530000000003</v>
      </c>
      <c r="Y589">
        <v>0.11694300000000001</v>
      </c>
      <c r="Z589">
        <v>-2.4776960000000002E-3</v>
      </c>
      <c r="AA589">
        <v>0.99313549999999995</v>
      </c>
      <c r="AB589">
        <v>49</v>
      </c>
      <c r="AC589">
        <v>0.53600000000000103</v>
      </c>
      <c r="AD589">
        <v>-9.4078000000000106E-2</v>
      </c>
      <c r="AE589">
        <v>-0.119100000000003</v>
      </c>
      <c r="AF589">
        <v>9.6753936116491301E-2</v>
      </c>
      <c r="AG589">
        <v>-9.4078000000000106E-2</v>
      </c>
      <c r="AH589">
        <v>0.52456478277333796</v>
      </c>
      <c r="AI589">
        <v>100.002383348452</v>
      </c>
      <c r="AJ589">
        <v>79.549469983480705</v>
      </c>
      <c r="AK589">
        <v>0.54164583037633796</v>
      </c>
      <c r="AL589">
        <v>85.550140878302301</v>
      </c>
      <c r="AM589">
        <v>88.972498962787398</v>
      </c>
      <c r="AN589">
        <v>0.99999999880360302</v>
      </c>
    </row>
    <row r="590" spans="1:40" x14ac:dyDescent="0.3">
      <c r="A590" t="str">
        <f>"20200111150734101"</f>
        <v>20200111150734101</v>
      </c>
      <c r="B590" t="str">
        <f>"1578726454091409"</f>
        <v>1578726454091409</v>
      </c>
      <c r="C590" t="s">
        <v>40</v>
      </c>
      <c r="D590">
        <v>5.4152630000000004</v>
      </c>
      <c r="E590">
        <v>0.53448999999999902</v>
      </c>
      <c r="F590" t="s">
        <v>41</v>
      </c>
      <c r="G590">
        <v>-222.5643</v>
      </c>
      <c r="H590">
        <v>0.99845700000000004</v>
      </c>
      <c r="I590">
        <v>366.733</v>
      </c>
      <c r="J590">
        <v>-223.23820000000001</v>
      </c>
      <c r="K590">
        <v>1.106806</v>
      </c>
      <c r="L590">
        <v>366.86869999999999</v>
      </c>
      <c r="M590">
        <v>0.99917679999999998</v>
      </c>
      <c r="N590">
        <v>0</v>
      </c>
      <c r="O590">
        <v>-3.7821100000000003E-2</v>
      </c>
      <c r="P590">
        <v>0.99646140000000005</v>
      </c>
      <c r="Q590">
        <v>6.5101909999999999E-2</v>
      </c>
      <c r="R590">
        <v>-5.3165660000000003E-2</v>
      </c>
      <c r="S590">
        <v>3.0071110000000001</v>
      </c>
      <c r="T590">
        <v>-0.33611220000000003</v>
      </c>
      <c r="U590">
        <v>-0.4558411</v>
      </c>
      <c r="V590">
        <v>1.5959560000000001E-2</v>
      </c>
      <c r="W590">
        <v>7.9636390000000001E-2</v>
      </c>
      <c r="X590">
        <v>0.99669620000000003</v>
      </c>
      <c r="Y590">
        <v>0.1119199</v>
      </c>
      <c r="Z590">
        <v>-2.0130289999999999E-3</v>
      </c>
      <c r="AA590">
        <v>0.99371520000000002</v>
      </c>
      <c r="AB590">
        <v>49</v>
      </c>
      <c r="AC590">
        <v>0.67390000000000305</v>
      </c>
      <c r="AD590">
        <v>-0.108349</v>
      </c>
      <c r="AE590">
        <v>-0.135699999999985</v>
      </c>
      <c r="AF590">
        <v>0.107443335641405</v>
      </c>
      <c r="AG590">
        <v>-0.108349</v>
      </c>
      <c r="AH590">
        <v>0.66210228107904801</v>
      </c>
      <c r="AI590">
        <v>99.175780186279695</v>
      </c>
      <c r="AJ590">
        <v>80.782616086723706</v>
      </c>
      <c r="AK590">
        <v>0.67945787712324701</v>
      </c>
      <c r="AL590">
        <v>85.432334213429797</v>
      </c>
      <c r="AM590">
        <v>89.082631908106805</v>
      </c>
      <c r="AN590">
        <v>0.99999998863103201</v>
      </c>
    </row>
    <row r="591" spans="1:40" x14ac:dyDescent="0.3">
      <c r="A591" t="str">
        <f>"20200111150734114"</f>
        <v>20200111150734114</v>
      </c>
      <c r="B591" t="str">
        <f>"1578726454111906"</f>
        <v>1578726454111906</v>
      </c>
      <c r="C591" t="s">
        <v>40</v>
      </c>
      <c r="D591">
        <v>5.4253070000000001</v>
      </c>
      <c r="E591">
        <v>0.53473079999999995</v>
      </c>
      <c r="F591" t="s">
        <v>41</v>
      </c>
      <c r="G591">
        <v>-222.1293</v>
      </c>
      <c r="H591">
        <v>0.98471059999999999</v>
      </c>
      <c r="I591">
        <v>366.70100000000002</v>
      </c>
      <c r="J591">
        <v>-222.93440000000001</v>
      </c>
      <c r="K591">
        <v>1.1066149999999999</v>
      </c>
      <c r="L591">
        <v>366.85610000000003</v>
      </c>
      <c r="M591">
        <v>0.99910779999999999</v>
      </c>
      <c r="N591">
        <v>0</v>
      </c>
      <c r="O591">
        <v>-3.9600940000000001E-2</v>
      </c>
      <c r="P591">
        <v>0.99640030000000002</v>
      </c>
      <c r="Q591">
        <v>6.542663E-2</v>
      </c>
      <c r="R591">
        <v>-5.3906660000000002E-2</v>
      </c>
      <c r="S591">
        <v>3.008057</v>
      </c>
      <c r="T591">
        <v>-0.33122879999999999</v>
      </c>
      <c r="U591">
        <v>-0.45428469999999999</v>
      </c>
      <c r="V591">
        <v>1.4964720000000001E-2</v>
      </c>
      <c r="W591">
        <v>7.9961989999999997E-2</v>
      </c>
      <c r="X591">
        <v>0.99668559999999995</v>
      </c>
      <c r="Y591">
        <v>0.1096377</v>
      </c>
      <c r="Z591">
        <v>-1.664904E-3</v>
      </c>
      <c r="AA591">
        <v>0.99397020000000003</v>
      </c>
      <c r="AB591">
        <v>49</v>
      </c>
      <c r="AC591">
        <v>0.80510000000001003</v>
      </c>
      <c r="AD591">
        <v>-0.121904399999999</v>
      </c>
      <c r="AE591">
        <v>-0.15510000000006099</v>
      </c>
      <c r="AF591">
        <v>0.120429917072968</v>
      </c>
      <c r="AG591">
        <v>-0.121904399999999</v>
      </c>
      <c r="AH591">
        <v>0.79307916400344303</v>
      </c>
      <c r="AI591">
        <v>98.641018484340805</v>
      </c>
      <c r="AJ591">
        <v>81.365538151022406</v>
      </c>
      <c r="AK591">
        <v>0.811380680101493</v>
      </c>
      <c r="AL591">
        <v>85.413619186245199</v>
      </c>
      <c r="AM591">
        <v>89.139798070812702</v>
      </c>
      <c r="AN591">
        <v>1.0000000239683899</v>
      </c>
    </row>
    <row r="592" spans="1:40" x14ac:dyDescent="0.3">
      <c r="A592" t="str">
        <f>"20200111150734142"</f>
        <v>20200111150734142</v>
      </c>
      <c r="B592" t="str">
        <f>"1578726454131426"</f>
        <v>1578726454131426</v>
      </c>
      <c r="C592" t="s">
        <v>40</v>
      </c>
      <c r="D592">
        <v>4.7554360000000004</v>
      </c>
      <c r="E592">
        <v>0.53473079999999995</v>
      </c>
      <c r="F592" t="s">
        <v>41</v>
      </c>
      <c r="G592">
        <v>-222.11320000000001</v>
      </c>
      <c r="H592">
        <v>1.015838</v>
      </c>
      <c r="I592">
        <v>366.73059999999998</v>
      </c>
      <c r="J592">
        <v>-222.32839999999999</v>
      </c>
      <c r="K592">
        <v>1.106196</v>
      </c>
      <c r="L592">
        <v>366.82929999999999</v>
      </c>
      <c r="M592">
        <v>0.99894579999999999</v>
      </c>
      <c r="N592">
        <v>0</v>
      </c>
      <c r="O592">
        <v>-4.349273E-2</v>
      </c>
      <c r="P592">
        <v>0.99640300000000004</v>
      </c>
      <c r="Q592">
        <v>6.4142340000000006E-2</v>
      </c>
      <c r="R592">
        <v>-5.5378730000000001E-2</v>
      </c>
      <c r="S592">
        <v>3.0078130000000001</v>
      </c>
      <c r="T592">
        <v>-0.33251019999999998</v>
      </c>
      <c r="U592">
        <v>-0.45910640000000003</v>
      </c>
      <c r="V592">
        <v>1.2618330000000001E-2</v>
      </c>
      <c r="W592">
        <v>7.8688079999999994E-2</v>
      </c>
      <c r="X592">
        <v>0.99681940000000002</v>
      </c>
      <c r="Y592">
        <v>0.1073684</v>
      </c>
      <c r="Z592">
        <v>-1.121358E-3</v>
      </c>
      <c r="AA592">
        <v>0.99421859999999995</v>
      </c>
      <c r="AB592">
        <v>49</v>
      </c>
      <c r="AC592">
        <v>0.21519999999998099</v>
      </c>
      <c r="AD592">
        <v>-9.0357999999999897E-2</v>
      </c>
      <c r="AE592">
        <v>-9.8700000000008004E-2</v>
      </c>
      <c r="AF592">
        <v>7.7899237215019901E-2</v>
      </c>
      <c r="AG592">
        <v>-9.0357999999999897E-2</v>
      </c>
      <c r="AH592">
        <v>0.19140911319537701</v>
      </c>
      <c r="AI592">
        <v>113.617047208044</v>
      </c>
      <c r="AJ592">
        <v>67.854773860802197</v>
      </c>
      <c r="AK592">
        <v>0.22554446997637201</v>
      </c>
      <c r="AL592">
        <v>85.486839371805104</v>
      </c>
      <c r="AM592">
        <v>89.274754844645301</v>
      </c>
      <c r="AN592">
        <v>0.99999997620121694</v>
      </c>
    </row>
    <row r="593" spans="1:40" x14ac:dyDescent="0.3">
      <c r="A593" t="str">
        <f>"20200111150734168"</f>
        <v>20200111150734168</v>
      </c>
      <c r="B593" t="str">
        <f>"1578726454161681"</f>
        <v>1578726454161681</v>
      </c>
      <c r="C593" t="s">
        <v>40</v>
      </c>
      <c r="D593">
        <v>5.1722060000000001</v>
      </c>
      <c r="E593">
        <v>0.57127510000000004</v>
      </c>
      <c r="F593" t="s">
        <v>41</v>
      </c>
      <c r="G593">
        <v>-221.24600000000001</v>
      </c>
      <c r="H593">
        <v>0.98528439999999995</v>
      </c>
      <c r="I593">
        <v>366.66210000000001</v>
      </c>
      <c r="J593">
        <v>-221.74529999999999</v>
      </c>
      <c r="K593">
        <v>1.1057680000000001</v>
      </c>
      <c r="L593">
        <v>366.80090000000001</v>
      </c>
      <c r="M593">
        <v>0.99875069999999999</v>
      </c>
      <c r="N593">
        <v>0</v>
      </c>
      <c r="O593">
        <v>-4.7764300000000003E-2</v>
      </c>
      <c r="P593">
        <v>0.99633780000000005</v>
      </c>
      <c r="Q593">
        <v>6.2638669999999994E-2</v>
      </c>
      <c r="R593">
        <v>-5.820434E-2</v>
      </c>
      <c r="S593">
        <v>3.0066380000000001</v>
      </c>
      <c r="T593">
        <v>-0.33595540000000002</v>
      </c>
      <c r="U593">
        <v>-0.46432499999999999</v>
      </c>
      <c r="V593">
        <v>1.1243970000000001E-2</v>
      </c>
      <c r="W593">
        <v>7.7192999999999998E-2</v>
      </c>
      <c r="X593">
        <v>0.99695279999999997</v>
      </c>
      <c r="Y593">
        <v>0.10489320000000001</v>
      </c>
      <c r="Z593">
        <v>-5.2429319999999996E-4</v>
      </c>
      <c r="AA593">
        <v>0.99448340000000002</v>
      </c>
      <c r="AB593">
        <v>49</v>
      </c>
      <c r="AC593">
        <v>0.49930000000000502</v>
      </c>
      <c r="AD593">
        <v>-0.1204836</v>
      </c>
      <c r="AE593">
        <v>-0.138800000000003</v>
      </c>
      <c r="AF593">
        <v>0.10890387781354199</v>
      </c>
      <c r="AG593">
        <v>-0.1204836</v>
      </c>
      <c r="AH593">
        <v>0.47944579539119397</v>
      </c>
      <c r="AI593">
        <v>103.769291643906</v>
      </c>
      <c r="AJ593">
        <v>77.202674438478397</v>
      </c>
      <c r="AK593">
        <v>0.506206107420763</v>
      </c>
      <c r="AL593">
        <v>85.572762797774502</v>
      </c>
      <c r="AM593">
        <v>89.353826266974195</v>
      </c>
      <c r="AN593">
        <v>1.0000000357690899</v>
      </c>
    </row>
    <row r="594" spans="1:40" x14ac:dyDescent="0.3">
      <c r="A594" t="str">
        <f>"20200111150734181"</f>
        <v>20200111150734181</v>
      </c>
      <c r="B594" t="str">
        <f>"1578726454171441"</f>
        <v>1578726454171441</v>
      </c>
      <c r="C594" t="s">
        <v>40</v>
      </c>
      <c r="D594">
        <v>5.3608570000000002</v>
      </c>
      <c r="E594">
        <v>0.57127510000000004</v>
      </c>
      <c r="F594" t="s">
        <v>42</v>
      </c>
      <c r="G594">
        <v>-158.78319999999999</v>
      </c>
      <c r="H594">
        <v>19.45018</v>
      </c>
      <c r="I594">
        <v>351.33260000000001</v>
      </c>
      <c r="J594">
        <v>-221.4759</v>
      </c>
      <c r="K594">
        <v>1.105569</v>
      </c>
      <c r="L594">
        <v>366.78699999999998</v>
      </c>
      <c r="M594">
        <v>0.99864799999999998</v>
      </c>
      <c r="N594">
        <v>0</v>
      </c>
      <c r="O594">
        <v>-4.9864779999999997E-2</v>
      </c>
      <c r="P594">
        <v>0.996193</v>
      </c>
      <c r="Q594">
        <v>6.2658829999999999E-2</v>
      </c>
      <c r="R594">
        <v>-6.0611419999999999E-2</v>
      </c>
      <c r="S594">
        <v>2.9157709999999999</v>
      </c>
      <c r="T594">
        <v>0.84953089999999998</v>
      </c>
      <c r="U594">
        <v>-0.71633910000000001</v>
      </c>
      <c r="V594">
        <v>1.159368E-2</v>
      </c>
      <c r="W594">
        <v>7.7208200000000005E-2</v>
      </c>
      <c r="X594">
        <v>0.99694760000000004</v>
      </c>
      <c r="Y594">
        <v>0.18458250000000001</v>
      </c>
      <c r="Z594">
        <v>1.1965959999999999E-2</v>
      </c>
      <c r="AA594">
        <v>0.98274419999999996</v>
      </c>
      <c r="AB594">
        <v>49</v>
      </c>
      <c r="AC594">
        <v>62.692700000000002</v>
      </c>
      <c r="AD594">
        <v>18.344610999999901</v>
      </c>
      <c r="AE594">
        <v>-15.4543999999999</v>
      </c>
      <c r="AF594">
        <v>11.389364470612801</v>
      </c>
      <c r="AG594">
        <v>18.344610999999901</v>
      </c>
      <c r="AH594">
        <v>58.651273425372402</v>
      </c>
      <c r="AI594">
        <v>72.931481242857501</v>
      </c>
      <c r="AJ594">
        <v>79.010626206906906</v>
      </c>
      <c r="AK594">
        <v>62.499714000974301</v>
      </c>
      <c r="AL594">
        <v>85.571889217790698</v>
      </c>
      <c r="AM594">
        <v>89.333727278436399</v>
      </c>
      <c r="AN594">
        <v>1.0000000183544699</v>
      </c>
    </row>
    <row r="595" spans="1:40" x14ac:dyDescent="0.3">
      <c r="A595" t="str">
        <f>"20200111150734193"</f>
        <v>20200111150734193</v>
      </c>
      <c r="B595" t="str">
        <f>"1578726454181202"</f>
        <v>1578726454181202</v>
      </c>
      <c r="C595" t="s">
        <v>40</v>
      </c>
      <c r="D595">
        <v>5.3424129999999996</v>
      </c>
      <c r="E595">
        <v>0.6256176</v>
      </c>
      <c r="F595" t="s">
        <v>42</v>
      </c>
      <c r="G595">
        <v>-158.78319999999999</v>
      </c>
      <c r="H595">
        <v>19.371949999999998</v>
      </c>
      <c r="I595">
        <v>351.21870000000001</v>
      </c>
      <c r="J595">
        <v>-221.1808</v>
      </c>
      <c r="K595">
        <v>1.1053539999999999</v>
      </c>
      <c r="L595">
        <v>366.77080000000001</v>
      </c>
      <c r="M595">
        <v>0.99852180000000001</v>
      </c>
      <c r="N595">
        <v>0</v>
      </c>
      <c r="O595">
        <v>-5.2328050000000001E-2</v>
      </c>
      <c r="P595">
        <v>0.99598920000000002</v>
      </c>
      <c r="Q595">
        <v>6.3114599999999896E-2</v>
      </c>
      <c r="R595">
        <v>-6.3420889999999994E-2</v>
      </c>
      <c r="S595">
        <v>2.9140169999999999</v>
      </c>
      <c r="T595">
        <v>0.8490413</v>
      </c>
      <c r="U595">
        <v>-0.72363279999999996</v>
      </c>
      <c r="V595">
        <v>1.199393E-2</v>
      </c>
      <c r="W595">
        <v>7.7658889999999994E-2</v>
      </c>
      <c r="X595">
        <v>0.99690780000000001</v>
      </c>
      <c r="Y595">
        <v>0.18471180000000001</v>
      </c>
      <c r="Z595">
        <v>1.1290680000000001E-2</v>
      </c>
      <c r="AA595">
        <v>0.98272789999999999</v>
      </c>
      <c r="AB595">
        <v>49</v>
      </c>
      <c r="AC595">
        <v>62.397599999999997</v>
      </c>
      <c r="AD595">
        <v>18.266596</v>
      </c>
      <c r="AE595">
        <v>-15.5520999999999</v>
      </c>
      <c r="AF595">
        <v>11.3495279036058</v>
      </c>
      <c r="AG595">
        <v>18.266596</v>
      </c>
      <c r="AH595">
        <v>58.412819166652397</v>
      </c>
      <c r="AI595">
        <v>72.934834961669793</v>
      </c>
      <c r="AJ595">
        <v>79.004512233346404</v>
      </c>
      <c r="AK595">
        <v>62.245785046523203</v>
      </c>
      <c r="AL595">
        <v>85.545988555525796</v>
      </c>
      <c r="AM595">
        <v>89.310700132347193</v>
      </c>
      <c r="AN595">
        <v>0.99999995962685695</v>
      </c>
    </row>
    <row r="596" spans="1:40" x14ac:dyDescent="0.3">
      <c r="A596" t="str">
        <f>"20200111150734206"</f>
        <v>20200111150734206</v>
      </c>
      <c r="B596" t="str">
        <f>"1578726454201697"</f>
        <v>1578726454201697</v>
      </c>
      <c r="C596" t="s">
        <v>40</v>
      </c>
      <c r="D596">
        <v>5.2988200000000001</v>
      </c>
      <c r="E596">
        <v>0.6235967</v>
      </c>
      <c r="F596" t="s">
        <v>43</v>
      </c>
      <c r="G596">
        <v>-211.99010000000001</v>
      </c>
      <c r="H596" s="1">
        <v>-4.5911769999999998E-6</v>
      </c>
      <c r="I596">
        <v>363.00580000000002</v>
      </c>
      <c r="J596">
        <v>-220.91630000000001</v>
      </c>
      <c r="K596">
        <v>1.105159</v>
      </c>
      <c r="L596">
        <v>366.75569999999999</v>
      </c>
      <c r="M596">
        <v>0.99839920000000004</v>
      </c>
      <c r="N596">
        <v>0</v>
      </c>
      <c r="O596">
        <v>-5.4616539999999998E-2</v>
      </c>
      <c r="P596">
        <v>0.99574019999999996</v>
      </c>
      <c r="Q596">
        <v>6.3754019999999995E-2</v>
      </c>
      <c r="R596">
        <v>-6.661048E-2</v>
      </c>
      <c r="S596">
        <v>2.9574889999999998</v>
      </c>
      <c r="T596">
        <v>-0.3556917</v>
      </c>
      <c r="U596">
        <v>-1.2115479999999901</v>
      </c>
      <c r="V596">
        <v>1.294813E-2</v>
      </c>
      <c r="W596">
        <v>7.8286389999999997E-2</v>
      </c>
      <c r="X596">
        <v>0.99684680000000003</v>
      </c>
      <c r="Y596">
        <v>0.32629950000000002</v>
      </c>
      <c r="Z596">
        <v>-1.2525440000000001E-2</v>
      </c>
      <c r="AA596">
        <v>0.94518349999999995</v>
      </c>
      <c r="AB596">
        <v>49</v>
      </c>
      <c r="AC596">
        <v>8.9261999999999908</v>
      </c>
      <c r="AD596">
        <v>-1.1051635911769999</v>
      </c>
      <c r="AE596">
        <v>-3.7498999999999598</v>
      </c>
      <c r="AF596">
        <v>3.2148424919248701</v>
      </c>
      <c r="AG596">
        <v>-1.1051635911769999</v>
      </c>
      <c r="AH596">
        <v>9.0004298661051596</v>
      </c>
      <c r="AI596">
        <v>96.596097943996298</v>
      </c>
      <c r="AJ596">
        <v>70.343899294769898</v>
      </c>
      <c r="AK596">
        <v>9.6210361492838494</v>
      </c>
      <c r="AL596">
        <v>85.509925740063693</v>
      </c>
      <c r="AM596">
        <v>89.255821974094104</v>
      </c>
      <c r="AN596">
        <v>0.99999997779998395</v>
      </c>
    </row>
    <row r="597" spans="1:40" x14ac:dyDescent="0.3">
      <c r="A597" t="str">
        <f>"20200111150734218"</f>
        <v>20200111150734218</v>
      </c>
      <c r="B597" t="str">
        <f>"1578726454212011"</f>
        <v>1578726454212011</v>
      </c>
      <c r="C597" t="s">
        <v>40</v>
      </c>
      <c r="D597">
        <v>5.3373900000000001</v>
      </c>
      <c r="E597">
        <v>0.62488619999999995</v>
      </c>
      <c r="F597" t="s">
        <v>43</v>
      </c>
      <c r="G597">
        <v>-211.7919</v>
      </c>
      <c r="H597" s="1">
        <v>-4.6709329999999999E-6</v>
      </c>
      <c r="I597">
        <v>363.03539999999998</v>
      </c>
      <c r="J597">
        <v>-220.62219999999999</v>
      </c>
      <c r="K597">
        <v>1.1049450000000001</v>
      </c>
      <c r="L597">
        <v>366.73849999999999</v>
      </c>
      <c r="M597">
        <v>0.99825249999999999</v>
      </c>
      <c r="N597">
        <v>0</v>
      </c>
      <c r="O597">
        <v>-5.7235279999999999E-2</v>
      </c>
      <c r="P597">
        <v>0.995533</v>
      </c>
      <c r="Q597">
        <v>6.346984E-2</v>
      </c>
      <c r="R597">
        <v>-6.9899180000000005E-2</v>
      </c>
      <c r="S597">
        <v>2.9551539999999998</v>
      </c>
      <c r="T597">
        <v>-0.35793069999999999</v>
      </c>
      <c r="U597">
        <v>-1.204895</v>
      </c>
      <c r="V597">
        <v>1.366326E-2</v>
      </c>
      <c r="W597">
        <v>7.7993080000000006E-2</v>
      </c>
      <c r="X597">
        <v>0.99686030000000003</v>
      </c>
      <c r="Y597">
        <v>0.3222739</v>
      </c>
      <c r="Z597">
        <v>-1.2082290000000001E-2</v>
      </c>
      <c r="AA597">
        <v>0.94656940000000001</v>
      </c>
      <c r="AB597">
        <v>49</v>
      </c>
      <c r="AC597">
        <v>8.8302999999999905</v>
      </c>
      <c r="AD597">
        <v>-1.104949670933</v>
      </c>
      <c r="AE597">
        <v>-3.7031000000000001</v>
      </c>
      <c r="AF597">
        <v>3.1496282431343601</v>
      </c>
      <c r="AG597">
        <v>-1.104949670933</v>
      </c>
      <c r="AH597">
        <v>8.9091572933688692</v>
      </c>
      <c r="AI597">
        <v>96.669420244607593</v>
      </c>
      <c r="AJ597">
        <v>70.5301200503893</v>
      </c>
      <c r="AK597">
        <v>9.5138927639127999</v>
      </c>
      <c r="AL597">
        <v>85.526782947691203</v>
      </c>
      <c r="AM597">
        <v>89.214736392472602</v>
      </c>
      <c r="AN597">
        <v>1.0000000314588999</v>
      </c>
    </row>
    <row r="598" spans="1:40" x14ac:dyDescent="0.3">
      <c r="A598" t="str">
        <f>"20200111150734231"</f>
        <v>20200111150734231</v>
      </c>
      <c r="B598" t="str">
        <f>"1578726454221770"</f>
        <v>1578726454221770</v>
      </c>
      <c r="C598" t="s">
        <v>40</v>
      </c>
      <c r="D598">
        <v>5.342257</v>
      </c>
      <c r="E598">
        <v>0.62565979999999999</v>
      </c>
      <c r="F598" t="s">
        <v>43</v>
      </c>
      <c r="G598">
        <v>-211.55240000000001</v>
      </c>
      <c r="H598" s="1">
        <v>-4.7850699999999997E-6</v>
      </c>
      <c r="I598">
        <v>362.97120000000001</v>
      </c>
      <c r="J598">
        <v>-220.3468</v>
      </c>
      <c r="K598">
        <v>1.1047480000000001</v>
      </c>
      <c r="L598">
        <v>366.72109999999998</v>
      </c>
      <c r="M598">
        <v>0.99810019999999999</v>
      </c>
      <c r="N598">
        <v>0</v>
      </c>
      <c r="O598">
        <v>-5.9829239999999999E-2</v>
      </c>
      <c r="P598">
        <v>0.99530130000000006</v>
      </c>
      <c r="Q598">
        <v>6.3174579999999994E-2</v>
      </c>
      <c r="R598">
        <v>-7.3379199999999895E-2</v>
      </c>
      <c r="S598">
        <v>2.9503330000000001</v>
      </c>
      <c r="T598">
        <v>-0.35942800000000003</v>
      </c>
      <c r="U598">
        <v>-1.2254640000000001</v>
      </c>
      <c r="V598">
        <v>1.459074E-2</v>
      </c>
      <c r="W598">
        <v>7.7685989999999996E-2</v>
      </c>
      <c r="X598">
        <v>0.99687110000000001</v>
      </c>
      <c r="Y598">
        <v>0.32597569999999998</v>
      </c>
      <c r="Z598">
        <v>-1.205118E-2</v>
      </c>
      <c r="AA598">
        <v>0.94530139999999996</v>
      </c>
      <c r="AB598">
        <v>49</v>
      </c>
      <c r="AC598">
        <v>8.7943999999999907</v>
      </c>
      <c r="AD598">
        <v>-1.1047527850700001</v>
      </c>
      <c r="AE598">
        <v>-3.7498999999999598</v>
      </c>
      <c r="AF598">
        <v>3.1745727703726998</v>
      </c>
      <c r="AG598">
        <v>-1.1047527850700001</v>
      </c>
      <c r="AH598">
        <v>8.8843899936880693</v>
      </c>
      <c r="AI598">
        <v>96.678736980751793</v>
      </c>
      <c r="AJ598">
        <v>70.337160533253098</v>
      </c>
      <c r="AK598">
        <v>9.4989881856151595</v>
      </c>
      <c r="AL598">
        <v>85.544431298832293</v>
      </c>
      <c r="AM598">
        <v>89.161448122773393</v>
      </c>
      <c r="AN598">
        <v>0.99999999637561798</v>
      </c>
    </row>
    <row r="599" spans="1:40" x14ac:dyDescent="0.3">
      <c r="A599" t="str">
        <f>"20200111150734245"</f>
        <v>20200111150734245</v>
      </c>
      <c r="B599" t="str">
        <f>"1578726454241291"</f>
        <v>1578726454241291</v>
      </c>
      <c r="C599" t="s">
        <v>40</v>
      </c>
      <c r="D599">
        <v>5.3470300000000002</v>
      </c>
      <c r="E599">
        <v>0.62917889999999999</v>
      </c>
      <c r="F599" t="s">
        <v>43</v>
      </c>
      <c r="G599">
        <v>-211.1841</v>
      </c>
      <c r="H599" s="1">
        <v>-4.9634749999999999E-6</v>
      </c>
      <c r="I599">
        <v>362.8562</v>
      </c>
      <c r="J599">
        <v>-220.0701</v>
      </c>
      <c r="K599">
        <v>1.104554</v>
      </c>
      <c r="L599">
        <v>366.70319999999998</v>
      </c>
      <c r="M599">
        <v>0.99793719999999997</v>
      </c>
      <c r="N599">
        <v>0</v>
      </c>
      <c r="O599">
        <v>-6.2489070000000001E-2</v>
      </c>
      <c r="P599">
        <v>0.99506779999999995</v>
      </c>
      <c r="Q599">
        <v>6.2639970000000003E-2</v>
      </c>
      <c r="R599">
        <v>-7.6917379999999994E-2</v>
      </c>
      <c r="S599">
        <v>2.9450989999999999</v>
      </c>
      <c r="T599">
        <v>-0.35508679999999998</v>
      </c>
      <c r="U599">
        <v>-1.2422489999999999</v>
      </c>
      <c r="V599">
        <v>1.5507089999999999E-2</v>
      </c>
      <c r="W599">
        <v>7.7139269999999996E-2</v>
      </c>
      <c r="X599">
        <v>0.99689970000000006</v>
      </c>
      <c r="Y599">
        <v>0.32867360000000001</v>
      </c>
      <c r="Z599">
        <v>-1.176496E-2</v>
      </c>
      <c r="AA599">
        <v>0.9443703</v>
      </c>
      <c r="AB599">
        <v>49</v>
      </c>
      <c r="AC599">
        <v>8.8859999999999904</v>
      </c>
      <c r="AD599">
        <v>-1.1045589634749999</v>
      </c>
      <c r="AE599">
        <v>-3.8469999999999702</v>
      </c>
      <c r="AF599">
        <v>3.24195627386923</v>
      </c>
      <c r="AG599">
        <v>-1.1045589634749999</v>
      </c>
      <c r="AH599">
        <v>8.9920430309428507</v>
      </c>
      <c r="AI599">
        <v>96.5916567305554</v>
      </c>
      <c r="AJ599">
        <v>70.1739352923816</v>
      </c>
      <c r="AK599">
        <v>9.6222226567358593</v>
      </c>
      <c r="AL599">
        <v>85.575850234357603</v>
      </c>
      <c r="AM599">
        <v>89.108817910309</v>
      </c>
      <c r="AN599">
        <v>0.99999997433824495</v>
      </c>
    </row>
    <row r="600" spans="1:40" x14ac:dyDescent="0.3">
      <c r="A600" t="str">
        <f>"20200111150734258"</f>
        <v>20200111150734258</v>
      </c>
      <c r="B600" t="str">
        <f>"1578726454252026"</f>
        <v>1578726454252026</v>
      </c>
      <c r="C600" t="s">
        <v>40</v>
      </c>
      <c r="D600">
        <v>5.3175730000000003</v>
      </c>
      <c r="E600">
        <v>0.62979259999999904</v>
      </c>
      <c r="F600" t="s">
        <v>43</v>
      </c>
      <c r="G600">
        <v>-210.9477</v>
      </c>
      <c r="H600" s="1">
        <v>-5.0879720000000003E-6</v>
      </c>
      <c r="I600">
        <v>362.726</v>
      </c>
      <c r="J600">
        <v>-219.7544</v>
      </c>
      <c r="K600">
        <v>1.10433799999999</v>
      </c>
      <c r="L600">
        <v>366.68200000000002</v>
      </c>
      <c r="M600">
        <v>0.99773659999999997</v>
      </c>
      <c r="N600">
        <v>0</v>
      </c>
      <c r="O600">
        <v>-6.5613519999999995E-2</v>
      </c>
      <c r="P600">
        <v>0.99469689999999999</v>
      </c>
      <c r="Q600">
        <v>6.2054669999999999E-2</v>
      </c>
      <c r="R600">
        <v>-8.2023990000000005E-2</v>
      </c>
      <c r="S600">
        <v>2.9382480000000002</v>
      </c>
      <c r="T600">
        <v>-0.35576859999999999</v>
      </c>
      <c r="U600">
        <v>-1.2810360000000001</v>
      </c>
      <c r="V600">
        <v>1.7534999999999999E-2</v>
      </c>
      <c r="W600">
        <v>7.6525490000000002E-2</v>
      </c>
      <c r="X600">
        <v>0.99691339999999995</v>
      </c>
      <c r="Y600">
        <v>0.33698539999999999</v>
      </c>
      <c r="Z600">
        <v>-1.1906089999999999E-2</v>
      </c>
      <c r="AA600">
        <v>0.94143460000000001</v>
      </c>
      <c r="AB600">
        <v>49</v>
      </c>
      <c r="AC600">
        <v>8.8066999999999993</v>
      </c>
      <c r="AD600">
        <v>-1.10434308797199</v>
      </c>
      <c r="AE600">
        <v>-3.95599999999996</v>
      </c>
      <c r="AF600">
        <v>3.3260526977289899</v>
      </c>
      <c r="AG600">
        <v>-1.10434308797199</v>
      </c>
      <c r="AH600">
        <v>8.9304634613631801</v>
      </c>
      <c r="AI600">
        <v>96.610177080589693</v>
      </c>
      <c r="AJ600">
        <v>69.572707940330702</v>
      </c>
      <c r="AK600">
        <v>9.5935070666969597</v>
      </c>
      <c r="AL600">
        <v>85.6111215119859</v>
      </c>
      <c r="AM600">
        <v>88.992311767021505</v>
      </c>
      <c r="AN600">
        <v>0.99999997697214904</v>
      </c>
    </row>
    <row r="601" spans="1:40" x14ac:dyDescent="0.3">
      <c r="A601" t="str">
        <f>"20200111150734272"</f>
        <v>20200111150734272</v>
      </c>
      <c r="B601" t="str">
        <f>"1578726454261786"</f>
        <v>1578726454261786</v>
      </c>
      <c r="C601" t="s">
        <v>40</v>
      </c>
      <c r="D601">
        <v>5.3871359999999999</v>
      </c>
      <c r="E601">
        <v>0.63039369999999995</v>
      </c>
      <c r="F601" t="s">
        <v>43</v>
      </c>
      <c r="G601">
        <v>-210.715</v>
      </c>
      <c r="H601" s="1">
        <v>-5.1977919999999901E-6</v>
      </c>
      <c r="I601">
        <v>362.66969999999998</v>
      </c>
      <c r="J601">
        <v>-219.44579999999999</v>
      </c>
      <c r="K601">
        <v>1.1041339999999999</v>
      </c>
      <c r="L601">
        <v>366.65989999999999</v>
      </c>
      <c r="M601">
        <v>0.99752269999999998</v>
      </c>
      <c r="N601">
        <v>0</v>
      </c>
      <c r="O601">
        <v>-6.8787109999999999E-2</v>
      </c>
      <c r="P601">
        <v>0.99434480000000003</v>
      </c>
      <c r="Q601">
        <v>6.2450449999999998E-2</v>
      </c>
      <c r="R601">
        <v>-8.5899929999999999E-2</v>
      </c>
      <c r="S601">
        <v>2.9310610000000001</v>
      </c>
      <c r="T601">
        <v>-0.35808590000000001</v>
      </c>
      <c r="U601">
        <v>-1.3009949999999999</v>
      </c>
      <c r="V601">
        <v>1.8293839999999999E-2</v>
      </c>
      <c r="W601">
        <v>7.6907260000000005E-2</v>
      </c>
      <c r="X601">
        <v>0.99687040000000005</v>
      </c>
      <c r="Y601">
        <v>0.34018159999999997</v>
      </c>
      <c r="Z601">
        <v>-1.1814669999999999E-2</v>
      </c>
      <c r="AA601">
        <v>0.9402855</v>
      </c>
      <c r="AB601">
        <v>49</v>
      </c>
      <c r="AC601">
        <v>8.7307999999999808</v>
      </c>
      <c r="AD601">
        <v>-1.1041391977920001</v>
      </c>
      <c r="AE601">
        <v>-3.99020000000001</v>
      </c>
      <c r="AF601">
        <v>3.3359800573422702</v>
      </c>
      <c r="AG601">
        <v>-1.1041391977920001</v>
      </c>
      <c r="AH601">
        <v>8.8673052430388903</v>
      </c>
      <c r="AI601">
        <v>96.647455407073295</v>
      </c>
      <c r="AJ601">
        <v>69.383135230668898</v>
      </c>
      <c r="AK601">
        <v>9.5381858120038299</v>
      </c>
      <c r="AL601">
        <v>85.589183117981506</v>
      </c>
      <c r="AM601">
        <v>88.9486675658015</v>
      </c>
      <c r="AN601">
        <v>0.99999999280940599</v>
      </c>
    </row>
    <row r="602" spans="1:40" x14ac:dyDescent="0.3">
      <c r="A602" t="str">
        <f>"20200111150734291"</f>
        <v>20200111150734291</v>
      </c>
      <c r="B602" t="str">
        <f>"1578726454281306"</f>
        <v>1578726454281306</v>
      </c>
      <c r="C602" t="s">
        <v>40</v>
      </c>
      <c r="D602">
        <v>5.3498020000000004</v>
      </c>
      <c r="E602">
        <v>0.6315134</v>
      </c>
      <c r="F602" t="s">
        <v>43</v>
      </c>
      <c r="G602">
        <v>-210.3972</v>
      </c>
      <c r="H602" s="1">
        <v>-5.349149E-6</v>
      </c>
      <c r="I602">
        <v>362.58499999999998</v>
      </c>
      <c r="J602">
        <v>-219.05289999999999</v>
      </c>
      <c r="K602">
        <v>1.1038790000000001</v>
      </c>
      <c r="L602">
        <v>366.63060000000002</v>
      </c>
      <c r="M602">
        <v>0.99722869999999997</v>
      </c>
      <c r="N602">
        <v>0</v>
      </c>
      <c r="O602">
        <v>-7.2922940000000006E-2</v>
      </c>
      <c r="P602">
        <v>0.99389269999999996</v>
      </c>
      <c r="Q602">
        <v>6.2574169999999998E-2</v>
      </c>
      <c r="R602">
        <v>-9.0896279999999996E-2</v>
      </c>
      <c r="S602">
        <v>2.925659</v>
      </c>
      <c r="T602">
        <v>-0.35699740000000002</v>
      </c>
      <c r="U602">
        <v>-1.3175349999999999</v>
      </c>
      <c r="V602">
        <v>1.9219460000000001E-2</v>
      </c>
      <c r="W602">
        <v>7.7013769999999995E-2</v>
      </c>
      <c r="X602">
        <v>0.99684479999999998</v>
      </c>
      <c r="Y602">
        <v>0.34138499999999999</v>
      </c>
      <c r="Z602">
        <v>-1.1380680000000001E-2</v>
      </c>
      <c r="AA602">
        <v>0.93985459999999998</v>
      </c>
      <c r="AB602">
        <v>49</v>
      </c>
      <c r="AC602">
        <v>8.6556999999999906</v>
      </c>
      <c r="AD602">
        <v>-1.103884349149</v>
      </c>
      <c r="AE602">
        <v>-4.0456000000000296</v>
      </c>
      <c r="AF602">
        <v>3.3587248924016202</v>
      </c>
      <c r="AG602">
        <v>-1.103884349149</v>
      </c>
      <c r="AH602">
        <v>8.81009712547527</v>
      </c>
      <c r="AI602">
        <v>96.677678539992002</v>
      </c>
      <c r="AJ602">
        <v>69.131359908205795</v>
      </c>
      <c r="AK602">
        <v>9.4930187463968494</v>
      </c>
      <c r="AL602">
        <v>85.583062564029305</v>
      </c>
      <c r="AM602">
        <v>88.895457423148997</v>
      </c>
      <c r="AN602">
        <v>1.00000003184967</v>
      </c>
    </row>
    <row r="603" spans="1:40" x14ac:dyDescent="0.3">
      <c r="A603" t="str">
        <f>"20200111150734317"</f>
        <v>20200111150734317</v>
      </c>
      <c r="B603" t="str">
        <f>"1578726454311934"</f>
        <v>1578726454311934</v>
      </c>
      <c r="C603" t="s">
        <v>40</v>
      </c>
      <c r="D603">
        <v>5.3986299999999998</v>
      </c>
      <c r="E603">
        <v>0.63145099999999998</v>
      </c>
      <c r="F603" t="s">
        <v>43</v>
      </c>
      <c r="G603">
        <v>-210.1378</v>
      </c>
      <c r="H603" s="1">
        <v>-5.4700979999999999E-6</v>
      </c>
      <c r="I603">
        <v>362.53050000000002</v>
      </c>
      <c r="J603">
        <v>-218.46039999999999</v>
      </c>
      <c r="K603">
        <v>1.1035189999999999</v>
      </c>
      <c r="L603">
        <v>366.58330000000001</v>
      </c>
      <c r="M603">
        <v>0.99673659999999997</v>
      </c>
      <c r="N603">
        <v>0</v>
      </c>
      <c r="O603">
        <v>-7.9365999999999895E-2</v>
      </c>
      <c r="P603">
        <v>0.99327399999999999</v>
      </c>
      <c r="Q603">
        <v>6.1621549999999997E-2</v>
      </c>
      <c r="R603">
        <v>-9.8029959999999999E-2</v>
      </c>
      <c r="S603">
        <v>2.9184269999999999</v>
      </c>
      <c r="T603">
        <v>-0.36136259999999998</v>
      </c>
      <c r="U603">
        <v>-1.3421940000000001</v>
      </c>
      <c r="V603">
        <v>1.9982300000000001E-2</v>
      </c>
      <c r="W603">
        <v>7.6042440000000003E-2</v>
      </c>
      <c r="X603">
        <v>0.99690429999999997</v>
      </c>
      <c r="Y603">
        <v>0.3427538</v>
      </c>
      <c r="Z603">
        <v>-1.0857500000000001E-2</v>
      </c>
      <c r="AA603">
        <v>0.93936249999999999</v>
      </c>
      <c r="AB603">
        <v>49</v>
      </c>
      <c r="AC603">
        <v>8.3225999999999907</v>
      </c>
      <c r="AD603">
        <v>-1.103524470098</v>
      </c>
      <c r="AE603">
        <v>-4.0527999999999897</v>
      </c>
      <c r="AF603">
        <v>3.33205723592061</v>
      </c>
      <c r="AG603">
        <v>-1.103524470098</v>
      </c>
      <c r="AH603">
        <v>8.4972743690912207</v>
      </c>
      <c r="AI603">
        <v>96.893866341274105</v>
      </c>
      <c r="AJ603">
        <v>68.588241563639002</v>
      </c>
      <c r="AK603">
        <v>9.1936958500469608</v>
      </c>
      <c r="AL603">
        <v>85.638879065265101</v>
      </c>
      <c r="AM603">
        <v>88.851697037919905</v>
      </c>
      <c r="AN603">
        <v>0.99999996417646597</v>
      </c>
    </row>
    <row r="604" spans="1:40" x14ac:dyDescent="0.3">
      <c r="A604" t="str">
        <f>"20200111150734336"</f>
        <v>20200111150734336</v>
      </c>
      <c r="B604" t="str">
        <f>"1578726454331454"</f>
        <v>1578726454331454</v>
      </c>
      <c r="C604" t="s">
        <v>40</v>
      </c>
      <c r="D604">
        <v>5.3294680000000003</v>
      </c>
      <c r="E604">
        <v>0.63180990000000004</v>
      </c>
      <c r="F604" t="s">
        <v>50</v>
      </c>
      <c r="G604">
        <v>-209.4659</v>
      </c>
      <c r="H604" s="1">
        <v>-6.2387400000000003E-6</v>
      </c>
      <c r="I604">
        <v>362.36590000000001</v>
      </c>
      <c r="J604">
        <v>-218.066</v>
      </c>
      <c r="K604">
        <v>1.103305</v>
      </c>
      <c r="L604">
        <v>366.5496</v>
      </c>
      <c r="M604">
        <v>0.99637419999999999</v>
      </c>
      <c r="N604">
        <v>0</v>
      </c>
      <c r="O604">
        <v>-8.3792389999999994E-2</v>
      </c>
      <c r="P604">
        <v>0.99280619999999997</v>
      </c>
      <c r="Q604">
        <v>5.9798169999999998E-2</v>
      </c>
      <c r="R604">
        <v>-0.103729</v>
      </c>
      <c r="S604">
        <v>2.9078979999999999</v>
      </c>
      <c r="T604">
        <v>-0.35676780000000002</v>
      </c>
      <c r="U604">
        <v>-1.3634949999999999</v>
      </c>
      <c r="V604">
        <v>2.1280480000000001E-2</v>
      </c>
      <c r="W604">
        <v>7.4195150000000001E-2</v>
      </c>
      <c r="X604">
        <v>0.99701669999999998</v>
      </c>
      <c r="Y604">
        <v>0.34557700000000002</v>
      </c>
      <c r="Z604">
        <v>-1.039588E-2</v>
      </c>
      <c r="AA604">
        <v>0.93833279999999997</v>
      </c>
      <c r="AB604">
        <v>49</v>
      </c>
      <c r="AC604">
        <v>8.6000999999999692</v>
      </c>
      <c r="AD604">
        <v>-1.1033112387399999</v>
      </c>
      <c r="AE604">
        <v>-4.1836999999999804</v>
      </c>
      <c r="AF604">
        <v>3.4029925159304701</v>
      </c>
      <c r="AG604">
        <v>-1.1033112387399999</v>
      </c>
      <c r="AH604">
        <v>8.8032874753296593</v>
      </c>
      <c r="AI604">
        <v>96.667579878535093</v>
      </c>
      <c r="AJ604">
        <v>68.865527652585499</v>
      </c>
      <c r="AK604">
        <v>9.5023957045739191</v>
      </c>
      <c r="AL604">
        <v>85.745021220507695</v>
      </c>
      <c r="AM604">
        <v>88.777255603304496</v>
      </c>
      <c r="AN604">
        <v>1.00000003959572</v>
      </c>
    </row>
    <row r="605" spans="1:40" x14ac:dyDescent="0.3">
      <c r="A605" t="str">
        <f>"20200111150734349"</f>
        <v>20200111150734349</v>
      </c>
      <c r="B605" t="str">
        <f>"1578726454341215"</f>
        <v>1578726454341215</v>
      </c>
      <c r="C605" t="s">
        <v>40</v>
      </c>
      <c r="D605">
        <v>5.2817429999999996</v>
      </c>
      <c r="E605">
        <v>0.63196589999999997</v>
      </c>
      <c r="F605" t="s">
        <v>50</v>
      </c>
      <c r="G605">
        <v>-209.27379999999999</v>
      </c>
      <c r="H605" s="1">
        <v>-6.1761349999999999E-6</v>
      </c>
      <c r="I605">
        <v>362.35509999999999</v>
      </c>
      <c r="J605">
        <v>-217.76130000000001</v>
      </c>
      <c r="K605">
        <v>1.1031420000000001</v>
      </c>
      <c r="L605">
        <v>366.5222</v>
      </c>
      <c r="M605">
        <v>0.99607469999999998</v>
      </c>
      <c r="N605">
        <v>0</v>
      </c>
      <c r="O605">
        <v>-8.7280330000000003E-2</v>
      </c>
      <c r="P605">
        <v>0.99241330000000005</v>
      </c>
      <c r="Q605">
        <v>5.8762889999999998E-2</v>
      </c>
      <c r="R605">
        <v>-0.1079947</v>
      </c>
      <c r="S605">
        <v>2.8991549999999999</v>
      </c>
      <c r="T605">
        <v>-0.36381010000000003</v>
      </c>
      <c r="U605">
        <v>-1.3831180000000001</v>
      </c>
      <c r="V605">
        <v>2.2082609999999999E-2</v>
      </c>
      <c r="W605">
        <v>7.3143739999999999E-2</v>
      </c>
      <c r="X605">
        <v>0.99707690000000004</v>
      </c>
      <c r="Y605">
        <v>0.34850409999999998</v>
      </c>
      <c r="Z605">
        <v>-1.037953E-2</v>
      </c>
      <c r="AA605">
        <v>0.93724980000000002</v>
      </c>
      <c r="AB605">
        <v>49</v>
      </c>
      <c r="AC605">
        <v>8.4875000000000096</v>
      </c>
      <c r="AD605">
        <v>-1.1031481761349999</v>
      </c>
      <c r="AE605">
        <v>-4.1670999999999996</v>
      </c>
      <c r="AF605">
        <v>3.3645241411192401</v>
      </c>
      <c r="AG605">
        <v>-1.1031481761349999</v>
      </c>
      <c r="AH605">
        <v>8.7004190570211009</v>
      </c>
      <c r="AI605">
        <v>96.744368270720798</v>
      </c>
      <c r="AJ605">
        <v>68.858100762155303</v>
      </c>
      <c r="AK605">
        <v>9.3933088080005192</v>
      </c>
      <c r="AL605">
        <v>85.805426534105806</v>
      </c>
      <c r="AM605">
        <v>88.731257794097203</v>
      </c>
      <c r="AN605">
        <v>0.99999999643960402</v>
      </c>
    </row>
    <row r="606" spans="1:40" x14ac:dyDescent="0.3">
      <c r="A606" t="str">
        <f>"20200111150734362"</f>
        <v>20200111150734362</v>
      </c>
      <c r="B606" t="str">
        <f>"1578726454351951"</f>
        <v>1578726454351951</v>
      </c>
      <c r="C606" t="s">
        <v>40</v>
      </c>
      <c r="D606">
        <v>5.3325899999999997</v>
      </c>
      <c r="E606">
        <v>0.63159219999999905</v>
      </c>
      <c r="F606" t="s">
        <v>50</v>
      </c>
      <c r="G606">
        <v>-209.0521</v>
      </c>
      <c r="H606" s="1">
        <v>-6.1080499999999999E-6</v>
      </c>
      <c r="I606">
        <v>362.31580000000002</v>
      </c>
      <c r="J606">
        <v>-217.4796</v>
      </c>
      <c r="K606">
        <v>1.1029960000000001</v>
      </c>
      <c r="L606">
        <v>366.49619999999999</v>
      </c>
      <c r="M606">
        <v>0.99578330000000004</v>
      </c>
      <c r="N606">
        <v>0</v>
      </c>
      <c r="O606">
        <v>-9.0543319999999997E-2</v>
      </c>
      <c r="P606">
        <v>0.99199660000000001</v>
      </c>
      <c r="Q606">
        <v>5.8218279999999997E-2</v>
      </c>
      <c r="R606">
        <v>-0.1120413</v>
      </c>
      <c r="S606">
        <v>2.8926090000000002</v>
      </c>
      <c r="T606">
        <v>-0.36639260000000001</v>
      </c>
      <c r="U606">
        <v>-1.397095</v>
      </c>
      <c r="V606">
        <v>2.2897339999999999E-2</v>
      </c>
      <c r="W606">
        <v>7.2582079999999993E-2</v>
      </c>
      <c r="X606">
        <v>0.99709959999999997</v>
      </c>
      <c r="Y606">
        <v>0.34992440000000002</v>
      </c>
      <c r="Z606">
        <v>-1.016384E-2</v>
      </c>
      <c r="AA606">
        <v>0.93672279999999997</v>
      </c>
      <c r="AB606">
        <v>49</v>
      </c>
      <c r="AC606">
        <v>8.4275000000000002</v>
      </c>
      <c r="AD606">
        <v>-1.1030021080500001</v>
      </c>
      <c r="AE606">
        <v>-4.1803999999999597</v>
      </c>
      <c r="AF606">
        <v>3.3539803959802001</v>
      </c>
      <c r="AG606">
        <v>-1.1030021080500001</v>
      </c>
      <c r="AH606">
        <v>8.6524770930128998</v>
      </c>
      <c r="AI606">
        <v>96.778411313467899</v>
      </c>
      <c r="AJ606">
        <v>68.812055579337297</v>
      </c>
      <c r="AK606">
        <v>9.3451141240808493</v>
      </c>
      <c r="AL606">
        <v>85.837693185186296</v>
      </c>
      <c r="AM606">
        <v>88.6844941003408</v>
      </c>
      <c r="AN606">
        <v>1.0000000294181799</v>
      </c>
    </row>
    <row r="607" spans="1:40" x14ac:dyDescent="0.3">
      <c r="A607" t="str">
        <f>"20200111150734376"</f>
        <v>20200111150734376</v>
      </c>
      <c r="B607" t="str">
        <f>"1578726454371471"</f>
        <v>1578726454371471</v>
      </c>
      <c r="C607" t="s">
        <v>40</v>
      </c>
      <c r="D607">
        <v>5.4061519999999996</v>
      </c>
      <c r="E607">
        <v>0.630308599999999</v>
      </c>
      <c r="F607" t="s">
        <v>50</v>
      </c>
      <c r="G607">
        <v>-208.78030000000001</v>
      </c>
      <c r="H607" s="1">
        <v>-6.0258790000000002E-6</v>
      </c>
      <c r="I607">
        <v>362.2593</v>
      </c>
      <c r="J607">
        <v>-217.1789</v>
      </c>
      <c r="K607">
        <v>1.102843</v>
      </c>
      <c r="L607">
        <v>366.46730000000002</v>
      </c>
      <c r="M607">
        <v>0.99545439999999996</v>
      </c>
      <c r="N607">
        <v>0</v>
      </c>
      <c r="O607">
        <v>-9.4090499999999994E-2</v>
      </c>
      <c r="P607">
        <v>0.99153020000000003</v>
      </c>
      <c r="Q607">
        <v>5.8116849999999998E-2</v>
      </c>
      <c r="R607">
        <v>-0.1161479</v>
      </c>
      <c r="S607">
        <v>2.8868710000000002</v>
      </c>
      <c r="T607">
        <v>-0.36603059999999998</v>
      </c>
      <c r="U607">
        <v>-1.4060360000000001</v>
      </c>
      <c r="V607">
        <v>2.3498649999999999E-2</v>
      </c>
      <c r="W607">
        <v>7.2466050000000004E-2</v>
      </c>
      <c r="X607">
        <v>0.99709400000000004</v>
      </c>
      <c r="Y607">
        <v>0.34969080000000002</v>
      </c>
      <c r="Z607">
        <v>-9.7332649999999996E-3</v>
      </c>
      <c r="AA607">
        <v>0.93681460000000005</v>
      </c>
      <c r="AB607">
        <v>49</v>
      </c>
      <c r="AC607">
        <v>8.3985999999999805</v>
      </c>
      <c r="AD607">
        <v>-1.102849025879</v>
      </c>
      <c r="AE607">
        <v>-4.2080000000000197</v>
      </c>
      <c r="AF607">
        <v>3.35280119980027</v>
      </c>
      <c r="AG607">
        <v>-1.102849025879</v>
      </c>
      <c r="AH607">
        <v>8.6382464570317499</v>
      </c>
      <c r="AI607">
        <v>96.7874020707862</v>
      </c>
      <c r="AJ607">
        <v>68.787050783865695</v>
      </c>
      <c r="AK607">
        <v>9.3314979350416198</v>
      </c>
      <c r="AL607">
        <v>85.844358560853905</v>
      </c>
      <c r="AM607">
        <v>88.649952472650497</v>
      </c>
      <c r="AN607">
        <v>0.99999997989521205</v>
      </c>
    </row>
    <row r="608" spans="1:40" x14ac:dyDescent="0.3">
      <c r="A608" t="str">
        <f>"20200111150734389"</f>
        <v>20200111150734389</v>
      </c>
      <c r="B608" t="str">
        <f>"1578726454381231"</f>
        <v>1578726454381231</v>
      </c>
      <c r="C608" t="s">
        <v>40</v>
      </c>
      <c r="D608">
        <v>5.2943199999999999</v>
      </c>
      <c r="E608">
        <v>0.62967759999999995</v>
      </c>
      <c r="F608" t="s">
        <v>50</v>
      </c>
      <c r="G608">
        <v>-208.5145</v>
      </c>
      <c r="H608" s="1">
        <v>-5.9407900000000001E-6</v>
      </c>
      <c r="I608">
        <v>362.23439999999999</v>
      </c>
      <c r="J608">
        <v>-216.8843</v>
      </c>
      <c r="K608">
        <v>1.102695</v>
      </c>
      <c r="L608">
        <v>366.43770000000001</v>
      </c>
      <c r="M608">
        <v>0.9951139</v>
      </c>
      <c r="N608">
        <v>0</v>
      </c>
      <c r="O608">
        <v>-9.7623959999999996E-2</v>
      </c>
      <c r="P608">
        <v>0.9910312</v>
      </c>
      <c r="Q608">
        <v>5.8992360000000001E-2</v>
      </c>
      <c r="R608">
        <v>-0.1199037</v>
      </c>
      <c r="S608">
        <v>2.8822019999999999</v>
      </c>
      <c r="T608">
        <v>-0.36686229999999997</v>
      </c>
      <c r="U608">
        <v>-1.4080509999999999</v>
      </c>
      <c r="V608">
        <v>2.3782020000000001E-2</v>
      </c>
      <c r="W608">
        <v>7.3332540000000002E-2</v>
      </c>
      <c r="X608">
        <v>0.99702389999999996</v>
      </c>
      <c r="Y608">
        <v>0.34751759999999998</v>
      </c>
      <c r="Z608">
        <v>-9.2194219999999997E-3</v>
      </c>
      <c r="AA608">
        <v>0.93762809999999996</v>
      </c>
      <c r="AB608">
        <v>49</v>
      </c>
      <c r="AC608">
        <v>8.3697999999999908</v>
      </c>
      <c r="AD608">
        <v>-1.1027009407899999</v>
      </c>
      <c r="AE608">
        <v>-4.2033000000000103</v>
      </c>
      <c r="AF608">
        <v>3.32001553989695</v>
      </c>
      <c r="AG608">
        <v>-1.1027009407899999</v>
      </c>
      <c r="AH608">
        <v>8.6207033985301305</v>
      </c>
      <c r="AI608">
        <v>96.807011370789596</v>
      </c>
      <c r="AJ608">
        <v>68.937247409467503</v>
      </c>
      <c r="AK608">
        <v>9.3034928728626003</v>
      </c>
      <c r="AL608">
        <v>85.794579773024196</v>
      </c>
      <c r="AM608">
        <v>88.6335823681557</v>
      </c>
      <c r="AN608">
        <v>0.99999995153466903</v>
      </c>
    </row>
    <row r="609" spans="1:40" x14ac:dyDescent="0.3">
      <c r="A609" t="str">
        <f>"20200111150734402"</f>
        <v>20200111150734402</v>
      </c>
      <c r="B609" t="str">
        <f>"1578726454391967"</f>
        <v>1578726454391967</v>
      </c>
      <c r="C609" t="s">
        <v>40</v>
      </c>
      <c r="D609">
        <v>5.3640850000000002</v>
      </c>
      <c r="E609">
        <v>0.62970150000000003</v>
      </c>
      <c r="F609" t="s">
        <v>50</v>
      </c>
      <c r="G609">
        <v>-208.08789999999999</v>
      </c>
      <c r="H609" s="1">
        <v>-5.8168309999999997E-6</v>
      </c>
      <c r="I609">
        <v>362.1139</v>
      </c>
      <c r="J609">
        <v>-216.6054</v>
      </c>
      <c r="K609">
        <v>1.1025590000000001</v>
      </c>
      <c r="L609">
        <v>366.40899999999999</v>
      </c>
      <c r="M609">
        <v>0.9947762</v>
      </c>
      <c r="N609">
        <v>0</v>
      </c>
      <c r="O609">
        <v>-0.10100679999999999</v>
      </c>
      <c r="P609">
        <v>0.99047249999999998</v>
      </c>
      <c r="Q609">
        <v>6.1811570000000003E-2</v>
      </c>
      <c r="R609">
        <v>-0.1230594</v>
      </c>
      <c r="S609">
        <v>2.8775019999999998</v>
      </c>
      <c r="T609">
        <v>-0.3607204</v>
      </c>
      <c r="U609">
        <v>-1.4144289999999999</v>
      </c>
      <c r="V609">
        <v>2.3656199999999999E-2</v>
      </c>
      <c r="W609">
        <v>7.6147500000000007E-2</v>
      </c>
      <c r="X609">
        <v>0.99681589999999998</v>
      </c>
      <c r="Y609">
        <v>0.34668789999999999</v>
      </c>
      <c r="Z609">
        <v>-8.6326489999999992E-3</v>
      </c>
      <c r="AA609">
        <v>0.93794080000000002</v>
      </c>
      <c r="AB609">
        <v>49</v>
      </c>
      <c r="AC609">
        <v>8.5175000000000107</v>
      </c>
      <c r="AD609">
        <v>-1.102564816831</v>
      </c>
      <c r="AE609">
        <v>-4.2950999999999899</v>
      </c>
      <c r="AF609">
        <v>3.36771898293226</v>
      </c>
      <c r="AG609">
        <v>-1.102564816831</v>
      </c>
      <c r="AH609">
        <v>8.7903770262155501</v>
      </c>
      <c r="AI609">
        <v>96.680447773787094</v>
      </c>
      <c r="AJ609">
        <v>69.037450121386598</v>
      </c>
      <c r="AK609">
        <v>9.4777586267183498</v>
      </c>
      <c r="AL609">
        <v>85.632842214724903</v>
      </c>
      <c r="AM609">
        <v>88.640525243480397</v>
      </c>
      <c r="AN609">
        <v>0.99999999802374995</v>
      </c>
    </row>
    <row r="610" spans="1:40" x14ac:dyDescent="0.3">
      <c r="A610" t="str">
        <f>"20200111150734415"</f>
        <v>20200111150734415</v>
      </c>
      <c r="B610" t="str">
        <f>"1578726454411262"</f>
        <v>1578726454411262</v>
      </c>
      <c r="C610" t="s">
        <v>40</v>
      </c>
      <c r="D610">
        <v>5.3167460000000002</v>
      </c>
      <c r="E610">
        <v>0.62989910000000005</v>
      </c>
      <c r="F610" t="s">
        <v>50</v>
      </c>
      <c r="G610">
        <v>-207.5275</v>
      </c>
      <c r="H610" s="1">
        <v>-5.662162E-6</v>
      </c>
      <c r="I610">
        <v>361.90300000000002</v>
      </c>
      <c r="J610">
        <v>-216.33019999999999</v>
      </c>
      <c r="K610">
        <v>1.102425</v>
      </c>
      <c r="L610">
        <v>366.37959999999998</v>
      </c>
      <c r="M610">
        <v>0.99442509999999995</v>
      </c>
      <c r="N610">
        <v>0</v>
      </c>
      <c r="O610">
        <v>-0.10440679999999999</v>
      </c>
      <c r="P610">
        <v>0.98994400000000005</v>
      </c>
      <c r="Q610">
        <v>6.3237479999999999E-2</v>
      </c>
      <c r="R610">
        <v>-0.1265386</v>
      </c>
      <c r="S610">
        <v>2.8734440000000001</v>
      </c>
      <c r="T610">
        <v>-0.34899809999999998</v>
      </c>
      <c r="U610">
        <v>-1.4262999999999999</v>
      </c>
      <c r="V610">
        <v>2.3810109999999999E-2</v>
      </c>
      <c r="W610">
        <v>7.7566670000000004E-2</v>
      </c>
      <c r="X610">
        <v>0.9967028</v>
      </c>
      <c r="Y610">
        <v>0.34723619999999999</v>
      </c>
      <c r="Z610">
        <v>-8.006272E-3</v>
      </c>
      <c r="AA610">
        <v>0.93774349999999995</v>
      </c>
      <c r="AB610">
        <v>49</v>
      </c>
      <c r="AC610">
        <v>8.8026999999999802</v>
      </c>
      <c r="AD610">
        <v>-1.1024306621619999</v>
      </c>
      <c r="AE610">
        <v>-4.4765999999999604</v>
      </c>
      <c r="AF610">
        <v>3.4894819669094299</v>
      </c>
      <c r="AG610">
        <v>-1.1024306621619999</v>
      </c>
      <c r="AH610">
        <v>9.1085112008422104</v>
      </c>
      <c r="AI610">
        <v>96.448369499960407</v>
      </c>
      <c r="AJ610">
        <v>69.038101563028107</v>
      </c>
      <c r="AK610">
        <v>9.8161506741761606</v>
      </c>
      <c r="AL610">
        <v>85.551288496949596</v>
      </c>
      <c r="AM610">
        <v>88.631528484230998</v>
      </c>
      <c r="AN610">
        <v>0.99999999058046996</v>
      </c>
    </row>
    <row r="611" spans="1:40" x14ac:dyDescent="0.3">
      <c r="A611" t="str">
        <f>"20200111150734428"</f>
        <v>20200111150734428</v>
      </c>
      <c r="B611" t="str">
        <f>"1578726454422002"</f>
        <v>1578726454422002</v>
      </c>
      <c r="C611" t="s">
        <v>40</v>
      </c>
      <c r="D611">
        <v>5.3402510000000003</v>
      </c>
      <c r="E611">
        <v>0.62993299999999997</v>
      </c>
      <c r="F611" t="s">
        <v>50</v>
      </c>
      <c r="G611">
        <v>-207.1566</v>
      </c>
      <c r="H611" s="1">
        <v>-5.5575370000000001E-6</v>
      </c>
      <c r="I611">
        <v>361.77800000000002</v>
      </c>
      <c r="J611">
        <v>-216.03620000000001</v>
      </c>
      <c r="K611">
        <v>1.102282</v>
      </c>
      <c r="L611">
        <v>366.34699999999998</v>
      </c>
      <c r="M611">
        <v>0.99403010000000003</v>
      </c>
      <c r="N611">
        <v>0</v>
      </c>
      <c r="O611">
        <v>-0.1081027</v>
      </c>
      <c r="P611">
        <v>0.98934739999999999</v>
      </c>
      <c r="Q611">
        <v>6.4126950000000002E-2</v>
      </c>
      <c r="R611">
        <v>-0.13068969999999999</v>
      </c>
      <c r="S611">
        <v>2.8685459999999998</v>
      </c>
      <c r="T611">
        <v>-0.34472370000000002</v>
      </c>
      <c r="U611">
        <v>-1.438904</v>
      </c>
      <c r="V611">
        <v>2.433544E-2</v>
      </c>
      <c r="W611">
        <v>7.8443750000000007E-2</v>
      </c>
      <c r="X611">
        <v>0.99662150000000005</v>
      </c>
      <c r="Y611">
        <v>0.34773949999999998</v>
      </c>
      <c r="Z611">
        <v>-7.5315959999999998E-3</v>
      </c>
      <c r="AA611">
        <v>0.93756099999999998</v>
      </c>
      <c r="AB611">
        <v>49</v>
      </c>
      <c r="AC611">
        <v>8.8795999999999999</v>
      </c>
      <c r="AD611">
        <v>-1.1022875575369999</v>
      </c>
      <c r="AE611">
        <v>-4.56899999999996</v>
      </c>
      <c r="AF611">
        <v>3.5390845767024</v>
      </c>
      <c r="AG611">
        <v>-1.1022875575369999</v>
      </c>
      <c r="AH611">
        <v>9.2093193903897301</v>
      </c>
      <c r="AI611">
        <v>96.375024980686007</v>
      </c>
      <c r="AJ611">
        <v>68.978540470738594</v>
      </c>
      <c r="AK611">
        <v>9.92732195180362</v>
      </c>
      <c r="AL611">
        <v>85.500882076001901</v>
      </c>
      <c r="AM611">
        <v>88.601233276949301</v>
      </c>
      <c r="AN611">
        <v>1.00000002490815</v>
      </c>
    </row>
    <row r="612" spans="1:40" x14ac:dyDescent="0.3">
      <c r="A612" t="str">
        <f>"20200111150734442"</f>
        <v>20200111150734442</v>
      </c>
      <c r="B612" t="str">
        <f>"1578726454431758"</f>
        <v>1578726454431758</v>
      </c>
      <c r="C612" t="s">
        <v>40</v>
      </c>
      <c r="D612">
        <v>5.2427169999999998</v>
      </c>
      <c r="E612">
        <v>0.63000979999999995</v>
      </c>
      <c r="F612" t="s">
        <v>50</v>
      </c>
      <c r="G612">
        <v>-206.80850000000001</v>
      </c>
      <c r="H612" s="1">
        <v>-5.4581759999999999E-6</v>
      </c>
      <c r="I612">
        <v>361.66820000000001</v>
      </c>
      <c r="J612">
        <v>-215.72239999999999</v>
      </c>
      <c r="K612">
        <v>1.1021270000000001</v>
      </c>
      <c r="L612">
        <v>366.31110000000001</v>
      </c>
      <c r="M612">
        <v>0.99358630000000003</v>
      </c>
      <c r="N612">
        <v>0</v>
      </c>
      <c r="O612">
        <v>-0.11210779999999999</v>
      </c>
      <c r="P612">
        <v>0.98862680000000003</v>
      </c>
      <c r="Q612">
        <v>6.4249639999999997E-2</v>
      </c>
      <c r="R612">
        <v>-0.13597490000000001</v>
      </c>
      <c r="S612">
        <v>2.862717</v>
      </c>
      <c r="T612">
        <v>-0.34196379999999998</v>
      </c>
      <c r="U612">
        <v>-1.451508</v>
      </c>
      <c r="V612">
        <v>2.5679319999999999E-2</v>
      </c>
      <c r="W612">
        <v>7.8539300000000006E-2</v>
      </c>
      <c r="X612">
        <v>0.99658020000000003</v>
      </c>
      <c r="Y612">
        <v>0.34805829999999999</v>
      </c>
      <c r="Z612">
        <v>-7.0549269999999999E-3</v>
      </c>
      <c r="AA612">
        <v>0.93744640000000001</v>
      </c>
      <c r="AB612">
        <v>49</v>
      </c>
      <c r="AC612">
        <v>8.9138999999999804</v>
      </c>
      <c r="AD612">
        <v>-1.1021324581759999</v>
      </c>
      <c r="AE612">
        <v>-4.6428999999999903</v>
      </c>
      <c r="AF612">
        <v>3.5712539102667602</v>
      </c>
      <c r="AG612">
        <v>-1.1021324581759999</v>
      </c>
      <c r="AH612">
        <v>9.2668233627496104</v>
      </c>
      <c r="AI612">
        <v>96.332615597763393</v>
      </c>
      <c r="AJ612">
        <v>68.924305309244104</v>
      </c>
      <c r="AK612">
        <v>9.9921251835314209</v>
      </c>
      <c r="AL612">
        <v>85.495390283277402</v>
      </c>
      <c r="AM612">
        <v>88.523961087962306</v>
      </c>
      <c r="AN612">
        <v>0.99999997207609503</v>
      </c>
    </row>
    <row r="613" spans="1:40" x14ac:dyDescent="0.3">
      <c r="A613" t="str">
        <f>"20200111150734456"</f>
        <v>20200111150734456</v>
      </c>
      <c r="B613" t="str">
        <f>"1578726454451278"</f>
        <v>1578726454451278</v>
      </c>
      <c r="C613" t="s">
        <v>40</v>
      </c>
      <c r="D613">
        <v>5.4403280000000001</v>
      </c>
      <c r="E613">
        <v>0.63000979999999995</v>
      </c>
      <c r="F613" t="s">
        <v>50</v>
      </c>
      <c r="G613">
        <v>-206.59049999999999</v>
      </c>
      <c r="H613" s="1">
        <v>-5.3928159999999999E-6</v>
      </c>
      <c r="I613">
        <v>361.61939999999998</v>
      </c>
      <c r="J613">
        <v>-215.43950000000001</v>
      </c>
      <c r="K613">
        <v>1.1019810000000001</v>
      </c>
      <c r="L613">
        <v>366.27760000000001</v>
      </c>
      <c r="M613">
        <v>0.99316289999999996</v>
      </c>
      <c r="N613">
        <v>0</v>
      </c>
      <c r="O613">
        <v>-0.1157966</v>
      </c>
      <c r="P613">
        <v>0.98788509999999996</v>
      </c>
      <c r="Q613">
        <v>6.3935210000000006E-2</v>
      </c>
      <c r="R613">
        <v>-0.14140469999999999</v>
      </c>
      <c r="S613">
        <v>2.8551329999999999</v>
      </c>
      <c r="T613">
        <v>-0.34459050000000002</v>
      </c>
      <c r="U613">
        <v>-1.466888</v>
      </c>
      <c r="V613">
        <v>2.7475690000000001E-2</v>
      </c>
      <c r="W613">
        <v>7.8189899999999896E-2</v>
      </c>
      <c r="X613">
        <v>0.9965598</v>
      </c>
      <c r="Y613">
        <v>0.34957680000000002</v>
      </c>
      <c r="Z613">
        <v>-6.794118E-3</v>
      </c>
      <c r="AA613">
        <v>0.93688309999999997</v>
      </c>
      <c r="AB613">
        <v>49</v>
      </c>
      <c r="AC613">
        <v>8.8490000000000109</v>
      </c>
      <c r="AD613">
        <v>-1.1019863928160001</v>
      </c>
      <c r="AE613">
        <v>-4.6582000000000203</v>
      </c>
      <c r="AF613">
        <v>3.5588449171138001</v>
      </c>
      <c r="AG613">
        <v>-1.1019863928160001</v>
      </c>
      <c r="AH613">
        <v>9.2169971807163797</v>
      </c>
      <c r="AI613">
        <v>96.364169661994694</v>
      </c>
      <c r="AJ613">
        <v>68.887547239751896</v>
      </c>
      <c r="AK613">
        <v>9.9414681100606099</v>
      </c>
      <c r="AL613">
        <v>85.515471328423402</v>
      </c>
      <c r="AM613">
        <v>88.420724597084003</v>
      </c>
      <c r="AN613">
        <v>1.0000000044895101</v>
      </c>
    </row>
    <row r="614" spans="1:40" x14ac:dyDescent="0.3">
      <c r="A614" t="str">
        <f>"20200111150734470"</f>
        <v>20200111150734470</v>
      </c>
      <c r="B614" t="str">
        <f>"1578726454462014"</f>
        <v>1578726454462014</v>
      </c>
      <c r="C614" t="s">
        <v>40</v>
      </c>
      <c r="D614">
        <v>5.2856439999999996</v>
      </c>
      <c r="E614">
        <v>0.63035730000000001</v>
      </c>
      <c r="F614" t="s">
        <v>50</v>
      </c>
      <c r="G614">
        <v>-206.39340000000001</v>
      </c>
      <c r="H614" s="1">
        <v>-5.3347239999999997E-6</v>
      </c>
      <c r="I614">
        <v>361.56880000000001</v>
      </c>
      <c r="J614">
        <v>-215.11330000000001</v>
      </c>
      <c r="K614">
        <v>1.1018159999999999</v>
      </c>
      <c r="L614">
        <v>366.23739999999998</v>
      </c>
      <c r="M614">
        <v>0.99264600000000003</v>
      </c>
      <c r="N614">
        <v>0</v>
      </c>
      <c r="O614">
        <v>-0.120147699999999</v>
      </c>
      <c r="P614">
        <v>0.98682190000000003</v>
      </c>
      <c r="Q614">
        <v>6.31684E-2</v>
      </c>
      <c r="R614">
        <v>-0.14897260000000001</v>
      </c>
      <c r="S614">
        <v>2.847092</v>
      </c>
      <c r="T614">
        <v>-0.3468271</v>
      </c>
      <c r="U614">
        <v>-1.481995</v>
      </c>
      <c r="V614">
        <v>3.0762370000000001E-2</v>
      </c>
      <c r="W614">
        <v>7.7359860000000003E-2</v>
      </c>
      <c r="X614">
        <v>0.99652859999999999</v>
      </c>
      <c r="Y614">
        <v>0.35046850000000002</v>
      </c>
      <c r="Z614">
        <v>-6.4119679999999997E-3</v>
      </c>
      <c r="AA614">
        <v>0.93655259999999996</v>
      </c>
      <c r="AB614">
        <v>49</v>
      </c>
      <c r="AC614">
        <v>8.7198999999999902</v>
      </c>
      <c r="AD614">
        <v>-1.101821334724</v>
      </c>
      <c r="AE614">
        <v>-4.6685999999999597</v>
      </c>
      <c r="AF614">
        <v>3.5430174376151098</v>
      </c>
      <c r="AG614">
        <v>-1.101821334724</v>
      </c>
      <c r="AH614">
        <v>9.10472112642287</v>
      </c>
      <c r="AI614">
        <v>96.434534218349796</v>
      </c>
      <c r="AJ614">
        <v>68.736963802378995</v>
      </c>
      <c r="AK614">
        <v>9.8317307533734208</v>
      </c>
      <c r="AL614">
        <v>85.563173862355995</v>
      </c>
      <c r="AM614">
        <v>88.231867679045294</v>
      </c>
      <c r="AN614">
        <v>1.0000000609825901</v>
      </c>
    </row>
    <row r="615" spans="1:40" x14ac:dyDescent="0.3">
      <c r="A615" t="str">
        <f>"20200111150734486"</f>
        <v>20200111150734486</v>
      </c>
      <c r="B615" t="str">
        <f>"1578726454481534"</f>
        <v>1578726454481534</v>
      </c>
      <c r="C615" t="s">
        <v>40</v>
      </c>
      <c r="D615">
        <v>5.2969499999999998</v>
      </c>
      <c r="E615">
        <v>0.63104989999999905</v>
      </c>
      <c r="F615" t="s">
        <v>50</v>
      </c>
      <c r="G615">
        <v>-206.1413</v>
      </c>
      <c r="H615" s="1">
        <v>-5.2661189999999997E-6</v>
      </c>
      <c r="I615">
        <v>361.46780000000001</v>
      </c>
      <c r="J615">
        <v>-214.7893</v>
      </c>
      <c r="K615">
        <v>1.1016410000000001</v>
      </c>
      <c r="L615">
        <v>366.19619999999998</v>
      </c>
      <c r="M615">
        <v>0.99210140000000002</v>
      </c>
      <c r="N615">
        <v>0</v>
      </c>
      <c r="O615">
        <v>-0.1245628</v>
      </c>
      <c r="P615">
        <v>0.98591830000000003</v>
      </c>
      <c r="Q615">
        <v>6.3452060000000005E-2</v>
      </c>
      <c r="R615">
        <v>-0.15472230000000001</v>
      </c>
      <c r="S615">
        <v>2.834854</v>
      </c>
      <c r="T615">
        <v>-0.34813820000000001</v>
      </c>
      <c r="U615">
        <v>-1.5070190000000001</v>
      </c>
      <c r="V615">
        <v>3.2179989999999999E-2</v>
      </c>
      <c r="W615">
        <v>7.7613249999999995E-2</v>
      </c>
      <c r="X615">
        <v>0.99646409999999996</v>
      </c>
      <c r="Y615">
        <v>0.35441430000000002</v>
      </c>
      <c r="Z615">
        <v>-6.1799910000000001E-3</v>
      </c>
      <c r="AA615">
        <v>0.93506809999999996</v>
      </c>
      <c r="AB615">
        <v>49</v>
      </c>
      <c r="AC615">
        <v>8.6479999999999908</v>
      </c>
      <c r="AD615">
        <v>-1.1016462661190001</v>
      </c>
      <c r="AE615">
        <v>-4.7283999999999597</v>
      </c>
      <c r="AF615">
        <v>3.5696339665113901</v>
      </c>
      <c r="AG615">
        <v>-1.1016462661190001</v>
      </c>
      <c r="AH615">
        <v>9.0565376244965599</v>
      </c>
      <c r="AI615">
        <v>96.456560845606504</v>
      </c>
      <c r="AJ615">
        <v>68.488122501396504</v>
      </c>
      <c r="AK615">
        <v>9.7967742086080403</v>
      </c>
      <c r="AL615">
        <v>85.548611789769794</v>
      </c>
      <c r="AM615">
        <v>88.150322680566603</v>
      </c>
      <c r="AN615">
        <v>1.00000003546038</v>
      </c>
    </row>
    <row r="616" spans="1:40" x14ac:dyDescent="0.3">
      <c r="A616" t="str">
        <f>"20200111150734500"</f>
        <v>20200111150734500</v>
      </c>
      <c r="B616" t="str">
        <f>"1578726454491293"</f>
        <v>1578726454491293</v>
      </c>
      <c r="C616" t="s">
        <v>40</v>
      </c>
      <c r="D616">
        <v>5.3107100000000003</v>
      </c>
      <c r="E616">
        <v>0.63144199999999995</v>
      </c>
      <c r="F616" t="s">
        <v>50</v>
      </c>
      <c r="G616">
        <v>-205.79150000000001</v>
      </c>
      <c r="H616" s="1">
        <v>-5.1624529999999999E-6</v>
      </c>
      <c r="I616">
        <v>361.32319999999999</v>
      </c>
      <c r="J616">
        <v>-214.48740000000001</v>
      </c>
      <c r="K616">
        <v>1.1014660000000001</v>
      </c>
      <c r="L616">
        <v>366.1567</v>
      </c>
      <c r="M616">
        <v>0.99156540000000004</v>
      </c>
      <c r="N616">
        <v>0</v>
      </c>
      <c r="O616">
        <v>-0.12875829999999999</v>
      </c>
      <c r="P616">
        <v>0.98498989999999997</v>
      </c>
      <c r="Q616">
        <v>6.4262929999999996E-2</v>
      </c>
      <c r="R616">
        <v>-0.16020290000000001</v>
      </c>
      <c r="S616">
        <v>2.8249970000000002</v>
      </c>
      <c r="T616">
        <v>-0.34587909999999999</v>
      </c>
      <c r="U616">
        <v>-1.529968</v>
      </c>
      <c r="V616">
        <v>3.3562599999999998E-2</v>
      </c>
      <c r="W616">
        <v>7.8393359999999995E-2</v>
      </c>
      <c r="X616">
        <v>0.99635739999999995</v>
      </c>
      <c r="Y616">
        <v>0.3577244</v>
      </c>
      <c r="Z616">
        <v>-5.8699009999999899E-3</v>
      </c>
      <c r="AA616">
        <v>0.93380870000000005</v>
      </c>
      <c r="AB616">
        <v>49</v>
      </c>
      <c r="AC616">
        <v>8.6958999999999893</v>
      </c>
      <c r="AD616">
        <v>-1.101471162453</v>
      </c>
      <c r="AE616">
        <v>-4.8335000000000097</v>
      </c>
      <c r="AF616">
        <v>3.6289836613003099</v>
      </c>
      <c r="AG616">
        <v>-1.101471162453</v>
      </c>
      <c r="AH616">
        <v>9.1339637604439705</v>
      </c>
      <c r="AI616">
        <v>96.394425008587206</v>
      </c>
      <c r="AJ616">
        <v>68.331751120808406</v>
      </c>
      <c r="AK616">
        <v>9.8899977306774005</v>
      </c>
      <c r="AL616">
        <v>85.503778096437202</v>
      </c>
      <c r="AM616">
        <v>88.070703862277895</v>
      </c>
      <c r="AN616">
        <v>1.0000000177727999</v>
      </c>
    </row>
    <row r="617" spans="1:40" x14ac:dyDescent="0.3">
      <c r="A617" t="str">
        <f>"20200111150734511"</f>
        <v>20200111150734511</v>
      </c>
      <c r="B617" t="str">
        <f>"1578726454502030"</f>
        <v>1578726454502030</v>
      </c>
      <c r="C617" t="s">
        <v>40</v>
      </c>
      <c r="D617">
        <v>5.2973359999999996</v>
      </c>
      <c r="E617">
        <v>0.63175049999999999</v>
      </c>
      <c r="F617" t="s">
        <v>50</v>
      </c>
      <c r="G617">
        <v>-205.4358</v>
      </c>
      <c r="H617" s="1">
        <v>-5.0295669999999998E-6</v>
      </c>
      <c r="I617">
        <v>361.17500000000001</v>
      </c>
      <c r="J617">
        <v>-214.2105</v>
      </c>
      <c r="K617">
        <v>1.101307</v>
      </c>
      <c r="L617">
        <v>366.11869999999999</v>
      </c>
      <c r="M617">
        <v>0.99103980000000003</v>
      </c>
      <c r="N617">
        <v>0</v>
      </c>
      <c r="O617">
        <v>-0.1327419</v>
      </c>
      <c r="P617">
        <v>0.98401079999999996</v>
      </c>
      <c r="Q617">
        <v>6.5529920000000005E-2</v>
      </c>
      <c r="R617">
        <v>-0.16561689999999901</v>
      </c>
      <c r="S617">
        <v>2.8159939999999999</v>
      </c>
      <c r="T617">
        <v>-0.34267059999999999</v>
      </c>
      <c r="U617">
        <v>-1.5498050000000001</v>
      </c>
      <c r="V617">
        <v>3.5106289999999998E-2</v>
      </c>
      <c r="W617">
        <v>7.9627340000000005E-2</v>
      </c>
      <c r="X617">
        <v>0.99620629999999999</v>
      </c>
      <c r="Y617">
        <v>0.36031590000000002</v>
      </c>
      <c r="Z617">
        <v>-5.5302469999999899E-3</v>
      </c>
      <c r="AA617">
        <v>0.93281389999999997</v>
      </c>
      <c r="AB617">
        <v>49</v>
      </c>
      <c r="AC617">
        <v>8.7746999999999904</v>
      </c>
      <c r="AD617">
        <v>-1.101312029567</v>
      </c>
      <c r="AE617">
        <v>-4.9436999999999696</v>
      </c>
      <c r="AF617">
        <v>3.6909103592941399</v>
      </c>
      <c r="AG617">
        <v>-1.101312029567</v>
      </c>
      <c r="AH617">
        <v>9.2428220285886695</v>
      </c>
      <c r="AI617">
        <v>96.314468907530397</v>
      </c>
      <c r="AJ617">
        <v>68.231829139893193</v>
      </c>
      <c r="AK617">
        <v>10.0132645285629</v>
      </c>
      <c r="AL617">
        <v>85.432854345857507</v>
      </c>
      <c r="AM617">
        <v>87.981733070190202</v>
      </c>
      <c r="AN617">
        <v>0.99999997851636402</v>
      </c>
    </row>
    <row r="618" spans="1:40" x14ac:dyDescent="0.3">
      <c r="A618" t="str">
        <f>"20200111150734526"</f>
        <v>20200111150734526</v>
      </c>
      <c r="B618" t="str">
        <f>"1578726454521319"</f>
        <v>1578726454521319</v>
      </c>
      <c r="C618" t="s">
        <v>40</v>
      </c>
      <c r="D618">
        <v>5.2678529999999997</v>
      </c>
      <c r="E618">
        <v>0.63242940000000003</v>
      </c>
      <c r="F618" t="s">
        <v>50</v>
      </c>
      <c r="G618">
        <v>-205.0668</v>
      </c>
      <c r="H618" s="1">
        <v>-4.8942059999999901E-6</v>
      </c>
      <c r="I618">
        <v>361.01049999999998</v>
      </c>
      <c r="J618">
        <v>-213.92580000000001</v>
      </c>
      <c r="K618">
        <v>1.1011519999999999</v>
      </c>
      <c r="L618">
        <v>366.07870000000003</v>
      </c>
      <c r="M618">
        <v>0.99047320000000005</v>
      </c>
      <c r="N618">
        <v>0</v>
      </c>
      <c r="O618">
        <v>-0.13690450000000001</v>
      </c>
      <c r="P618">
        <v>0.98244909999999996</v>
      </c>
      <c r="Q618">
        <v>6.8511950000000002E-2</v>
      </c>
      <c r="R618">
        <v>-0.17349400000000001</v>
      </c>
      <c r="S618">
        <v>2.807312</v>
      </c>
      <c r="T618">
        <v>-0.33812730000000002</v>
      </c>
      <c r="U618">
        <v>-1.5683290000000001</v>
      </c>
      <c r="V618">
        <v>3.9025509999999999E-2</v>
      </c>
      <c r="W618">
        <v>8.2523630000000001E-2</v>
      </c>
      <c r="X618">
        <v>0.99582470000000001</v>
      </c>
      <c r="Y618">
        <v>0.3623634</v>
      </c>
      <c r="Z618">
        <v>-5.1253039999999998E-3</v>
      </c>
      <c r="AA618">
        <v>0.93202280000000004</v>
      </c>
      <c r="AB618">
        <v>49</v>
      </c>
      <c r="AC618">
        <v>8.859</v>
      </c>
      <c r="AD618">
        <v>-1.1011568942059999</v>
      </c>
      <c r="AE618">
        <v>-5.06820000000004</v>
      </c>
      <c r="AF618">
        <v>3.7636879275216302</v>
      </c>
      <c r="AG618">
        <v>-1.1011568942059999</v>
      </c>
      <c r="AH618">
        <v>9.3605441965888296</v>
      </c>
      <c r="AI618">
        <v>96.228937024001098</v>
      </c>
      <c r="AJ618">
        <v>68.095925328212104</v>
      </c>
      <c r="AK618">
        <v>10.1487773144217</v>
      </c>
      <c r="AL618">
        <v>85.266361025410305</v>
      </c>
      <c r="AM618">
        <v>87.755776295560693</v>
      </c>
      <c r="AN618">
        <v>0.99999998653461297</v>
      </c>
    </row>
    <row r="619" spans="1:40" x14ac:dyDescent="0.3">
      <c r="A619" t="str">
        <f>"20200111150734536"</f>
        <v>20200111150734536</v>
      </c>
      <c r="B619" t="str">
        <f>"1578726454531080"</f>
        <v>1578726454531080</v>
      </c>
      <c r="C619" t="s">
        <v>40</v>
      </c>
      <c r="D619">
        <v>5.2921490000000002</v>
      </c>
      <c r="E619">
        <v>0.63266210000000001</v>
      </c>
      <c r="F619" t="s">
        <v>50</v>
      </c>
      <c r="G619">
        <v>-204.58869999999999</v>
      </c>
      <c r="H619" s="1">
        <v>-4.7156469999999996E-6</v>
      </c>
      <c r="I619">
        <v>360.74200000000002</v>
      </c>
      <c r="J619">
        <v>-213.6704</v>
      </c>
      <c r="K619">
        <v>1.1010009999999999</v>
      </c>
      <c r="L619">
        <v>366.04199999999997</v>
      </c>
      <c r="M619">
        <v>0.98993989999999998</v>
      </c>
      <c r="N619">
        <v>0</v>
      </c>
      <c r="O619">
        <v>-0.14070729999999901</v>
      </c>
      <c r="P619">
        <v>0.98127830000000005</v>
      </c>
      <c r="Q619">
        <v>6.9838750000000005E-2</v>
      </c>
      <c r="R619">
        <v>-0.17948620000000001</v>
      </c>
      <c r="S619">
        <v>2.7945099999999998</v>
      </c>
      <c r="T619">
        <v>-0.32956849999999999</v>
      </c>
      <c r="U619">
        <v>-1.5972599999999999</v>
      </c>
      <c r="V619">
        <v>4.1352130000000001E-2</v>
      </c>
      <c r="W619">
        <v>8.37976E-2</v>
      </c>
      <c r="X619">
        <v>0.99562439999999996</v>
      </c>
      <c r="Y619">
        <v>0.36795099999999997</v>
      </c>
      <c r="Z619">
        <v>-4.9071200000000001E-3</v>
      </c>
      <c r="AA619">
        <v>0.9298322</v>
      </c>
      <c r="AB619">
        <v>49</v>
      </c>
      <c r="AC619">
        <v>9.0817000000000103</v>
      </c>
      <c r="AD619">
        <v>-1.1010057156469999</v>
      </c>
      <c r="AE619">
        <v>-5.3000000000000096</v>
      </c>
      <c r="AF619">
        <v>3.92621216320059</v>
      </c>
      <c r="AG619">
        <v>-1.1010057156469999</v>
      </c>
      <c r="AH619">
        <v>9.6315627721609793</v>
      </c>
      <c r="AI619">
        <v>96.042547934319003</v>
      </c>
      <c r="AJ619">
        <v>67.822215842598197</v>
      </c>
      <c r="AK619">
        <v>10.459175730927701</v>
      </c>
      <c r="AL619">
        <v>85.193114221841398</v>
      </c>
      <c r="AM619">
        <v>87.621651766102602</v>
      </c>
      <c r="AN619">
        <v>0.99999999114832805</v>
      </c>
    </row>
    <row r="620" spans="1:40" x14ac:dyDescent="0.3">
      <c r="A620" t="str">
        <f>"20200111150734548"</f>
        <v>20200111150734548</v>
      </c>
      <c r="B620" t="str">
        <f>"1578726454541816"</f>
        <v>1578726454541816</v>
      </c>
      <c r="C620" t="s">
        <v>40</v>
      </c>
      <c r="D620">
        <v>5.2846299999999999</v>
      </c>
      <c r="E620">
        <v>0.63285639999999999</v>
      </c>
      <c r="F620" t="s">
        <v>50</v>
      </c>
      <c r="G620">
        <v>-204.23679999999999</v>
      </c>
      <c r="H620" s="1">
        <v>-4.5777049999999997E-6</v>
      </c>
      <c r="I620">
        <v>360.56529999999998</v>
      </c>
      <c r="J620">
        <v>-213.43819999999999</v>
      </c>
      <c r="K620">
        <v>1.100859</v>
      </c>
      <c r="L620">
        <v>366.00729999999999</v>
      </c>
      <c r="M620">
        <v>0.98942660000000004</v>
      </c>
      <c r="N620">
        <v>0</v>
      </c>
      <c r="O620">
        <v>-0.14427029999999999</v>
      </c>
      <c r="P620">
        <v>0.98012869999999996</v>
      </c>
      <c r="Q620">
        <v>7.1028079999999993E-2</v>
      </c>
      <c r="R620">
        <v>-0.18521070000000001</v>
      </c>
      <c r="S620">
        <v>2.7846679999999999</v>
      </c>
      <c r="T620">
        <v>-0.3250017</v>
      </c>
      <c r="U620">
        <v>-1.616638</v>
      </c>
      <c r="V620">
        <v>4.3648579999999999E-2</v>
      </c>
      <c r="W620">
        <v>8.4936990000000004E-2</v>
      </c>
      <c r="X620">
        <v>0.99542980000000003</v>
      </c>
      <c r="Y620">
        <v>0.3709055</v>
      </c>
      <c r="Z620">
        <v>-4.6332689999999998E-3</v>
      </c>
      <c r="AA620">
        <v>0.92865900000000001</v>
      </c>
      <c r="AB620">
        <v>49</v>
      </c>
      <c r="AC620">
        <v>9.2013999999999996</v>
      </c>
      <c r="AD620">
        <v>-1.100863577705</v>
      </c>
      <c r="AE620">
        <v>-5.4420000000000002</v>
      </c>
      <c r="AF620">
        <v>4.0148437226410199</v>
      </c>
      <c r="AG620">
        <v>-1.100863577705</v>
      </c>
      <c r="AH620">
        <v>9.7865403286469501</v>
      </c>
      <c r="AI620">
        <v>95.941410281110095</v>
      </c>
      <c r="AJ620">
        <v>67.694532493464095</v>
      </c>
      <c r="AK620">
        <v>10.635188871768101</v>
      </c>
      <c r="AL620">
        <v>85.1275983857916</v>
      </c>
      <c r="AM620">
        <v>87.4892469351024</v>
      </c>
      <c r="AN620">
        <v>0.99999998876715801</v>
      </c>
    </row>
    <row r="621" spans="1:40" x14ac:dyDescent="0.3">
      <c r="A621" t="str">
        <f>"20200111150734560"</f>
        <v>20200111150734560</v>
      </c>
      <c r="B621" t="str">
        <f>"1578726454551576"</f>
        <v>1578726454551576</v>
      </c>
      <c r="C621" t="s">
        <v>40</v>
      </c>
      <c r="D621">
        <v>5.2378499999999999</v>
      </c>
      <c r="E621">
        <v>0.63294209999999995</v>
      </c>
      <c r="F621" t="s">
        <v>50</v>
      </c>
      <c r="G621">
        <v>-203.89259999999999</v>
      </c>
      <c r="H621" s="1">
        <v>-4.4450429999999999E-6</v>
      </c>
      <c r="I621">
        <v>360.38240000000002</v>
      </c>
      <c r="J621">
        <v>-213.1652</v>
      </c>
      <c r="K621">
        <v>1.1006929999999999</v>
      </c>
      <c r="L621">
        <v>365.96600000000001</v>
      </c>
      <c r="M621">
        <v>0.98879980000000001</v>
      </c>
      <c r="N621">
        <v>0</v>
      </c>
      <c r="O621">
        <v>-0.14850450000000001</v>
      </c>
      <c r="P621">
        <v>0.97884369999999998</v>
      </c>
      <c r="Q621">
        <v>7.1709250000000002E-2</v>
      </c>
      <c r="R621">
        <v>-0.191632</v>
      </c>
      <c r="S621">
        <v>2.7750240000000002</v>
      </c>
      <c r="T621">
        <v>-0.32003510000000002</v>
      </c>
      <c r="U621">
        <v>-1.6352230000000001</v>
      </c>
      <c r="V621">
        <v>4.597391E-2</v>
      </c>
      <c r="W621">
        <v>8.5566980000000001E-2</v>
      </c>
      <c r="X621">
        <v>0.99527109999999996</v>
      </c>
      <c r="Y621">
        <v>0.37300420000000001</v>
      </c>
      <c r="Z621">
        <v>-4.2444930000000002E-3</v>
      </c>
      <c r="AA621">
        <v>0.92781999999999998</v>
      </c>
      <c r="AB621">
        <v>49</v>
      </c>
      <c r="AC621">
        <v>9.2726000000000095</v>
      </c>
      <c r="AD621">
        <v>-1.1006974450429901</v>
      </c>
      <c r="AE621">
        <v>-5.5835999999999899</v>
      </c>
      <c r="AF621">
        <v>4.1020786500531896</v>
      </c>
      <c r="AG621">
        <v>-1.1006974450429901</v>
      </c>
      <c r="AH621">
        <v>9.8966991864171305</v>
      </c>
      <c r="AI621">
        <v>95.866133977523504</v>
      </c>
      <c r="AJ621">
        <v>67.486502866704797</v>
      </c>
      <c r="AK621">
        <v>10.769551471773299</v>
      </c>
      <c r="AL621">
        <v>85.091370464835194</v>
      </c>
      <c r="AM621">
        <v>87.355253348593195</v>
      </c>
      <c r="AN621">
        <v>0.99999993548110699</v>
      </c>
    </row>
    <row r="622" spans="1:40" x14ac:dyDescent="0.3">
      <c r="A622" t="str">
        <f>"20200111150734572"</f>
        <v>20200111150734572</v>
      </c>
      <c r="B622" t="str">
        <f>"1578726454561338"</f>
        <v>1578726454561338</v>
      </c>
      <c r="C622" t="s">
        <v>40</v>
      </c>
      <c r="D622">
        <v>5.2788409999999999</v>
      </c>
      <c r="E622">
        <v>0.63310819999999901</v>
      </c>
      <c r="F622" t="s">
        <v>50</v>
      </c>
      <c r="G622">
        <v>-203.5993</v>
      </c>
      <c r="H622" s="1">
        <v>-4.3294969999999999E-6</v>
      </c>
      <c r="I622">
        <v>360.238</v>
      </c>
      <c r="J622">
        <v>-212.9153</v>
      </c>
      <c r="K622">
        <v>1.10053</v>
      </c>
      <c r="L622">
        <v>365.92649999999998</v>
      </c>
      <c r="M622">
        <v>0.98818680000000003</v>
      </c>
      <c r="N622">
        <v>0</v>
      </c>
      <c r="O622">
        <v>-0.15252669999999999</v>
      </c>
      <c r="P622">
        <v>0.97765080000000004</v>
      </c>
      <c r="Q622">
        <v>7.259902E-2</v>
      </c>
      <c r="R622">
        <v>-0.19730200000000001</v>
      </c>
      <c r="S622">
        <v>2.7640989999999999</v>
      </c>
      <c r="T622">
        <v>-0.3180501</v>
      </c>
      <c r="U622">
        <v>-1.6551209999999901</v>
      </c>
      <c r="V622">
        <v>4.7759660000000002E-2</v>
      </c>
      <c r="W622">
        <v>8.6419239999999994E-2</v>
      </c>
      <c r="X622">
        <v>0.99511340000000004</v>
      </c>
      <c r="Y622">
        <v>0.37578060000000002</v>
      </c>
      <c r="Z622">
        <v>-3.9606099999999998E-3</v>
      </c>
      <c r="AA622">
        <v>0.92670019999999997</v>
      </c>
      <c r="AB622">
        <v>49</v>
      </c>
      <c r="AC622">
        <v>9.3160000000000007</v>
      </c>
      <c r="AD622">
        <v>-1.100534329497</v>
      </c>
      <c r="AE622">
        <v>-5.6884999999999204</v>
      </c>
      <c r="AF622">
        <v>4.1585557625209004</v>
      </c>
      <c r="AG622">
        <v>-1.100534329497</v>
      </c>
      <c r="AH622">
        <v>9.9733340721875603</v>
      </c>
      <c r="AI622">
        <v>95.815437704799095</v>
      </c>
      <c r="AJ622">
        <v>67.365451933014299</v>
      </c>
      <c r="AK622">
        <v>10.861498715916399</v>
      </c>
      <c r="AL622">
        <v>85.042358197774405</v>
      </c>
      <c r="AM622">
        <v>87.252244034708696</v>
      </c>
      <c r="AN622">
        <v>0.99999997451252598</v>
      </c>
    </row>
    <row r="623" spans="1:40" x14ac:dyDescent="0.3">
      <c r="A623" t="str">
        <f>"20200111150734583"</f>
        <v>20200111150734583</v>
      </c>
      <c r="B623" t="str">
        <f>"1578726454581832"</f>
        <v>1578726454581832</v>
      </c>
      <c r="C623" t="s">
        <v>40</v>
      </c>
      <c r="D623">
        <v>5.3023660000000001</v>
      </c>
      <c r="E623">
        <v>0.63332840000000001</v>
      </c>
      <c r="F623" t="s">
        <v>50</v>
      </c>
      <c r="G623">
        <v>-203.2329</v>
      </c>
      <c r="H623" s="1">
        <v>-4.188391E-6</v>
      </c>
      <c r="I623">
        <v>360.04270000000002</v>
      </c>
      <c r="J623">
        <v>-212.66810000000001</v>
      </c>
      <c r="K623">
        <v>1.1003670000000001</v>
      </c>
      <c r="L623">
        <v>365.88679999999999</v>
      </c>
      <c r="M623">
        <v>0.98755490000000001</v>
      </c>
      <c r="N623">
        <v>0</v>
      </c>
      <c r="O623">
        <v>-0.15656439999999999</v>
      </c>
      <c r="P623">
        <v>0.97636900000000004</v>
      </c>
      <c r="Q623">
        <v>7.3966900000000002E-2</v>
      </c>
      <c r="R623">
        <v>-0.20305809999999999</v>
      </c>
      <c r="S623">
        <v>2.754089</v>
      </c>
      <c r="T623">
        <v>-0.31303690000000001</v>
      </c>
      <c r="U623">
        <v>-1.673584</v>
      </c>
      <c r="V623">
        <v>4.9639570000000001E-2</v>
      </c>
      <c r="W623">
        <v>8.7746000000000005E-2</v>
      </c>
      <c r="X623">
        <v>0.99490529999999999</v>
      </c>
      <c r="Y623">
        <v>0.37806699999999999</v>
      </c>
      <c r="Z623">
        <v>-3.6166380000000001E-3</v>
      </c>
      <c r="AA623">
        <v>0.92577120000000002</v>
      </c>
      <c r="AB623">
        <v>49</v>
      </c>
      <c r="AC623">
        <v>9.4352</v>
      </c>
      <c r="AD623">
        <v>-1.1003711883909999</v>
      </c>
      <c r="AE623">
        <v>-5.8440999999999601</v>
      </c>
      <c r="AF623">
        <v>4.2528268431129597</v>
      </c>
      <c r="AG623">
        <v>-1.1003711883909999</v>
      </c>
      <c r="AH623">
        <v>10.134277409862401</v>
      </c>
      <c r="AI623">
        <v>95.717435427097598</v>
      </c>
      <c r="AJ623">
        <v>67.234751902961605</v>
      </c>
      <c r="AK623">
        <v>11.045403185479</v>
      </c>
      <c r="AL623">
        <v>84.966050693196607</v>
      </c>
      <c r="AM623">
        <v>87.143666515049802</v>
      </c>
      <c r="AN623">
        <v>1.0000000016969299</v>
      </c>
    </row>
    <row r="624" spans="1:40" x14ac:dyDescent="0.3">
      <c r="A624" t="str">
        <f>"20200111150734595"</f>
        <v>20200111150734595</v>
      </c>
      <c r="B624" t="str">
        <f>"1578726454591592"</f>
        <v>1578726454591592</v>
      </c>
      <c r="C624" t="s">
        <v>40</v>
      </c>
      <c r="D624">
        <v>5.2702450000000001</v>
      </c>
      <c r="E624">
        <v>0.63346400000000003</v>
      </c>
      <c r="F624" t="s">
        <v>50</v>
      </c>
      <c r="G624">
        <v>-202.8081</v>
      </c>
      <c r="H624" s="1">
        <v>-4.0275349999999999E-6</v>
      </c>
      <c r="I624">
        <v>359.80399999999997</v>
      </c>
      <c r="J624">
        <v>-212.40799999999999</v>
      </c>
      <c r="K624">
        <v>1.1001879999999999</v>
      </c>
      <c r="L624">
        <v>365.84370000000001</v>
      </c>
      <c r="M624">
        <v>0.98685460000000003</v>
      </c>
      <c r="N624">
        <v>0</v>
      </c>
      <c r="O624">
        <v>-0.16091720000000001</v>
      </c>
      <c r="P624">
        <v>0.97497829999999996</v>
      </c>
      <c r="Q624">
        <v>7.5533829999999996E-2</v>
      </c>
      <c r="R624">
        <v>-0.20907429999999999</v>
      </c>
      <c r="S624">
        <v>2.7437740000000002</v>
      </c>
      <c r="T624">
        <v>-0.30620380000000003</v>
      </c>
      <c r="U624">
        <v>-1.6926570000000001</v>
      </c>
      <c r="V624">
        <v>5.148407E-2</v>
      </c>
      <c r="W624">
        <v>8.9272530000000003E-2</v>
      </c>
      <c r="X624">
        <v>0.9946758</v>
      </c>
      <c r="Y624">
        <v>0.38025680000000001</v>
      </c>
      <c r="Z624">
        <v>-3.22609E-3</v>
      </c>
      <c r="AA624">
        <v>0.92487529999999996</v>
      </c>
      <c r="AB624">
        <v>49</v>
      </c>
      <c r="AC624">
        <v>9.5998999999999892</v>
      </c>
      <c r="AD624">
        <v>-1.1001920275349999</v>
      </c>
      <c r="AE624">
        <v>-6.0396999999999803</v>
      </c>
      <c r="AF624">
        <v>4.3748447208644601</v>
      </c>
      <c r="AG624">
        <v>-1.1001920275349999</v>
      </c>
      <c r="AH624">
        <v>10.349381145095</v>
      </c>
      <c r="AI624">
        <v>95.592358642085699</v>
      </c>
      <c r="AJ624">
        <v>67.085461774263706</v>
      </c>
      <c r="AK624">
        <v>11.2897909154942</v>
      </c>
      <c r="AL624">
        <v>84.878242695352597</v>
      </c>
      <c r="AM624">
        <v>87.037034679986803</v>
      </c>
      <c r="AN624">
        <v>1.0000000705909999</v>
      </c>
    </row>
    <row r="625" spans="1:40" x14ac:dyDescent="0.3">
      <c r="A625" t="str">
        <f>"20200111150734607"</f>
        <v>20200111150734607</v>
      </c>
      <c r="B625" t="str">
        <f>"1578726454601352"</f>
        <v>1578726454601352</v>
      </c>
      <c r="C625" t="s">
        <v>40</v>
      </c>
      <c r="D625">
        <v>5.2873769999999896</v>
      </c>
      <c r="E625">
        <v>0.63363409999999998</v>
      </c>
      <c r="F625" t="s">
        <v>50</v>
      </c>
      <c r="G625">
        <v>-202.37450000000001</v>
      </c>
      <c r="H625" s="1">
        <v>-5.8838299999999999E-6</v>
      </c>
      <c r="I625">
        <v>359.55970000000002</v>
      </c>
      <c r="J625">
        <v>-212.16739999999999</v>
      </c>
      <c r="K625">
        <v>1.100017</v>
      </c>
      <c r="L625">
        <v>365.80270000000002</v>
      </c>
      <c r="M625">
        <v>0.98617080000000001</v>
      </c>
      <c r="N625">
        <v>0</v>
      </c>
      <c r="O625">
        <v>-0.1650537</v>
      </c>
      <c r="P625">
        <v>0.97356980000000004</v>
      </c>
      <c r="Q625">
        <v>7.7149809999999999E-2</v>
      </c>
      <c r="R625">
        <v>-0.2149654</v>
      </c>
      <c r="S625">
        <v>2.733139</v>
      </c>
      <c r="T625">
        <v>-0.2996914</v>
      </c>
      <c r="U625">
        <v>-1.7117610000000001</v>
      </c>
      <c r="V625">
        <v>5.3426729999999999E-2</v>
      </c>
      <c r="W625">
        <v>9.0844930000000004E-2</v>
      </c>
      <c r="X625">
        <v>0.99443090000000001</v>
      </c>
      <c r="Y625">
        <v>0.38268970000000002</v>
      </c>
      <c r="Z625">
        <v>-2.885641E-3</v>
      </c>
      <c r="AA625">
        <v>0.92387240000000004</v>
      </c>
      <c r="AB625">
        <v>49</v>
      </c>
      <c r="AC625">
        <v>9.7928999999999693</v>
      </c>
      <c r="AD625">
        <v>-1.1000228838299999</v>
      </c>
      <c r="AE625">
        <v>-6.2429999999999897</v>
      </c>
      <c r="AF625">
        <v>4.5004434105883098</v>
      </c>
      <c r="AG625">
        <v>-1.1000228838299999</v>
      </c>
      <c r="AH625">
        <v>10.594056388304301</v>
      </c>
      <c r="AI625">
        <v>95.459075121822096</v>
      </c>
      <c r="AJ625">
        <v>66.983810347922798</v>
      </c>
      <c r="AK625">
        <v>11.562788244858099</v>
      </c>
      <c r="AL625">
        <v>84.787782936241399</v>
      </c>
      <c r="AM625">
        <v>86.924687332781701</v>
      </c>
      <c r="AN625">
        <v>1.00000001583</v>
      </c>
    </row>
    <row r="626" spans="1:40" x14ac:dyDescent="0.3">
      <c r="A626" t="str">
        <f>"20200111150734620"</f>
        <v>20200111150734620</v>
      </c>
      <c r="B626" t="str">
        <f>"1578726454611676"</f>
        <v>1578726454611676</v>
      </c>
      <c r="C626" t="s">
        <v>40</v>
      </c>
      <c r="D626">
        <v>5.2674810000000001</v>
      </c>
      <c r="E626">
        <v>0.63371180000000005</v>
      </c>
      <c r="F626" t="s">
        <v>50</v>
      </c>
      <c r="G626">
        <v>-201.9607</v>
      </c>
      <c r="H626" s="1">
        <v>-5.9794930000000001E-6</v>
      </c>
      <c r="I626">
        <v>359.31479999999999</v>
      </c>
      <c r="J626">
        <v>-211.88399999999999</v>
      </c>
      <c r="K626">
        <v>1.0998079999999999</v>
      </c>
      <c r="L626">
        <v>365.75349999999997</v>
      </c>
      <c r="M626">
        <v>0.98532989999999998</v>
      </c>
      <c r="N626">
        <v>0</v>
      </c>
      <c r="O626">
        <v>-0.1699997</v>
      </c>
      <c r="P626">
        <v>0.97195509999999996</v>
      </c>
      <c r="Q626">
        <v>7.8856839999999997E-2</v>
      </c>
      <c r="R626">
        <v>-0.22155140000000001</v>
      </c>
      <c r="S626">
        <v>2.7225799999999998</v>
      </c>
      <c r="T626">
        <v>-0.29342370000000001</v>
      </c>
      <c r="U626">
        <v>-1.730591</v>
      </c>
      <c r="V626">
        <v>5.5282699999999997E-2</v>
      </c>
      <c r="W626">
        <v>9.250825E-2</v>
      </c>
      <c r="X626">
        <v>0.99417610000000001</v>
      </c>
      <c r="Y626">
        <v>0.38428069999999998</v>
      </c>
      <c r="Z626">
        <v>-2.4404209999999999E-3</v>
      </c>
      <c r="AA626">
        <v>0.92321310000000001</v>
      </c>
      <c r="AB626">
        <v>49</v>
      </c>
      <c r="AC626">
        <v>9.92330000000001</v>
      </c>
      <c r="AD626">
        <v>-1.099813979493</v>
      </c>
      <c r="AE626">
        <v>-6.4386999999999803</v>
      </c>
      <c r="AF626">
        <v>4.6178912522073503</v>
      </c>
      <c r="AG626">
        <v>-1.099813979493</v>
      </c>
      <c r="AH626">
        <v>10.7803362668737</v>
      </c>
      <c r="AI626">
        <v>95.357450417940797</v>
      </c>
      <c r="AJ626">
        <v>66.811525883964094</v>
      </c>
      <c r="AK626">
        <v>11.7792257994137</v>
      </c>
      <c r="AL626">
        <v>84.692078788809397</v>
      </c>
      <c r="AM626">
        <v>86.817257285104404</v>
      </c>
      <c r="AN626">
        <v>1.00000003552428</v>
      </c>
    </row>
    <row r="627" spans="1:40" x14ac:dyDescent="0.3">
      <c r="A627" t="str">
        <f>"20200111150734631"</f>
        <v>20200111150734631</v>
      </c>
      <c r="B627" t="str">
        <f>"1578726454621437"</f>
        <v>1578726454621437</v>
      </c>
      <c r="C627" t="s">
        <v>40</v>
      </c>
      <c r="D627">
        <v>5.3085899999999997</v>
      </c>
      <c r="E627">
        <v>0.63382280000000002</v>
      </c>
      <c r="F627" t="s">
        <v>50</v>
      </c>
      <c r="G627">
        <v>-201.56110000000001</v>
      </c>
      <c r="H627">
        <v>8.3496969999999997E-3</v>
      </c>
      <c r="I627">
        <v>359.0883</v>
      </c>
      <c r="J627">
        <v>-211.6302</v>
      </c>
      <c r="K627">
        <v>1.099607</v>
      </c>
      <c r="L627">
        <v>365.70749999999998</v>
      </c>
      <c r="M627">
        <v>0.98452390000000001</v>
      </c>
      <c r="N627">
        <v>0</v>
      </c>
      <c r="O627">
        <v>-0.1746045</v>
      </c>
      <c r="P627">
        <v>0.97036140000000004</v>
      </c>
      <c r="Q627">
        <v>7.9824740000000005E-2</v>
      </c>
      <c r="R627">
        <v>-0.22809380000000001</v>
      </c>
      <c r="S627">
        <v>2.7108150000000002</v>
      </c>
      <c r="T627">
        <v>-0.28661979999999998</v>
      </c>
      <c r="U627">
        <v>-1.750305</v>
      </c>
      <c r="V627">
        <v>5.7416490000000001E-2</v>
      </c>
      <c r="W627">
        <v>9.3425040000000001E-2</v>
      </c>
      <c r="X627">
        <v>0.9939694</v>
      </c>
      <c r="Y627">
        <v>0.38657760000000002</v>
      </c>
      <c r="Z627">
        <v>-2.0739349999999998E-3</v>
      </c>
      <c r="AA627">
        <v>0.92225460000000004</v>
      </c>
      <c r="AB627">
        <v>48</v>
      </c>
      <c r="AC627">
        <v>10.069099999999899</v>
      </c>
      <c r="AD627">
        <v>-1.0912573029999999</v>
      </c>
      <c r="AE627">
        <v>-6.61919999999997</v>
      </c>
      <c r="AF627">
        <v>4.7204738355501501</v>
      </c>
      <c r="AG627">
        <v>-1.0912573029999999</v>
      </c>
      <c r="AH627">
        <v>10.980209818694799</v>
      </c>
      <c r="AI627">
        <v>95.216874736712299</v>
      </c>
      <c r="AJ627">
        <v>66.736771331011496</v>
      </c>
      <c r="AK627">
        <v>12.0016133663781</v>
      </c>
      <c r="AL627">
        <v>84.639322082841502</v>
      </c>
      <c r="AM627">
        <v>86.693991952294894</v>
      </c>
      <c r="AN627">
        <v>1.0000000297796401</v>
      </c>
    </row>
    <row r="628" spans="1:40" x14ac:dyDescent="0.3">
      <c r="A628" t="str">
        <f>"20200111150734643"</f>
        <v>20200111150734643</v>
      </c>
      <c r="B628" t="str">
        <f>"1578726454641932"</f>
        <v>1578726454641932</v>
      </c>
      <c r="C628" t="s">
        <v>40</v>
      </c>
      <c r="D628">
        <v>5.3046989999999896</v>
      </c>
      <c r="E628">
        <v>0.63429930000000001</v>
      </c>
      <c r="F628" t="s">
        <v>50</v>
      </c>
      <c r="G628">
        <v>-201.4238</v>
      </c>
      <c r="H628">
        <v>3.2558499999999997E-2</v>
      </c>
      <c r="I628">
        <v>359.01209999999998</v>
      </c>
      <c r="J628">
        <v>-211.3732</v>
      </c>
      <c r="K628">
        <v>1.099404</v>
      </c>
      <c r="L628">
        <v>365.6601</v>
      </c>
      <c r="M628">
        <v>0.98367309999999997</v>
      </c>
      <c r="N628">
        <v>0</v>
      </c>
      <c r="O628">
        <v>-0.1793323</v>
      </c>
      <c r="P628">
        <v>0.96866830000000004</v>
      </c>
      <c r="Q628">
        <v>8.0863180000000007E-2</v>
      </c>
      <c r="R628">
        <v>-0.2348247</v>
      </c>
      <c r="S628">
        <v>2.6987000000000001</v>
      </c>
      <c r="T628">
        <v>-0.28214030000000001</v>
      </c>
      <c r="U628">
        <v>-1.7703249999999999</v>
      </c>
      <c r="V628">
        <v>5.9631459999999997E-2</v>
      </c>
      <c r="W628">
        <v>9.4408210000000006E-2</v>
      </c>
      <c r="X628">
        <v>0.99374600000000002</v>
      </c>
      <c r="Y628">
        <v>0.38886379999999998</v>
      </c>
      <c r="Z628">
        <v>-1.7244179999999999E-3</v>
      </c>
      <c r="AA628">
        <v>0.92129369999999999</v>
      </c>
      <c r="AB628">
        <v>48</v>
      </c>
      <c r="AC628">
        <v>9.94939999999999</v>
      </c>
      <c r="AD628">
        <v>-1.0668454999999999</v>
      </c>
      <c r="AE628">
        <v>-6.6480000000000201</v>
      </c>
      <c r="AF628">
        <v>4.71824581716763</v>
      </c>
      <c r="AG628">
        <v>-1.0668454999999999</v>
      </c>
      <c r="AH628">
        <v>10.8938128440066</v>
      </c>
      <c r="AI628">
        <v>95.135073299652007</v>
      </c>
      <c r="AJ628">
        <v>66.581963654495794</v>
      </c>
      <c r="AK628">
        <v>11.919528564181199</v>
      </c>
      <c r="AL628">
        <v>84.582740161734307</v>
      </c>
      <c r="AM628">
        <v>86.565984725759506</v>
      </c>
      <c r="AN628">
        <v>0.999999966826567</v>
      </c>
    </row>
    <row r="629" spans="1:40" x14ac:dyDescent="0.3">
      <c r="A629" t="str">
        <f>"20200111150734657"</f>
        <v>20200111150734657</v>
      </c>
      <c r="B629" t="str">
        <f>"1578726454651692"</f>
        <v>1578726454651692</v>
      </c>
      <c r="C629" t="s">
        <v>40</v>
      </c>
      <c r="D629">
        <v>5.3269010000000003</v>
      </c>
      <c r="E629">
        <v>0.68280200000000002</v>
      </c>
      <c r="F629" t="s">
        <v>50</v>
      </c>
      <c r="G629">
        <v>-201.32509999999999</v>
      </c>
      <c r="H629">
        <v>5.8309079999999999E-2</v>
      </c>
      <c r="I629">
        <v>358.9479</v>
      </c>
      <c r="J629">
        <v>-211.08840000000001</v>
      </c>
      <c r="K629">
        <v>1.099175</v>
      </c>
      <c r="L629">
        <v>365.60610000000003</v>
      </c>
      <c r="M629">
        <v>0.98267990000000005</v>
      </c>
      <c r="N629">
        <v>0</v>
      </c>
      <c r="O629">
        <v>-0.18469459999999999</v>
      </c>
      <c r="P629">
        <v>0.96671209999999996</v>
      </c>
      <c r="Q629">
        <v>8.1965159999999995E-2</v>
      </c>
      <c r="R629">
        <v>-0.24238319999999999</v>
      </c>
      <c r="S629">
        <v>2.6853940000000001</v>
      </c>
      <c r="T629">
        <v>-0.27823629999999999</v>
      </c>
      <c r="U629">
        <v>-1.7938540000000001</v>
      </c>
      <c r="V629">
        <v>6.2073349999999999E-2</v>
      </c>
      <c r="W629">
        <v>9.5447290000000004E-2</v>
      </c>
      <c r="X629">
        <v>0.99349719999999997</v>
      </c>
      <c r="Y629">
        <v>0.39156340000000001</v>
      </c>
      <c r="Z629">
        <v>-1.3501400000000001E-3</v>
      </c>
      <c r="AA629">
        <v>0.92015020000000003</v>
      </c>
      <c r="AB629">
        <v>48</v>
      </c>
      <c r="AC629">
        <v>9.7633000000000099</v>
      </c>
      <c r="AD629">
        <v>-1.0408659199999999</v>
      </c>
      <c r="AE629">
        <v>-6.6582000000000203</v>
      </c>
      <c r="AF629">
        <v>4.7037009547138897</v>
      </c>
      <c r="AG629">
        <v>-1.0408659199999999</v>
      </c>
      <c r="AH629">
        <v>10.741834284555001</v>
      </c>
      <c r="AI629">
        <v>95.072368039691099</v>
      </c>
      <c r="AJ629">
        <v>66.352052388546397</v>
      </c>
      <c r="AK629">
        <v>11.7726466154232</v>
      </c>
      <c r="AL629">
        <v>84.522935295299007</v>
      </c>
      <c r="AM629">
        <v>86.424827479939097</v>
      </c>
      <c r="AN629">
        <v>0.99999998617820296</v>
      </c>
    </row>
    <row r="630" spans="1:40" x14ac:dyDescent="0.3">
      <c r="A630" t="str">
        <f>"20200111150734670"</f>
        <v>20200111150734670</v>
      </c>
      <c r="B630" t="str">
        <f>"1578726454661452"</f>
        <v>1578726454661452</v>
      </c>
      <c r="C630" t="s">
        <v>40</v>
      </c>
      <c r="D630">
        <v>5.3263800000000003</v>
      </c>
      <c r="E630">
        <v>0.67685010000000001</v>
      </c>
      <c r="F630" t="s">
        <v>50</v>
      </c>
      <c r="G630">
        <v>-201.93219999999999</v>
      </c>
      <c r="H630">
        <v>7.9987589999999997E-2</v>
      </c>
      <c r="I630">
        <v>357.81720000000001</v>
      </c>
      <c r="J630">
        <v>-210.79730000000001</v>
      </c>
      <c r="K630">
        <v>1.0989469999999999</v>
      </c>
      <c r="L630">
        <v>365.54880000000003</v>
      </c>
      <c r="M630">
        <v>0.98159870000000005</v>
      </c>
      <c r="N630">
        <v>0</v>
      </c>
      <c r="O630">
        <v>-0.1903543</v>
      </c>
      <c r="P630">
        <v>0.96382000000000001</v>
      </c>
      <c r="Q630">
        <v>8.4242020000000001E-2</v>
      </c>
      <c r="R630">
        <v>-0.25289240000000002</v>
      </c>
      <c r="S630">
        <v>2.5778500000000002</v>
      </c>
      <c r="T630">
        <v>-0.28694199999999997</v>
      </c>
      <c r="U630">
        <v>-2.1929020000000001</v>
      </c>
      <c r="V630">
        <v>6.7319970000000007E-2</v>
      </c>
      <c r="W630">
        <v>9.7582089999999996E-2</v>
      </c>
      <c r="X630">
        <v>0.99294800000000005</v>
      </c>
      <c r="Y630">
        <v>0.49004629999999999</v>
      </c>
      <c r="Z630">
        <v>-5.6423640000000004E-3</v>
      </c>
      <c r="AA630">
        <v>0.87167819999999996</v>
      </c>
      <c r="AB630">
        <v>48</v>
      </c>
      <c r="AC630">
        <v>8.8651000000000106</v>
      </c>
      <c r="AD630">
        <v>-1.0189594099999999</v>
      </c>
      <c r="AE630">
        <v>-7.73160000000001</v>
      </c>
      <c r="AF630">
        <v>5.8585340997294999</v>
      </c>
      <c r="AG630">
        <v>-1.0189594099999999</v>
      </c>
      <c r="AH630">
        <v>10.099098946451999</v>
      </c>
      <c r="AI630">
        <v>94.987810106258294</v>
      </c>
      <c r="AJ630">
        <v>59.881781048499803</v>
      </c>
      <c r="AK630">
        <v>11.719748274052201</v>
      </c>
      <c r="AL630">
        <v>84.400046543422306</v>
      </c>
      <c r="AM630">
        <v>86.121391549056497</v>
      </c>
      <c r="AN630">
        <v>0.99999998667678403</v>
      </c>
    </row>
    <row r="631" spans="1:40" x14ac:dyDescent="0.3">
      <c r="A631" t="str">
        <f>"20200111150734682"</f>
        <v>20200111150734682</v>
      </c>
      <c r="B631" t="str">
        <f>"1578726454671212"</f>
        <v>1578726454671212</v>
      </c>
      <c r="C631" t="s">
        <v>40</v>
      </c>
      <c r="D631">
        <v>5.2593110000000003</v>
      </c>
      <c r="E631">
        <v>0.67330900000000005</v>
      </c>
      <c r="F631" t="s">
        <v>50</v>
      </c>
      <c r="G631">
        <v>-201.1371</v>
      </c>
      <c r="H631">
        <v>7.9987790000000003E-2</v>
      </c>
      <c r="I631">
        <v>357.3614</v>
      </c>
      <c r="J631">
        <v>-210.53890000000001</v>
      </c>
      <c r="K631">
        <v>1.0987370000000001</v>
      </c>
      <c r="L631">
        <v>365.49689999999998</v>
      </c>
      <c r="M631">
        <v>0.98059430000000003</v>
      </c>
      <c r="N631">
        <v>0</v>
      </c>
      <c r="O631">
        <v>-0.19545999999999999</v>
      </c>
      <c r="P631">
        <v>0.96173839999999999</v>
      </c>
      <c r="Q631">
        <v>8.5299219999999995E-2</v>
      </c>
      <c r="R631">
        <v>-0.2603528</v>
      </c>
      <c r="S631">
        <v>2.5657199999999998</v>
      </c>
      <c r="T631">
        <v>-0.27063100000000001</v>
      </c>
      <c r="U631">
        <v>-2.1745299999999999</v>
      </c>
      <c r="V631">
        <v>6.9945960000000001E-2</v>
      </c>
      <c r="W631">
        <v>9.8563919999999999E-2</v>
      </c>
      <c r="X631">
        <v>0.99266949999999998</v>
      </c>
      <c r="Y631">
        <v>0.48405019999999999</v>
      </c>
      <c r="Z631">
        <v>-4.6356080000000003E-3</v>
      </c>
      <c r="AA631">
        <v>0.87502800000000003</v>
      </c>
      <c r="AB631">
        <v>48</v>
      </c>
      <c r="AC631">
        <v>9.4017999999999997</v>
      </c>
      <c r="AD631">
        <v>-1.01874921</v>
      </c>
      <c r="AE631">
        <v>-8.1354999999999702</v>
      </c>
      <c r="AF631">
        <v>6.0997026091505102</v>
      </c>
      <c r="AG631">
        <v>-1.01874921</v>
      </c>
      <c r="AH631">
        <v>10.7386614822152</v>
      </c>
      <c r="AI631">
        <v>94.715599703120105</v>
      </c>
      <c r="AJ631">
        <v>60.402848558339102</v>
      </c>
      <c r="AK631">
        <v>12.3920568229235</v>
      </c>
      <c r="AL631">
        <v>84.343519451980598</v>
      </c>
      <c r="AM631">
        <v>85.969458667128606</v>
      </c>
      <c r="AN631">
        <v>1.0000000099381601</v>
      </c>
    </row>
    <row r="632" spans="1:40" x14ac:dyDescent="0.3">
      <c r="A632" t="str">
        <f>"20200111150734694"</f>
        <v>20200111150734694</v>
      </c>
      <c r="B632" t="str">
        <f>"1578726454691709"</f>
        <v>1578726454691709</v>
      </c>
      <c r="C632" t="s">
        <v>40</v>
      </c>
      <c r="D632">
        <v>5.3592000000000004</v>
      </c>
      <c r="E632">
        <v>0.67571099999999995</v>
      </c>
      <c r="F632" t="s">
        <v>50</v>
      </c>
      <c r="G632">
        <v>-200.96789999999999</v>
      </c>
      <c r="H632">
        <v>7.9987870000000003E-2</v>
      </c>
      <c r="I632">
        <v>357.37920000000003</v>
      </c>
      <c r="J632">
        <v>-210.2715</v>
      </c>
      <c r="K632">
        <v>1.0985199999999999</v>
      </c>
      <c r="L632">
        <v>365.44150000000002</v>
      </c>
      <c r="M632">
        <v>0.97949620000000004</v>
      </c>
      <c r="N632">
        <v>0</v>
      </c>
      <c r="O632">
        <v>-0.20088810000000001</v>
      </c>
      <c r="P632">
        <v>0.95947179999999999</v>
      </c>
      <c r="Q632">
        <v>8.6259619999999995E-2</v>
      </c>
      <c r="R632">
        <v>-0.26827849999999998</v>
      </c>
      <c r="S632">
        <v>2.5565030000000002</v>
      </c>
      <c r="T632">
        <v>-0.272117</v>
      </c>
      <c r="U632">
        <v>-2.1683349999999999</v>
      </c>
      <c r="V632">
        <v>7.2738189999999994E-2</v>
      </c>
      <c r="W632">
        <v>9.9441249999999995E-2</v>
      </c>
      <c r="X632">
        <v>0.99238130000000002</v>
      </c>
      <c r="Y632">
        <v>0.4795374</v>
      </c>
      <c r="Z632">
        <v>-3.995284E-3</v>
      </c>
      <c r="AA632">
        <v>0.87751229999999902</v>
      </c>
      <c r="AB632">
        <v>48</v>
      </c>
      <c r="AC632">
        <v>9.3036000000000101</v>
      </c>
      <c r="AD632">
        <v>-1.0185321300000001</v>
      </c>
      <c r="AE632">
        <v>-8.0622999999999898</v>
      </c>
      <c r="AF632">
        <v>5.9877207676454098</v>
      </c>
      <c r="AG632">
        <v>-1.0185321300000001</v>
      </c>
      <c r="AH632">
        <v>10.6607292977376</v>
      </c>
      <c r="AI632">
        <v>94.761782102652603</v>
      </c>
      <c r="AJ632">
        <v>60.678756535177698</v>
      </c>
      <c r="AK632">
        <v>12.269529610004399</v>
      </c>
      <c r="AL632">
        <v>84.293004060231894</v>
      </c>
      <c r="AM632">
        <v>85.807909774016295</v>
      </c>
      <c r="AN632">
        <v>1.00000002553786</v>
      </c>
    </row>
    <row r="633" spans="1:40" x14ac:dyDescent="0.3">
      <c r="A633" t="str">
        <f>"20200111150734706"</f>
        <v>20200111150734706</v>
      </c>
      <c r="B633" t="str">
        <f>"1578726454701468"</f>
        <v>1578726454701468</v>
      </c>
      <c r="C633" t="s">
        <v>40</v>
      </c>
      <c r="D633">
        <v>5.2593480000000001</v>
      </c>
      <c r="E633">
        <v>0.67649709999999996</v>
      </c>
      <c r="F633" t="s">
        <v>50</v>
      </c>
      <c r="G633">
        <v>-200.4597</v>
      </c>
      <c r="H633">
        <v>7.998798E-2</v>
      </c>
      <c r="I633">
        <v>356.88780000000003</v>
      </c>
      <c r="J633">
        <v>-210.03989999999999</v>
      </c>
      <c r="K633">
        <v>1.0983270000000001</v>
      </c>
      <c r="L633">
        <v>365.3922</v>
      </c>
      <c r="M633">
        <v>0.97849819999999998</v>
      </c>
      <c r="N633">
        <v>0</v>
      </c>
      <c r="O633">
        <v>-0.20569209999999999</v>
      </c>
      <c r="P633">
        <v>0.95734830000000004</v>
      </c>
      <c r="Q633">
        <v>8.7162760000000006E-2</v>
      </c>
      <c r="R633">
        <v>-0.27547579999999999</v>
      </c>
      <c r="S633">
        <v>2.5329130000000002</v>
      </c>
      <c r="T633">
        <v>-0.26293499999999997</v>
      </c>
      <c r="U633">
        <v>-2.2081599999999999</v>
      </c>
      <c r="V633">
        <v>7.5412179999999995E-2</v>
      </c>
      <c r="W633">
        <v>0.1002644</v>
      </c>
      <c r="X633">
        <v>0.99209879999999995</v>
      </c>
      <c r="Y633">
        <v>0.48718109999999998</v>
      </c>
      <c r="Z633">
        <v>-3.8122759999999999E-3</v>
      </c>
      <c r="AA633">
        <v>0.87329259999999997</v>
      </c>
      <c r="AB633">
        <v>48</v>
      </c>
      <c r="AC633">
        <v>9.5801999999999907</v>
      </c>
      <c r="AD633">
        <v>-1.01833902</v>
      </c>
      <c r="AE633">
        <v>-8.5043999999999702</v>
      </c>
      <c r="AF633">
        <v>6.3118198615935102</v>
      </c>
      <c r="AG633">
        <v>-1.01833902</v>
      </c>
      <c r="AH633">
        <v>11.0549286613743</v>
      </c>
      <c r="AI633">
        <v>94.573682019701906</v>
      </c>
      <c r="AJ633">
        <v>60.275760911090401</v>
      </c>
      <c r="AK633">
        <v>12.7705728936856</v>
      </c>
      <c r="AL633">
        <v>84.245603927274004</v>
      </c>
      <c r="AM633">
        <v>85.653148060348101</v>
      </c>
      <c r="AN633">
        <v>0.99999998788057598</v>
      </c>
    </row>
    <row r="634" spans="1:40" x14ac:dyDescent="0.3">
      <c r="A634" t="str">
        <f>"20200111150734717"</f>
        <v>20200111150734717</v>
      </c>
      <c r="B634" t="str">
        <f>"1578726454711228"</f>
        <v>1578726454711228</v>
      </c>
      <c r="C634" t="s">
        <v>40</v>
      </c>
      <c r="D634">
        <v>5.2910279999999998</v>
      </c>
      <c r="E634">
        <v>0.67687580000000003</v>
      </c>
      <c r="F634" t="s">
        <v>50</v>
      </c>
      <c r="G634">
        <v>-200.20269999999999</v>
      </c>
      <c r="H634">
        <v>7.9987970000000005E-2</v>
      </c>
      <c r="I634">
        <v>356.6524</v>
      </c>
      <c r="J634">
        <v>-209.8066</v>
      </c>
      <c r="K634">
        <v>1.0981339999999999</v>
      </c>
      <c r="L634">
        <v>365.34160000000003</v>
      </c>
      <c r="M634">
        <v>0.9774545</v>
      </c>
      <c r="N634">
        <v>0</v>
      </c>
      <c r="O634">
        <v>-0.21059339999999999</v>
      </c>
      <c r="P634">
        <v>0.95520170000000004</v>
      </c>
      <c r="Q634">
        <v>8.7822880000000006E-2</v>
      </c>
      <c r="R634">
        <v>-0.2826244</v>
      </c>
      <c r="S634">
        <v>2.5145420000000001</v>
      </c>
      <c r="T634">
        <v>-0.26030229999999999</v>
      </c>
      <c r="U634">
        <v>-2.2340089999999999</v>
      </c>
      <c r="V634">
        <v>7.7938660000000007E-2</v>
      </c>
      <c r="W634">
        <v>0.10084600000000001</v>
      </c>
      <c r="X634">
        <v>0.99184459999999997</v>
      </c>
      <c r="Y634">
        <v>0.49101289999999997</v>
      </c>
      <c r="Z634">
        <v>-3.547985E-3</v>
      </c>
      <c r="AA634">
        <v>0.87114509999999901</v>
      </c>
      <c r="AB634">
        <v>48</v>
      </c>
      <c r="AC634">
        <v>9.6039000000000101</v>
      </c>
      <c r="AD634">
        <v>-1.01814603</v>
      </c>
      <c r="AE634">
        <v>-8.6892000000000191</v>
      </c>
      <c r="AF634">
        <v>6.43178538610697</v>
      </c>
      <c r="AG634">
        <v>-1.01814603</v>
      </c>
      <c r="AH634">
        <v>11.1496658174782</v>
      </c>
      <c r="AI634">
        <v>94.522624681849706</v>
      </c>
      <c r="AJ634">
        <v>60.0211140250223</v>
      </c>
      <c r="AK634">
        <v>12.9119918073389</v>
      </c>
      <c r="AL634">
        <v>84.212111188657005</v>
      </c>
      <c r="AM634">
        <v>85.506958482554197</v>
      </c>
      <c r="AN634">
        <v>1.0000000304938701</v>
      </c>
    </row>
    <row r="635" spans="1:40" x14ac:dyDescent="0.3">
      <c r="A635" t="str">
        <f>"20200111150734728"</f>
        <v>20200111150734728</v>
      </c>
      <c r="B635" t="str">
        <f>"1578726454721964"</f>
        <v>1578726454721964</v>
      </c>
      <c r="C635" t="s">
        <v>40</v>
      </c>
      <c r="D635">
        <v>5.3119709999999998</v>
      </c>
      <c r="E635">
        <v>0.67658030000000002</v>
      </c>
      <c r="F635" t="s">
        <v>50</v>
      </c>
      <c r="G635">
        <v>-199.21709999999999</v>
      </c>
      <c r="H635" s="1">
        <v>-5.4455050000000001E-6</v>
      </c>
      <c r="I635">
        <v>355.77249999999998</v>
      </c>
      <c r="J635">
        <v>-209.56970000000001</v>
      </c>
      <c r="K635">
        <v>1.0979380000000001</v>
      </c>
      <c r="L635">
        <v>365.2885</v>
      </c>
      <c r="M635">
        <v>0.97633840000000005</v>
      </c>
      <c r="N635">
        <v>0</v>
      </c>
      <c r="O635">
        <v>-0.21570629999999999</v>
      </c>
      <c r="P635">
        <v>0.95285430000000004</v>
      </c>
      <c r="Q635">
        <v>8.8276439999999998E-2</v>
      </c>
      <c r="R635">
        <v>-0.290303599999999</v>
      </c>
      <c r="S635">
        <v>2.496902</v>
      </c>
      <c r="T635">
        <v>-0.25893129999999998</v>
      </c>
      <c r="U635">
        <v>-2.2563170000000001</v>
      </c>
      <c r="V635">
        <v>8.0805150000000006E-2</v>
      </c>
      <c r="W635">
        <v>0.1012118</v>
      </c>
      <c r="X635">
        <v>0.99157790000000001</v>
      </c>
      <c r="Y635">
        <v>0.49381589999999997</v>
      </c>
      <c r="Z635">
        <v>-3.2412840000000001E-3</v>
      </c>
      <c r="AA635">
        <v>0.86956049999999996</v>
      </c>
      <c r="AB635">
        <v>48</v>
      </c>
      <c r="AC635">
        <v>10.352600000000001</v>
      </c>
      <c r="AD635">
        <v>-1.0979434455049999</v>
      </c>
      <c r="AE635">
        <v>-9.5160000000000196</v>
      </c>
      <c r="AF635">
        <v>7.01576931625066</v>
      </c>
      <c r="AG635">
        <v>-1.0979434455049999</v>
      </c>
      <c r="AH635">
        <v>12.0880301984515</v>
      </c>
      <c r="AI635">
        <v>94.491737492565093</v>
      </c>
      <c r="AJ635">
        <v>59.869558093393302</v>
      </c>
      <c r="AK635">
        <v>14.0195211397197</v>
      </c>
      <c r="AL635">
        <v>84.191044522637398</v>
      </c>
      <c r="AM635">
        <v>85.341176831025095</v>
      </c>
      <c r="AN635">
        <v>1.0000000162470799</v>
      </c>
    </row>
    <row r="636" spans="1:40" x14ac:dyDescent="0.3">
      <c r="A636" t="str">
        <f>"20200111150734739"</f>
        <v>20200111150734739</v>
      </c>
      <c r="B636" t="str">
        <f>"1578726454731723"</f>
        <v>1578726454731723</v>
      </c>
      <c r="C636" t="s">
        <v>40</v>
      </c>
      <c r="D636">
        <v>5.3954680000000002</v>
      </c>
      <c r="E636">
        <v>0.67658949999999995</v>
      </c>
      <c r="F636" t="s">
        <v>50</v>
      </c>
      <c r="G636">
        <v>-199.0309</v>
      </c>
      <c r="H636" s="1">
        <v>-5.3650859999999997E-6</v>
      </c>
      <c r="I636">
        <v>355.61919999999998</v>
      </c>
      <c r="J636">
        <v>-209.32759999999999</v>
      </c>
      <c r="K636">
        <v>1.097737</v>
      </c>
      <c r="L636">
        <v>365.2337</v>
      </c>
      <c r="M636">
        <v>0.97516049999999999</v>
      </c>
      <c r="N636">
        <v>0</v>
      </c>
      <c r="O636">
        <v>-0.2209682</v>
      </c>
      <c r="P636">
        <v>0.9504707</v>
      </c>
      <c r="Q636">
        <v>8.9077749999999997E-2</v>
      </c>
      <c r="R636">
        <v>-0.29777599999999999</v>
      </c>
      <c r="S636">
        <v>2.4793090000000002</v>
      </c>
      <c r="T636">
        <v>-0.25829530000000001</v>
      </c>
      <c r="U636">
        <v>-2.27475</v>
      </c>
      <c r="V636">
        <v>8.3336549999999995E-2</v>
      </c>
      <c r="W636">
        <v>0.10193099999999999</v>
      </c>
      <c r="X636">
        <v>0.99129469999999997</v>
      </c>
      <c r="Y636">
        <v>0.49572090000000002</v>
      </c>
      <c r="Z636">
        <v>-2.8942970000000001E-3</v>
      </c>
      <c r="AA636">
        <v>0.86847700000000005</v>
      </c>
      <c r="AB636">
        <v>48</v>
      </c>
      <c r="AC636">
        <v>10.2966999999999</v>
      </c>
      <c r="AD636">
        <v>-1.0977423650859901</v>
      </c>
      <c r="AE636">
        <v>-9.6145000000000191</v>
      </c>
      <c r="AF636">
        <v>7.0584138364063698</v>
      </c>
      <c r="AG636">
        <v>-1.0977423650859901</v>
      </c>
      <c r="AH636">
        <v>12.0934334658011</v>
      </c>
      <c r="AI636">
        <v>94.482574800614202</v>
      </c>
      <c r="AJ636">
        <v>59.729739820523299</v>
      </c>
      <c r="AK636">
        <v>14.045546524711501</v>
      </c>
      <c r="AL636">
        <v>84.149623350421095</v>
      </c>
      <c r="AM636">
        <v>85.194535637007604</v>
      </c>
      <c r="AN636">
        <v>1.00000004578749</v>
      </c>
    </row>
    <row r="637" spans="1:40" x14ac:dyDescent="0.3">
      <c r="A637" t="str">
        <f>"20200111150734750"</f>
        <v>20200111150734750</v>
      </c>
      <c r="B637" t="str">
        <f>"1578726454741484"</f>
        <v>1578726454741484</v>
      </c>
      <c r="C637" t="s">
        <v>40</v>
      </c>
      <c r="D637">
        <v>4.9531280000000004</v>
      </c>
      <c r="E637">
        <v>0.68022660000000001</v>
      </c>
      <c r="F637" t="s">
        <v>50</v>
      </c>
      <c r="G637">
        <v>-198.88679999999999</v>
      </c>
      <c r="H637" s="1">
        <v>-5.3021450000000002E-6</v>
      </c>
      <c r="I637">
        <v>355.4984</v>
      </c>
      <c r="J637">
        <v>-209.0926</v>
      </c>
      <c r="K637">
        <v>1.09754</v>
      </c>
      <c r="L637">
        <v>365.1782</v>
      </c>
      <c r="M637">
        <v>0.97395050000000005</v>
      </c>
      <c r="N637">
        <v>0</v>
      </c>
      <c r="O637">
        <v>-0.22623940000000001</v>
      </c>
      <c r="P637">
        <v>0.94797500000000001</v>
      </c>
      <c r="Q637">
        <v>9.006604E-2</v>
      </c>
      <c r="R637">
        <v>-0.305338</v>
      </c>
      <c r="S637">
        <v>2.4615480000000001</v>
      </c>
      <c r="T637">
        <v>-0.25880609999999998</v>
      </c>
      <c r="U637">
        <v>-2.2952270000000001</v>
      </c>
      <c r="V637">
        <v>8.5974019999999998E-2</v>
      </c>
      <c r="W637">
        <v>0.1028346</v>
      </c>
      <c r="X637">
        <v>0.99097599999999997</v>
      </c>
      <c r="Y637">
        <v>0.49801899999999899</v>
      </c>
      <c r="Z637">
        <v>-2.5757940000000002E-3</v>
      </c>
      <c r="AA637">
        <v>0.86716229999999905</v>
      </c>
      <c r="AB637">
        <v>48</v>
      </c>
      <c r="AC637">
        <v>10.2058</v>
      </c>
      <c r="AD637">
        <v>-1.0975453021449999</v>
      </c>
      <c r="AE637">
        <v>-9.6798000000000002</v>
      </c>
      <c r="AF637">
        <v>7.0764493771308503</v>
      </c>
      <c r="AG637">
        <v>-1.0975453021449999</v>
      </c>
      <c r="AH637">
        <v>12.0579168658406</v>
      </c>
      <c r="AI637">
        <v>94.488650941268205</v>
      </c>
      <c r="AJ637">
        <v>59.5925362919062</v>
      </c>
      <c r="AK637">
        <v>14.024054357455899</v>
      </c>
      <c r="AL637">
        <v>84.097576877730802</v>
      </c>
      <c r="AM637">
        <v>85.041610297053197</v>
      </c>
      <c r="AN637">
        <v>0.99999995982405898</v>
      </c>
    </row>
    <row r="638" spans="1:40" x14ac:dyDescent="0.3">
      <c r="A638" t="str">
        <f>"20200111150734786"</f>
        <v>20200111150734786</v>
      </c>
      <c r="B638" t="str">
        <f>"1578726454781500"</f>
        <v>1578726454781500</v>
      </c>
      <c r="C638" t="s">
        <v>40</v>
      </c>
      <c r="D638">
        <v>5.6762940000000004</v>
      </c>
      <c r="E638">
        <v>0.68348569999999997</v>
      </c>
      <c r="F638" t="s">
        <v>50</v>
      </c>
      <c r="G638">
        <v>-198.12870000000001</v>
      </c>
      <c r="H638" s="1">
        <v>-4.7741069999999997E-6</v>
      </c>
      <c r="I638">
        <v>354.62950000000001</v>
      </c>
      <c r="J638">
        <v>-208.35300000000001</v>
      </c>
      <c r="K638">
        <v>1.0969359999999999</v>
      </c>
      <c r="L638">
        <v>364.99650000000003</v>
      </c>
      <c r="M638">
        <v>0.96983470000000005</v>
      </c>
      <c r="N638">
        <v>0</v>
      </c>
      <c r="O638">
        <v>-0.24327180000000001</v>
      </c>
      <c r="P638">
        <v>0.94022019999999995</v>
      </c>
      <c r="Q638">
        <v>9.3102599999999994E-2</v>
      </c>
      <c r="R638">
        <v>-0.3275941</v>
      </c>
      <c r="S638">
        <v>2.433624</v>
      </c>
      <c r="T638">
        <v>-0.2436178</v>
      </c>
      <c r="U638">
        <v>-2.3414609999999998</v>
      </c>
      <c r="V638">
        <v>9.2289659999999996E-2</v>
      </c>
      <c r="W638">
        <v>0.1056492</v>
      </c>
      <c r="X638">
        <v>0.99011150000000003</v>
      </c>
      <c r="Y638">
        <v>0.4965348</v>
      </c>
      <c r="Z638">
        <v>-1.046218E-3</v>
      </c>
      <c r="AA638">
        <v>0.86801620000000002</v>
      </c>
      <c r="AB638">
        <v>48</v>
      </c>
      <c r="AC638">
        <v>10.2242999999999</v>
      </c>
      <c r="AD638">
        <v>-1.0969407741069901</v>
      </c>
      <c r="AE638">
        <v>-10.367000000000001</v>
      </c>
      <c r="AF638">
        <v>7.5251891389070797</v>
      </c>
      <c r="AG638">
        <v>-1.0969407741069901</v>
      </c>
      <c r="AH638">
        <v>12.369167460055399</v>
      </c>
      <c r="AI638">
        <v>94.332669822000994</v>
      </c>
      <c r="AJ638">
        <v>58.684386725954298</v>
      </c>
      <c r="AK638">
        <v>14.5199192247449</v>
      </c>
      <c r="AL638">
        <v>83.935428719670497</v>
      </c>
      <c r="AM638">
        <v>84.674768223359393</v>
      </c>
      <c r="AN638">
        <v>0.99999995861790203</v>
      </c>
    </row>
    <row r="639" spans="1:40" x14ac:dyDescent="0.3">
      <c r="A639" t="str">
        <f>"20200111150734797"</f>
        <v>20200111150734797</v>
      </c>
      <c r="B639" t="str">
        <f>"1578726454791260"</f>
        <v>1578726454791260</v>
      </c>
      <c r="C639" t="s">
        <v>40</v>
      </c>
      <c r="D639">
        <v>5.232653</v>
      </c>
      <c r="E639">
        <v>0.68497540000000001</v>
      </c>
      <c r="F639" t="s">
        <v>50</v>
      </c>
      <c r="G639">
        <v>-196.8938</v>
      </c>
      <c r="H639" s="1">
        <v>-3.8203139999999996E-6</v>
      </c>
      <c r="I639">
        <v>353.27600000000001</v>
      </c>
      <c r="J639">
        <v>-208.12440000000001</v>
      </c>
      <c r="K639">
        <v>1.0967530000000001</v>
      </c>
      <c r="L639">
        <v>364.93779999999998</v>
      </c>
      <c r="M639">
        <v>0.96845950000000003</v>
      </c>
      <c r="N639">
        <v>0</v>
      </c>
      <c r="O639">
        <v>-0.2486882</v>
      </c>
      <c r="P639">
        <v>0.93791500000000005</v>
      </c>
      <c r="Q639">
        <v>9.4367690000000004E-2</v>
      </c>
      <c r="R639">
        <v>-0.33378210000000003</v>
      </c>
      <c r="S639">
        <v>2.3689580000000001</v>
      </c>
      <c r="T639">
        <v>-0.22677020000000001</v>
      </c>
      <c r="U639">
        <v>-2.422974</v>
      </c>
      <c r="V639">
        <v>9.3400010000000006E-2</v>
      </c>
      <c r="W639">
        <v>0.1068696</v>
      </c>
      <c r="X639">
        <v>0.98987639999999999</v>
      </c>
      <c r="Y639">
        <v>0.51810840000000002</v>
      </c>
      <c r="Z639">
        <v>-1.4549229999999999E-3</v>
      </c>
      <c r="AA639">
        <v>0.85531380000000001</v>
      </c>
      <c r="AB639">
        <v>48</v>
      </c>
      <c r="AC639">
        <v>11.230600000000001</v>
      </c>
      <c r="AD639">
        <v>-1.0967568203139999</v>
      </c>
      <c r="AE639">
        <v>-11.6617999999999</v>
      </c>
      <c r="AF639">
        <v>8.4632477296989794</v>
      </c>
      <c r="AG639">
        <v>-1.0967568203139999</v>
      </c>
      <c r="AH639">
        <v>13.715250690616299</v>
      </c>
      <c r="AI639">
        <v>93.893130219563901</v>
      </c>
      <c r="AJ639">
        <v>58.322576025472003</v>
      </c>
      <c r="AK639">
        <v>16.1535611913785</v>
      </c>
      <c r="AL639">
        <v>83.865106944790497</v>
      </c>
      <c r="AM639">
        <v>84.609802203443394</v>
      </c>
      <c r="AN639">
        <v>0.99999998027455905</v>
      </c>
    </row>
    <row r="640" spans="1:40" x14ac:dyDescent="0.3">
      <c r="A640" t="str">
        <f>"20200111150734808"</f>
        <v>20200111150734808</v>
      </c>
      <c r="B640" t="str">
        <f>"1578726454801998"</f>
        <v>1578726454801998</v>
      </c>
      <c r="C640" t="s">
        <v>40</v>
      </c>
      <c r="D640">
        <v>5.296646</v>
      </c>
      <c r="E640">
        <v>0.68591820000000003</v>
      </c>
      <c r="F640" t="s">
        <v>50</v>
      </c>
      <c r="G640">
        <v>-196.47409999999999</v>
      </c>
      <c r="H640" s="1">
        <v>-3.480716E-6</v>
      </c>
      <c r="I640">
        <v>352.78609999999998</v>
      </c>
      <c r="J640">
        <v>-207.88220000000001</v>
      </c>
      <c r="K640">
        <v>1.0965640000000001</v>
      </c>
      <c r="L640">
        <v>364.87360000000001</v>
      </c>
      <c r="M640">
        <v>0.96693700000000005</v>
      </c>
      <c r="N640">
        <v>0</v>
      </c>
      <c r="O640">
        <v>-0.25454159999999998</v>
      </c>
      <c r="P640">
        <v>0.93547800000000003</v>
      </c>
      <c r="Q640">
        <v>9.5608540000000006E-2</v>
      </c>
      <c r="R640">
        <v>-0.34020660000000003</v>
      </c>
      <c r="S640">
        <v>2.3489230000000001</v>
      </c>
      <c r="T640">
        <v>-0.22112670000000001</v>
      </c>
      <c r="U640">
        <v>-2.4500120000000001</v>
      </c>
      <c r="V640">
        <v>9.4324259999999993E-2</v>
      </c>
      <c r="W640">
        <v>0.108070899999999</v>
      </c>
      <c r="X640">
        <v>0.98965840000000005</v>
      </c>
      <c r="Y640">
        <v>0.52133909999999895</v>
      </c>
      <c r="Z640">
        <v>-1.136143E-3</v>
      </c>
      <c r="AA640">
        <v>0.85334889999999997</v>
      </c>
      <c r="AB640">
        <v>48</v>
      </c>
      <c r="AC640">
        <v>11.408099999999999</v>
      </c>
      <c r="AD640">
        <v>-1.096567480716</v>
      </c>
      <c r="AE640">
        <v>-12.0875</v>
      </c>
      <c r="AF640">
        <v>8.7470018409148604</v>
      </c>
      <c r="AG640">
        <v>-1.096567480716</v>
      </c>
      <c r="AH640">
        <v>14.0482401602259</v>
      </c>
      <c r="AI640">
        <v>93.7910265227205</v>
      </c>
      <c r="AJ640">
        <v>58.091938964894702</v>
      </c>
      <c r="AK640">
        <v>16.5851003326515</v>
      </c>
      <c r="AL640">
        <v>83.7958770981854</v>
      </c>
      <c r="AM640">
        <v>84.555589900168599</v>
      </c>
      <c r="AN640">
        <v>1.0000000670709499</v>
      </c>
    </row>
    <row r="641" spans="1:40" x14ac:dyDescent="0.3">
      <c r="A641" t="str">
        <f>"20200111150734819"</f>
        <v>20200111150734819</v>
      </c>
      <c r="B641" t="str">
        <f>"1578726454811756"</f>
        <v>1578726454811756</v>
      </c>
      <c r="C641" t="s">
        <v>40</v>
      </c>
      <c r="D641">
        <v>5.3199509999999997</v>
      </c>
      <c r="E641">
        <v>0.68579860000000004</v>
      </c>
      <c r="F641" t="s">
        <v>50</v>
      </c>
      <c r="G641">
        <v>-196.6626</v>
      </c>
      <c r="H641" s="1">
        <v>-3.607354E-6</v>
      </c>
      <c r="I641">
        <v>352.9547</v>
      </c>
      <c r="J641">
        <v>-207.63829999999999</v>
      </c>
      <c r="K641">
        <v>1.096374</v>
      </c>
      <c r="L641">
        <v>364.80829999999997</v>
      </c>
      <c r="M641">
        <v>0.96535629999999994</v>
      </c>
      <c r="N641">
        <v>0</v>
      </c>
      <c r="O641">
        <v>-0.26047019999999999</v>
      </c>
      <c r="P641">
        <v>0.93303930000000002</v>
      </c>
      <c r="Q641">
        <v>9.7091750000000004E-2</v>
      </c>
      <c r="R641">
        <v>-0.34642590000000001</v>
      </c>
      <c r="S641">
        <v>2.3300019999999999</v>
      </c>
      <c r="T641">
        <v>-0.22772629999999999</v>
      </c>
      <c r="U641">
        <v>-2.4752200000000002</v>
      </c>
      <c r="V641">
        <v>9.4978789999999993E-2</v>
      </c>
      <c r="W641">
        <v>0.10952089999999901</v>
      </c>
      <c r="X641">
        <v>0.98943630000000005</v>
      </c>
      <c r="Y641">
        <v>0.52388380000000001</v>
      </c>
      <c r="Z641">
        <v>-8.4571349999999995E-4</v>
      </c>
      <c r="AA641">
        <v>0.85178940000000003</v>
      </c>
      <c r="AB641">
        <v>48</v>
      </c>
      <c r="AC641">
        <v>10.9756999999999</v>
      </c>
      <c r="AD641">
        <v>-1.0963776073539999</v>
      </c>
      <c r="AE641">
        <v>-11.853599999999901</v>
      </c>
      <c r="AF641">
        <v>8.5457837995019599</v>
      </c>
      <c r="AG641">
        <v>-1.0963776073539999</v>
      </c>
      <c r="AH641">
        <v>13.6218876586327</v>
      </c>
      <c r="AI641">
        <v>93.900394086615293</v>
      </c>
      <c r="AJ641">
        <v>57.897616188689</v>
      </c>
      <c r="AK641">
        <v>16.117949248900999</v>
      </c>
      <c r="AL641">
        <v>83.712301668455595</v>
      </c>
      <c r="AM641">
        <v>84.516816646177702</v>
      </c>
      <c r="AN641">
        <v>0.99999999492218195</v>
      </c>
    </row>
    <row r="642" spans="1:40" x14ac:dyDescent="0.3">
      <c r="A642" t="str">
        <f>"20200111150734830"</f>
        <v>20200111150734830</v>
      </c>
      <c r="B642" t="str">
        <f>"1578726454821516"</f>
        <v>1578726454821516</v>
      </c>
      <c r="C642" t="s">
        <v>40</v>
      </c>
      <c r="D642">
        <v>5.3461819999999998</v>
      </c>
      <c r="E642">
        <v>0.68570600000000004</v>
      </c>
      <c r="F642" t="s">
        <v>50</v>
      </c>
      <c r="G642">
        <v>-196.4409</v>
      </c>
      <c r="H642" s="1">
        <v>-3.458898E-6</v>
      </c>
      <c r="I642">
        <v>352.75740000000002</v>
      </c>
      <c r="J642">
        <v>-207.4075</v>
      </c>
      <c r="K642">
        <v>1.0961909999999999</v>
      </c>
      <c r="L642">
        <v>364.74400000000003</v>
      </c>
      <c r="M642">
        <v>0.96378839999999999</v>
      </c>
      <c r="N642">
        <v>0</v>
      </c>
      <c r="O642">
        <v>-0.26621119999999998</v>
      </c>
      <c r="P642">
        <v>0.9305831</v>
      </c>
      <c r="Q642">
        <v>9.8770399999999994E-2</v>
      </c>
      <c r="R642">
        <v>-0.35250520000000002</v>
      </c>
      <c r="S642">
        <v>2.3141630000000002</v>
      </c>
      <c r="T642">
        <v>-0.22658919999999999</v>
      </c>
      <c r="U642">
        <v>-2.49057</v>
      </c>
      <c r="V642">
        <v>9.5694899999999999E-2</v>
      </c>
      <c r="W642">
        <v>0.111165899999999</v>
      </c>
      <c r="X642">
        <v>0.98918379999999995</v>
      </c>
      <c r="Y642">
        <v>0.52435639999999994</v>
      </c>
      <c r="Z642">
        <v>-4.4880430000000002E-4</v>
      </c>
      <c r="AA642">
        <v>0.8514988</v>
      </c>
      <c r="AB642">
        <v>48</v>
      </c>
      <c r="AC642">
        <v>10.9666</v>
      </c>
      <c r="AD642">
        <v>-1.0961944588979999</v>
      </c>
      <c r="AE642">
        <v>-11.986599999999999</v>
      </c>
      <c r="AF642">
        <v>8.5950356571370303</v>
      </c>
      <c r="AG642">
        <v>-1.0961944588979999</v>
      </c>
      <c r="AH642">
        <v>13.699754939871299</v>
      </c>
      <c r="AI642">
        <v>93.877595835043394</v>
      </c>
      <c r="AJ642">
        <v>57.896411898558299</v>
      </c>
      <c r="AK642">
        <v>16.209860136710098</v>
      </c>
      <c r="AL642">
        <v>83.617470927106396</v>
      </c>
      <c r="AM642">
        <v>84.474328564285997</v>
      </c>
      <c r="AN642">
        <v>0.99999998069562901</v>
      </c>
    </row>
    <row r="643" spans="1:40" x14ac:dyDescent="0.3">
      <c r="A643" t="str">
        <f>"20200111150734842"</f>
        <v>20200111150734842</v>
      </c>
      <c r="B643" t="str">
        <f>"1578726454831276"</f>
        <v>1578726454831276</v>
      </c>
      <c r="C643" t="s">
        <v>40</v>
      </c>
      <c r="D643">
        <v>5.303858</v>
      </c>
      <c r="E643">
        <v>0.68596939999999995</v>
      </c>
      <c r="F643" t="s">
        <v>50</v>
      </c>
      <c r="G643">
        <v>-196.2533</v>
      </c>
      <c r="H643" s="1">
        <v>-3.3318419999999999E-6</v>
      </c>
      <c r="I643">
        <v>352.58760000000001</v>
      </c>
      <c r="J643">
        <v>-207.1772</v>
      </c>
      <c r="K643">
        <v>1.096015</v>
      </c>
      <c r="L643">
        <v>364.67930000000001</v>
      </c>
      <c r="M643">
        <v>0.96217949999999997</v>
      </c>
      <c r="N643">
        <v>0</v>
      </c>
      <c r="O643">
        <v>-0.27196679999999901</v>
      </c>
      <c r="P643">
        <v>0.92801920000000004</v>
      </c>
      <c r="Q643">
        <v>0.100254</v>
      </c>
      <c r="R643">
        <v>-0.35878870000000002</v>
      </c>
      <c r="S643">
        <v>2.2987519999999999</v>
      </c>
      <c r="T643">
        <v>-0.2259129</v>
      </c>
      <c r="U643">
        <v>-2.5053100000000001</v>
      </c>
      <c r="V643">
        <v>9.6612009999999998E-2</v>
      </c>
      <c r="W643">
        <v>0.11260729999999999</v>
      </c>
      <c r="X643">
        <v>0.98893160000000002</v>
      </c>
      <c r="Y643">
        <v>0.52462200000000003</v>
      </c>
      <c r="Z643" s="1">
        <v>-4.5849010000000002E-5</v>
      </c>
      <c r="AA643">
        <v>0.85133530000000002</v>
      </c>
      <c r="AB643">
        <v>48</v>
      </c>
      <c r="AC643">
        <v>10.9239</v>
      </c>
      <c r="AD643">
        <v>-1.096018331842</v>
      </c>
      <c r="AE643">
        <v>-12.091699999999999</v>
      </c>
      <c r="AF643">
        <v>8.6254876994122807</v>
      </c>
      <c r="AG643">
        <v>-1.096018331842</v>
      </c>
      <c r="AH643">
        <v>13.7388301781374</v>
      </c>
      <c r="AI643">
        <v>93.865231697980306</v>
      </c>
      <c r="AJ643">
        <v>57.878649681967701</v>
      </c>
      <c r="AK643">
        <v>16.259020539385102</v>
      </c>
      <c r="AL643">
        <v>83.534363050578506</v>
      </c>
      <c r="AM643">
        <v>84.420291082735801</v>
      </c>
      <c r="AN643">
        <v>0.99999999698404496</v>
      </c>
    </row>
    <row r="644" spans="1:40" x14ac:dyDescent="0.3">
      <c r="A644" t="str">
        <f>"20200111150734853"</f>
        <v>20200111150734853</v>
      </c>
      <c r="B644" t="str">
        <f>"1578726454851773"</f>
        <v>1578726454851773</v>
      </c>
      <c r="C644" t="s">
        <v>40</v>
      </c>
      <c r="D644">
        <v>5.3324239999999996</v>
      </c>
      <c r="E644">
        <v>0.68604909999999997</v>
      </c>
      <c r="F644" t="s">
        <v>50</v>
      </c>
      <c r="G644">
        <v>-196.00810000000001</v>
      </c>
      <c r="H644" s="1">
        <v>-3.1470460000000001E-6</v>
      </c>
      <c r="I644">
        <v>352.32839999999999</v>
      </c>
      <c r="J644">
        <v>-206.93209999999999</v>
      </c>
      <c r="K644">
        <v>1.095831</v>
      </c>
      <c r="L644">
        <v>364.60820000000001</v>
      </c>
      <c r="M644">
        <v>0.96039830000000004</v>
      </c>
      <c r="N644">
        <v>0</v>
      </c>
      <c r="O644">
        <v>-0.27818959999999998</v>
      </c>
      <c r="P644">
        <v>0.92534850000000002</v>
      </c>
      <c r="Q644">
        <v>0.1011263</v>
      </c>
      <c r="R644">
        <v>-0.36538179999999998</v>
      </c>
      <c r="S644">
        <v>2.2814939999999999</v>
      </c>
      <c r="T644">
        <v>-0.22388179999999999</v>
      </c>
      <c r="U644">
        <v>-2.522888</v>
      </c>
      <c r="V644">
        <v>9.7353049999999997E-2</v>
      </c>
      <c r="W644">
        <v>0.1134445</v>
      </c>
      <c r="X644">
        <v>0.98876319999999995</v>
      </c>
      <c r="Y644">
        <v>0.52528889999999995</v>
      </c>
      <c r="Z644">
        <v>3.7025289999999999E-4</v>
      </c>
      <c r="AA644">
        <v>0.85092389999999996</v>
      </c>
      <c r="AB644">
        <v>48</v>
      </c>
      <c r="AC644">
        <v>10.9239999999999</v>
      </c>
      <c r="AD644">
        <v>-1.095834147046</v>
      </c>
      <c r="AE644">
        <v>-12.2798</v>
      </c>
      <c r="AF644">
        <v>8.7168803908710792</v>
      </c>
      <c r="AG644">
        <v>-1.095834147046</v>
      </c>
      <c r="AH644">
        <v>13.847652368717499</v>
      </c>
      <c r="AI644">
        <v>93.831436241104697</v>
      </c>
      <c r="AJ644">
        <v>57.8102274670889</v>
      </c>
      <c r="AK644">
        <v>16.399461343331801</v>
      </c>
      <c r="AL644">
        <v>83.486085475218303</v>
      </c>
      <c r="AM644">
        <v>84.376814979702701</v>
      </c>
      <c r="AN644">
        <v>0.99999996829939497</v>
      </c>
    </row>
    <row r="645" spans="1:40" x14ac:dyDescent="0.3">
      <c r="A645" t="str">
        <f>"20200111150734866"</f>
        <v>20200111150734866</v>
      </c>
      <c r="B645" t="str">
        <f>"1578726454861532"</f>
        <v>1578726454861532</v>
      </c>
      <c r="C645" t="s">
        <v>40</v>
      </c>
      <c r="D645">
        <v>5.3130430000000004</v>
      </c>
      <c r="E645">
        <v>0.68617419999999996</v>
      </c>
      <c r="F645" t="s">
        <v>50</v>
      </c>
      <c r="G645">
        <v>-195.8322</v>
      </c>
      <c r="H645" s="1">
        <v>-3.0205000000000001E-6</v>
      </c>
      <c r="I645">
        <v>352.15440000000001</v>
      </c>
      <c r="J645">
        <v>-206.6893</v>
      </c>
      <c r="K645">
        <v>1.095648</v>
      </c>
      <c r="L645">
        <v>364.53629999999998</v>
      </c>
      <c r="M645">
        <v>0.95857199999999998</v>
      </c>
      <c r="N645">
        <v>0</v>
      </c>
      <c r="O645">
        <v>-0.28441699999999998</v>
      </c>
      <c r="P645">
        <v>0.92275850000000004</v>
      </c>
      <c r="Q645">
        <v>0.101725</v>
      </c>
      <c r="R645">
        <v>-0.3717104</v>
      </c>
      <c r="S645">
        <v>2.263611</v>
      </c>
      <c r="T645">
        <v>-0.2234737</v>
      </c>
      <c r="U645">
        <v>-2.5397029999999998</v>
      </c>
      <c r="V645">
        <v>9.7796469999999996E-2</v>
      </c>
      <c r="W645">
        <v>0.1140187</v>
      </c>
      <c r="X645">
        <v>0.98865340000000002</v>
      </c>
      <c r="Y645">
        <v>0.52591790000000005</v>
      </c>
      <c r="Z645">
        <v>7.8709979999999895E-4</v>
      </c>
      <c r="AA645">
        <v>0.85053500000000004</v>
      </c>
      <c r="AB645">
        <v>48</v>
      </c>
      <c r="AC645">
        <v>10.857100000000001</v>
      </c>
      <c r="AD645">
        <v>-1.0956510205000001</v>
      </c>
      <c r="AE645">
        <v>-12.3818999999999</v>
      </c>
      <c r="AF645">
        <v>8.7433783699703795</v>
      </c>
      <c r="AG645">
        <v>-1.0956510205000001</v>
      </c>
      <c r="AH645">
        <v>13.8692591255952</v>
      </c>
      <c r="AI645">
        <v>93.8232487342121</v>
      </c>
      <c r="AJ645">
        <v>57.772085065322301</v>
      </c>
      <c r="AK645">
        <v>16.4317821666457</v>
      </c>
      <c r="AL645">
        <v>83.452971449714695</v>
      </c>
      <c r="AM645">
        <v>84.350744692449297</v>
      </c>
      <c r="AN645">
        <v>0.99999997941285501</v>
      </c>
    </row>
    <row r="646" spans="1:40" x14ac:dyDescent="0.3">
      <c r="A646" t="str">
        <f>"20200111150734878"</f>
        <v>20200111150734878</v>
      </c>
      <c r="B646" t="str">
        <f>"1578726454871292"</f>
        <v>1578726454871292</v>
      </c>
      <c r="C646" t="s">
        <v>40</v>
      </c>
      <c r="D646">
        <v>5.3447620000000002</v>
      </c>
      <c r="E646">
        <v>0.68615649999999995</v>
      </c>
      <c r="F646" t="s">
        <v>50</v>
      </c>
      <c r="G646">
        <v>-195.63480000000001</v>
      </c>
      <c r="H646" s="1">
        <v>-2.873144E-6</v>
      </c>
      <c r="I646">
        <v>351.9486</v>
      </c>
      <c r="J646">
        <v>-206.42959999999999</v>
      </c>
      <c r="K646">
        <v>1.0954549999999901</v>
      </c>
      <c r="L646">
        <v>364.4581</v>
      </c>
      <c r="M646">
        <v>0.95655199999999996</v>
      </c>
      <c r="N646">
        <v>0</v>
      </c>
      <c r="O646">
        <v>-0.29113640000000002</v>
      </c>
      <c r="P646">
        <v>0.91983340000000002</v>
      </c>
      <c r="Q646">
        <v>0.1027357</v>
      </c>
      <c r="R646">
        <v>-0.37861800000000001</v>
      </c>
      <c r="S646">
        <v>2.2456049999999999</v>
      </c>
      <c r="T646">
        <v>-0.2225693</v>
      </c>
      <c r="U646">
        <v>-2.5570680000000001</v>
      </c>
      <c r="V646">
        <v>9.8391519999999996E-2</v>
      </c>
      <c r="W646">
        <v>0.1149988</v>
      </c>
      <c r="X646">
        <v>0.9884809</v>
      </c>
      <c r="Y646">
        <v>0.5262135</v>
      </c>
      <c r="Z646">
        <v>1.2485160000000001E-3</v>
      </c>
      <c r="AA646">
        <v>0.85035159999999999</v>
      </c>
      <c r="AB646">
        <v>48</v>
      </c>
      <c r="AC646">
        <v>10.794799999999899</v>
      </c>
      <c r="AD646">
        <v>-1.0954578731439999</v>
      </c>
      <c r="AE646">
        <v>-12.509499999999999</v>
      </c>
      <c r="AF646">
        <v>8.7857045170036301</v>
      </c>
      <c r="AG646">
        <v>-1.0954578731439999</v>
      </c>
      <c r="AH646">
        <v>13.908356096998901</v>
      </c>
      <c r="AI646">
        <v>93.809683349293095</v>
      </c>
      <c r="AJ646">
        <v>57.7199986597372</v>
      </c>
      <c r="AK646">
        <v>16.487298175652001</v>
      </c>
      <c r="AL646">
        <v>83.396444513210994</v>
      </c>
      <c r="AM646">
        <v>84.315610415335001</v>
      </c>
      <c r="AN646">
        <v>1.00000005243707</v>
      </c>
    </row>
    <row r="647" spans="1:40" x14ac:dyDescent="0.3">
      <c r="A647" t="str">
        <f>"20200111150734890"</f>
        <v>20200111150734890</v>
      </c>
      <c r="B647" t="str">
        <f>"1578726454882028"</f>
        <v>1578726454882028</v>
      </c>
      <c r="C647" t="s">
        <v>40</v>
      </c>
      <c r="D647">
        <v>5.3277900000000002</v>
      </c>
      <c r="E647">
        <v>0.68625760000000002</v>
      </c>
      <c r="F647" t="s">
        <v>50</v>
      </c>
      <c r="G647">
        <v>-195.41919999999999</v>
      </c>
      <c r="H647" s="1">
        <v>-2.7002250000000001E-6</v>
      </c>
      <c r="I647">
        <v>351.7285</v>
      </c>
      <c r="J647">
        <v>-206.18010000000001</v>
      </c>
      <c r="K647">
        <v>1.095278</v>
      </c>
      <c r="L647">
        <v>364.3802</v>
      </c>
      <c r="M647">
        <v>0.9545283</v>
      </c>
      <c r="N647">
        <v>0</v>
      </c>
      <c r="O647">
        <v>-0.29770259999999998</v>
      </c>
      <c r="P647">
        <v>0.91684180000000004</v>
      </c>
      <c r="Q647">
        <v>0.10366839999999999</v>
      </c>
      <c r="R647">
        <v>-0.38555650000000002</v>
      </c>
      <c r="S647">
        <v>2.2265929999999998</v>
      </c>
      <c r="T647">
        <v>-0.2215298</v>
      </c>
      <c r="U647">
        <v>-2.574249</v>
      </c>
      <c r="V647">
        <v>9.918093E-2</v>
      </c>
      <c r="W647">
        <v>0.115895899999999</v>
      </c>
      <c r="X647">
        <v>0.98829719999999999</v>
      </c>
      <c r="Y647">
        <v>0.52678789999999998</v>
      </c>
      <c r="Z647">
        <v>1.684276E-3</v>
      </c>
      <c r="AA647">
        <v>0.849995099999999</v>
      </c>
      <c r="AB647">
        <v>48</v>
      </c>
      <c r="AC647">
        <v>10.760899999999999</v>
      </c>
      <c r="AD647">
        <v>-1.095280700225</v>
      </c>
      <c r="AE647">
        <v>-12.6517</v>
      </c>
      <c r="AF647">
        <v>8.8355391565171306</v>
      </c>
      <c r="AG647">
        <v>-1.095280700225</v>
      </c>
      <c r="AH647">
        <v>13.978984591554999</v>
      </c>
      <c r="AI647">
        <v>93.7892428880062</v>
      </c>
      <c r="AJ647">
        <v>57.7047092846787</v>
      </c>
      <c r="AK647">
        <v>16.573424577001699</v>
      </c>
      <c r="AL647">
        <v>83.344698365902005</v>
      </c>
      <c r="AM647">
        <v>84.269248035007294</v>
      </c>
      <c r="AN647">
        <v>1.00000003602015</v>
      </c>
    </row>
    <row r="648" spans="1:40" x14ac:dyDescent="0.3">
      <c r="A648" t="str">
        <f>"20200111150734901"</f>
        <v>20200111150734901</v>
      </c>
      <c r="B648" t="str">
        <f>"1578726454891787"</f>
        <v>1578726454891787</v>
      </c>
      <c r="C648" t="s">
        <v>40</v>
      </c>
      <c r="D648">
        <v>5.3534430000000004</v>
      </c>
      <c r="E648">
        <v>0.68635210000000002</v>
      </c>
      <c r="F648" t="s">
        <v>50</v>
      </c>
      <c r="G648">
        <v>-195.22630000000001</v>
      </c>
      <c r="H648" s="1">
        <v>-2.5216129999999999E-6</v>
      </c>
      <c r="I648">
        <v>351.51339999999999</v>
      </c>
      <c r="J648">
        <v>-205.94399999999999</v>
      </c>
      <c r="K648">
        <v>1.0951109999999999</v>
      </c>
      <c r="L648">
        <v>364.3057</v>
      </c>
      <c r="M648">
        <v>0.95255909999999999</v>
      </c>
      <c r="N648">
        <v>0</v>
      </c>
      <c r="O648">
        <v>-0.30394300000000002</v>
      </c>
      <c r="P648">
        <v>0.91394240000000004</v>
      </c>
      <c r="Q648">
        <v>0.1048602</v>
      </c>
      <c r="R648">
        <v>-0.3920633</v>
      </c>
      <c r="S648">
        <v>2.2068940000000001</v>
      </c>
      <c r="T648">
        <v>-0.22066939999999999</v>
      </c>
      <c r="U648">
        <v>-2.5923159999999998</v>
      </c>
      <c r="V648">
        <v>9.9867899999999996E-2</v>
      </c>
      <c r="W648">
        <v>0.117055199999999</v>
      </c>
      <c r="X648">
        <v>0.98809130000000001</v>
      </c>
      <c r="Y648">
        <v>0.52790890000000001</v>
      </c>
      <c r="Z648">
        <v>2.0737540000000001E-3</v>
      </c>
      <c r="AA648">
        <v>0.84929849999999996</v>
      </c>
      <c r="AB648">
        <v>48</v>
      </c>
      <c r="AC648">
        <v>10.717700000000001</v>
      </c>
      <c r="AD648">
        <v>-1.0951135216129999</v>
      </c>
      <c r="AE648">
        <v>-12.792299999999999</v>
      </c>
      <c r="AF648">
        <v>8.8906839319627693</v>
      </c>
      <c r="AG648">
        <v>-1.0951135216129999</v>
      </c>
      <c r="AH648">
        <v>14.0386832825903</v>
      </c>
      <c r="AI648">
        <v>93.770494341663706</v>
      </c>
      <c r="AJ648">
        <v>57.653960962256498</v>
      </c>
      <c r="AK648">
        <v>16.653172752126299</v>
      </c>
      <c r="AL648">
        <v>83.277819700057606</v>
      </c>
      <c r="AM648">
        <v>84.228627019391993</v>
      </c>
      <c r="AN648">
        <v>0.99999996721656903</v>
      </c>
    </row>
    <row r="649" spans="1:40" x14ac:dyDescent="0.3">
      <c r="A649" t="str">
        <f>"20200111150734913"</f>
        <v>20200111150734913</v>
      </c>
      <c r="B649" t="str">
        <f>"1578726454901548"</f>
        <v>1578726454901548</v>
      </c>
      <c r="C649" t="s">
        <v>40</v>
      </c>
      <c r="D649">
        <v>5.4204480000000004</v>
      </c>
      <c r="E649">
        <v>0.68648769999999903</v>
      </c>
      <c r="F649" t="s">
        <v>50</v>
      </c>
      <c r="G649">
        <v>-195.0635</v>
      </c>
      <c r="H649" s="1">
        <v>-2.3689689999999999E-6</v>
      </c>
      <c r="I649">
        <v>351.3288</v>
      </c>
      <c r="J649">
        <v>-205.70609999999999</v>
      </c>
      <c r="K649">
        <v>1.0949450000000001</v>
      </c>
      <c r="L649">
        <v>364.22829999999999</v>
      </c>
      <c r="M649">
        <v>0.95049879999999998</v>
      </c>
      <c r="N649">
        <v>0</v>
      </c>
      <c r="O649">
        <v>-0.31032480000000001</v>
      </c>
      <c r="P649">
        <v>0.91092209999999996</v>
      </c>
      <c r="Q649">
        <v>0.1063765</v>
      </c>
      <c r="R649">
        <v>-0.39862940000000002</v>
      </c>
      <c r="S649">
        <v>2.1881710000000001</v>
      </c>
      <c r="T649">
        <v>-0.22023670000000001</v>
      </c>
      <c r="U649">
        <v>-2.609772</v>
      </c>
      <c r="V649">
        <v>0.1005061</v>
      </c>
      <c r="W649">
        <v>0.1185411</v>
      </c>
      <c r="X649">
        <v>0.98784950000000005</v>
      </c>
      <c r="Y649">
        <v>0.52860229999999997</v>
      </c>
      <c r="Z649">
        <v>2.4921280000000001E-3</v>
      </c>
      <c r="AA649">
        <v>0.84886589999999995</v>
      </c>
      <c r="AB649">
        <v>48</v>
      </c>
      <c r="AC649">
        <v>10.6425999999999</v>
      </c>
      <c r="AD649">
        <v>-1.0949473689689999</v>
      </c>
      <c r="AE649">
        <v>-12.8994999999999</v>
      </c>
      <c r="AF649">
        <v>8.9211739862066892</v>
      </c>
      <c r="AG649">
        <v>-1.0949473689689999</v>
      </c>
      <c r="AH649">
        <v>14.060305890356601</v>
      </c>
      <c r="AI649">
        <v>93.762116066137693</v>
      </c>
      <c r="AJ649">
        <v>57.605134814443701</v>
      </c>
      <c r="AK649">
        <v>16.6876737972486</v>
      </c>
      <c r="AL649">
        <v>83.192087558387001</v>
      </c>
      <c r="AM649">
        <v>84.190584813947197</v>
      </c>
      <c r="AN649">
        <v>1.0000000515883301</v>
      </c>
    </row>
    <row r="650" spans="1:40" x14ac:dyDescent="0.3">
      <c r="A650" t="str">
        <f>"20200111150734928"</f>
        <v>20200111150734928</v>
      </c>
      <c r="B650" t="str">
        <f>"1578726454922047"</f>
        <v>1578726454922047</v>
      </c>
      <c r="C650" t="s">
        <v>40</v>
      </c>
      <c r="D650">
        <v>5.3104639999999996</v>
      </c>
      <c r="E650">
        <v>0.68661559999999999</v>
      </c>
      <c r="F650" t="s">
        <v>50</v>
      </c>
      <c r="G650">
        <v>-194.7764</v>
      </c>
      <c r="H650" s="1">
        <v>-2.0952880000000002E-6</v>
      </c>
      <c r="I650">
        <v>350.99540000000002</v>
      </c>
      <c r="J650">
        <v>-205.39850000000001</v>
      </c>
      <c r="K650">
        <v>1.0947519999999999</v>
      </c>
      <c r="L650">
        <v>364.1259</v>
      </c>
      <c r="M650">
        <v>0.9477392</v>
      </c>
      <c r="N650">
        <v>0</v>
      </c>
      <c r="O650">
        <v>-0.31865060000000001</v>
      </c>
      <c r="P650">
        <v>0.90654389999999996</v>
      </c>
      <c r="Q650">
        <v>0.109082399999999</v>
      </c>
      <c r="R650">
        <v>-0.40777340000000001</v>
      </c>
      <c r="S650">
        <v>2.1693570000000002</v>
      </c>
      <c r="T650">
        <v>-0.21732850000000001</v>
      </c>
      <c r="U650">
        <v>-2.6264949999999998</v>
      </c>
      <c r="V650">
        <v>0.1020398</v>
      </c>
      <c r="W650">
        <v>0.1211798</v>
      </c>
      <c r="X650">
        <v>0.98737189999999997</v>
      </c>
      <c r="Y650">
        <v>0.52745500000000001</v>
      </c>
      <c r="Z650">
        <v>3.0838139999999998E-3</v>
      </c>
      <c r="AA650">
        <v>0.84957739999999904</v>
      </c>
      <c r="AB650">
        <v>48</v>
      </c>
      <c r="AC650">
        <v>10.6221</v>
      </c>
      <c r="AD650">
        <v>-1.0947540952879999</v>
      </c>
      <c r="AE650">
        <v>-13.1304999999999</v>
      </c>
      <c r="AF650">
        <v>9.0227827184018494</v>
      </c>
      <c r="AG650">
        <v>-1.0947540952879999</v>
      </c>
      <c r="AH650">
        <v>14.1931842952943</v>
      </c>
      <c r="AI650">
        <v>93.724289404769607</v>
      </c>
      <c r="AJ650">
        <v>57.5553752217197</v>
      </c>
      <c r="AK650">
        <v>16.853948349061401</v>
      </c>
      <c r="AL650">
        <v>83.039802698052</v>
      </c>
      <c r="AM650">
        <v>84.099722120865806</v>
      </c>
      <c r="AN650">
        <v>0.99999996681084402</v>
      </c>
    </row>
    <row r="651" spans="1:40" x14ac:dyDescent="0.3">
      <c r="A651" t="str">
        <f>"20200111150734938"</f>
        <v>20200111150734938</v>
      </c>
      <c r="B651" t="str">
        <f>"1578726454931804"</f>
        <v>1578726454931804</v>
      </c>
      <c r="C651" t="s">
        <v>40</v>
      </c>
      <c r="D651">
        <v>5.4306140000000003</v>
      </c>
      <c r="E651">
        <v>0.68664550000000002</v>
      </c>
      <c r="F651" t="s">
        <v>50</v>
      </c>
      <c r="G651">
        <v>-194.53370000000001</v>
      </c>
      <c r="H651" s="1">
        <v>-1.8514299999999999E-6</v>
      </c>
      <c r="I651">
        <v>350.6925</v>
      </c>
      <c r="J651">
        <v>-205.17150000000001</v>
      </c>
      <c r="K651">
        <v>1.0946009999999999</v>
      </c>
      <c r="L651">
        <v>364.04919999999998</v>
      </c>
      <c r="M651">
        <v>0.94563989999999998</v>
      </c>
      <c r="N651">
        <v>0</v>
      </c>
      <c r="O651">
        <v>-0.32482620000000001</v>
      </c>
      <c r="P651">
        <v>0.90340240000000005</v>
      </c>
      <c r="Q651">
        <v>0.1104682</v>
      </c>
      <c r="R651">
        <v>-0.41431990000000002</v>
      </c>
      <c r="S651">
        <v>2.143265</v>
      </c>
      <c r="T651">
        <v>-0.2159595</v>
      </c>
      <c r="U651">
        <v>-2.6499630000000001</v>
      </c>
      <c r="V651">
        <v>0.1028905</v>
      </c>
      <c r="W651">
        <v>0.12252589999999999</v>
      </c>
      <c r="X651">
        <v>0.98711749999999998</v>
      </c>
      <c r="Y651">
        <v>0.53065929999999994</v>
      </c>
      <c r="Z651">
        <v>3.36951E-3</v>
      </c>
      <c r="AA651">
        <v>0.84757850000000001</v>
      </c>
      <c r="AB651">
        <v>48</v>
      </c>
      <c r="AC651">
        <v>10.6378</v>
      </c>
      <c r="AD651">
        <v>-1.0946028514299999</v>
      </c>
      <c r="AE651">
        <v>-13.356699999999901</v>
      </c>
      <c r="AF651">
        <v>9.1387987089730203</v>
      </c>
      <c r="AG651">
        <v>-1.0946028514299999</v>
      </c>
      <c r="AH651">
        <v>14.341023731879099</v>
      </c>
      <c r="AI651">
        <v>93.682937962006307</v>
      </c>
      <c r="AJ651">
        <v>57.492728355959102</v>
      </c>
      <c r="AK651">
        <v>17.040562165721099</v>
      </c>
      <c r="AL651">
        <v>82.962098067294093</v>
      </c>
      <c r="AM651">
        <v>84.049360977709796</v>
      </c>
      <c r="AN651">
        <v>1.0000000049836499</v>
      </c>
    </row>
    <row r="652" spans="1:40" x14ac:dyDescent="0.3">
      <c r="A652" t="str">
        <f>"20200111150734950"</f>
        <v>20200111150734950</v>
      </c>
      <c r="B652" t="str">
        <f>"1578726454941564"</f>
        <v>1578726454941564</v>
      </c>
      <c r="C652" t="s">
        <v>40</v>
      </c>
      <c r="D652">
        <v>5.4217339999999998</v>
      </c>
      <c r="E652">
        <v>0.68658269999999899</v>
      </c>
      <c r="F652" t="s">
        <v>50</v>
      </c>
      <c r="G652">
        <v>-194.23429999999999</v>
      </c>
      <c r="H652" s="1">
        <v>-1.5524709999999901E-6</v>
      </c>
      <c r="I652">
        <v>350.32209999999998</v>
      </c>
      <c r="J652">
        <v>-204.9434</v>
      </c>
      <c r="K652">
        <v>1.0944560000000001</v>
      </c>
      <c r="L652">
        <v>363.96929999999998</v>
      </c>
      <c r="M652">
        <v>0.94344779999999995</v>
      </c>
      <c r="N652">
        <v>0</v>
      </c>
      <c r="O652">
        <v>-0.33113749999999997</v>
      </c>
      <c r="P652">
        <v>0.90040209999999998</v>
      </c>
      <c r="Q652">
        <v>0.1111979</v>
      </c>
      <c r="R652">
        <v>-0.42060789999999998</v>
      </c>
      <c r="S652">
        <v>2.1241150000000002</v>
      </c>
      <c r="T652">
        <v>-0.21258279999999999</v>
      </c>
      <c r="U652">
        <v>-2.6659549999999999</v>
      </c>
      <c r="V652">
        <v>0.1032767</v>
      </c>
      <c r="W652">
        <v>0.1232371</v>
      </c>
      <c r="X652">
        <v>0.98698859999999999</v>
      </c>
      <c r="Y652">
        <v>0.5312209</v>
      </c>
      <c r="Z652">
        <v>3.7278699999999999E-3</v>
      </c>
      <c r="AA652">
        <v>0.84722520000000001</v>
      </c>
      <c r="AB652">
        <v>48</v>
      </c>
      <c r="AC652">
        <v>10.709099999999999</v>
      </c>
      <c r="AD652">
        <v>-1.0944575524710001</v>
      </c>
      <c r="AE652">
        <v>-13.6471999999999</v>
      </c>
      <c r="AF652">
        <v>9.2934302682443395</v>
      </c>
      <c r="AG652">
        <v>-1.0944575524710001</v>
      </c>
      <c r="AH652">
        <v>14.5664545463842</v>
      </c>
      <c r="AI652">
        <v>93.624378993922505</v>
      </c>
      <c r="AJ652">
        <v>57.462034227464699</v>
      </c>
      <c r="AK652">
        <v>17.3132111850101</v>
      </c>
      <c r="AL652">
        <v>82.921037937715198</v>
      </c>
      <c r="AM652">
        <v>84.026411986068894</v>
      </c>
      <c r="AN652">
        <v>0.99999997805462904</v>
      </c>
    </row>
    <row r="653" spans="1:40" x14ac:dyDescent="0.3">
      <c r="A653" t="str">
        <f>"20200111150734962"</f>
        <v>20200111150734962</v>
      </c>
      <c r="B653" t="str">
        <f>"1578726454951324"</f>
        <v>1578726454951324</v>
      </c>
      <c r="C653" t="s">
        <v>40</v>
      </c>
      <c r="D653">
        <v>5.3245079999999998</v>
      </c>
      <c r="E653">
        <v>0.68661209999999995</v>
      </c>
      <c r="F653" t="s">
        <v>50</v>
      </c>
      <c r="G653">
        <v>-193.96940000000001</v>
      </c>
      <c r="H653" s="1">
        <v>-1.2901379999999999E-6</v>
      </c>
      <c r="I653">
        <v>349.99799999999999</v>
      </c>
      <c r="J653">
        <v>-204.7165</v>
      </c>
      <c r="K653">
        <v>1.0943149999999999</v>
      </c>
      <c r="L653">
        <v>363.88920000000002</v>
      </c>
      <c r="M653">
        <v>0.94121699999999997</v>
      </c>
      <c r="N653">
        <v>0</v>
      </c>
      <c r="O653">
        <v>-0.33742480000000002</v>
      </c>
      <c r="P653">
        <v>0.89729749999999997</v>
      </c>
      <c r="Q653">
        <v>0.1120165</v>
      </c>
      <c r="R653">
        <v>-0.42697740000000001</v>
      </c>
      <c r="S653">
        <v>2.1055450000000002</v>
      </c>
      <c r="T653">
        <v>-0.2099898</v>
      </c>
      <c r="U653">
        <v>-2.680634</v>
      </c>
      <c r="V653">
        <v>0.1037931</v>
      </c>
      <c r="W653">
        <v>0.12402920000000001</v>
      </c>
      <c r="X653">
        <v>0.98683520000000002</v>
      </c>
      <c r="Y653">
        <v>0.53147060000000002</v>
      </c>
      <c r="Z653">
        <v>4.0997209999999997E-3</v>
      </c>
      <c r="AA653">
        <v>0.84706680000000001</v>
      </c>
      <c r="AB653">
        <v>48</v>
      </c>
      <c r="AC653">
        <v>10.7470999999999</v>
      </c>
      <c r="AD653">
        <v>-1.0943162901379999</v>
      </c>
      <c r="AE653">
        <v>-13.8911999999999</v>
      </c>
      <c r="AF653">
        <v>9.4129576335096008</v>
      </c>
      <c r="AG653">
        <v>-1.0943162901379999</v>
      </c>
      <c r="AH653">
        <v>14.747224941479599</v>
      </c>
      <c r="AI653">
        <v>93.579146429790896</v>
      </c>
      <c r="AJ653">
        <v>57.450451079985903</v>
      </c>
      <c r="AK653">
        <v>17.5294592907969</v>
      </c>
      <c r="AL653">
        <v>82.875303091396006</v>
      </c>
      <c r="AM653">
        <v>83.995834311975798</v>
      </c>
      <c r="AN653">
        <v>0.99999998100964405</v>
      </c>
    </row>
    <row r="654" spans="1:40" x14ac:dyDescent="0.3">
      <c r="A654" t="str">
        <f>"20200111150734971"</f>
        <v>20200111150734971</v>
      </c>
      <c r="B654" t="str">
        <f>"1578726454962061"</f>
        <v>1578726454962061</v>
      </c>
      <c r="C654" t="s">
        <v>40</v>
      </c>
      <c r="D654">
        <v>5.3427480000000003</v>
      </c>
      <c r="E654">
        <v>0.68652139999999995</v>
      </c>
      <c r="F654" t="s">
        <v>50</v>
      </c>
      <c r="G654">
        <v>-193.815</v>
      </c>
      <c r="H654" s="1">
        <v>-1.131665E-6</v>
      </c>
      <c r="I654">
        <v>349.79969999999997</v>
      </c>
      <c r="J654">
        <v>-204.49709999999999</v>
      </c>
      <c r="K654">
        <v>1.094176</v>
      </c>
      <c r="L654">
        <v>363.80930000000001</v>
      </c>
      <c r="M654">
        <v>0.93898700000000002</v>
      </c>
      <c r="N654">
        <v>0</v>
      </c>
      <c r="O654">
        <v>-0.34358060000000001</v>
      </c>
      <c r="P654">
        <v>0.89416849999999903</v>
      </c>
      <c r="Q654">
        <v>0.1127056</v>
      </c>
      <c r="R654">
        <v>-0.43331320000000001</v>
      </c>
      <c r="S654">
        <v>2.0863800000000001</v>
      </c>
      <c r="T654">
        <v>-0.20943429999999999</v>
      </c>
      <c r="U654">
        <v>-2.6965029999999999</v>
      </c>
      <c r="V654">
        <v>0.1044081</v>
      </c>
      <c r="W654">
        <v>0.1246897</v>
      </c>
      <c r="X654">
        <v>0.98668710000000004</v>
      </c>
      <c r="Y654">
        <v>0.53211469999999905</v>
      </c>
      <c r="Z654">
        <v>4.4814779999999997E-3</v>
      </c>
      <c r="AA654">
        <v>0.84666039999999998</v>
      </c>
      <c r="AB654">
        <v>48</v>
      </c>
      <c r="AC654">
        <v>10.682099999999901</v>
      </c>
      <c r="AD654">
        <v>-1.094177131665</v>
      </c>
      <c r="AE654">
        <v>-14.009600000000001</v>
      </c>
      <c r="AF654">
        <v>9.4494336050735992</v>
      </c>
      <c r="AG654">
        <v>-1.094177131665</v>
      </c>
      <c r="AH654">
        <v>14.788633921830799</v>
      </c>
      <c r="AI654">
        <v>93.567601287793593</v>
      </c>
      <c r="AJ654">
        <v>57.422807298337297</v>
      </c>
      <c r="AK654">
        <v>17.5838764874552</v>
      </c>
      <c r="AL654">
        <v>82.837163314263904</v>
      </c>
      <c r="AM654">
        <v>83.959620493907394</v>
      </c>
      <c r="AN654">
        <v>1.0000000029690499</v>
      </c>
    </row>
    <row r="655" spans="1:40" x14ac:dyDescent="0.3">
      <c r="A655" t="str">
        <f>"20200111150734983"</f>
        <v>20200111150734983</v>
      </c>
      <c r="B655" t="str">
        <f>"1578726454981580"</f>
        <v>1578726454981580</v>
      </c>
      <c r="C655" t="s">
        <v>40</v>
      </c>
      <c r="D655">
        <v>5.2796310000000002</v>
      </c>
      <c r="E655">
        <v>0.68628259999999996</v>
      </c>
      <c r="F655" t="s">
        <v>50</v>
      </c>
      <c r="G655">
        <v>-193.6857</v>
      </c>
      <c r="H655" s="1">
        <v>-9.992514E-7</v>
      </c>
      <c r="I655">
        <v>349.63409999999999</v>
      </c>
      <c r="J655">
        <v>-204.27440000000001</v>
      </c>
      <c r="K655">
        <v>1.094036</v>
      </c>
      <c r="L655">
        <v>363.72730000000001</v>
      </c>
      <c r="M655">
        <v>0.93666729999999998</v>
      </c>
      <c r="N655">
        <v>0</v>
      </c>
      <c r="O655">
        <v>-0.34985359999999999</v>
      </c>
      <c r="P655">
        <v>0.89083969999999901</v>
      </c>
      <c r="Q655">
        <v>0.112812</v>
      </c>
      <c r="R655">
        <v>-0.44008890000000001</v>
      </c>
      <c r="S655">
        <v>2.067688</v>
      </c>
      <c r="T655">
        <v>-0.209262</v>
      </c>
      <c r="U655">
        <v>-2.7110289999999999</v>
      </c>
      <c r="V655">
        <v>0.1053497</v>
      </c>
      <c r="W655">
        <v>0.1247545</v>
      </c>
      <c r="X655">
        <v>0.98657879999999998</v>
      </c>
      <c r="Y655">
        <v>0.53234049999999999</v>
      </c>
      <c r="Z655">
        <v>4.8949900000000001E-3</v>
      </c>
      <c r="AA655">
        <v>0.84651620000000005</v>
      </c>
      <c r="AB655">
        <v>48</v>
      </c>
      <c r="AC655">
        <v>10.588699999999999</v>
      </c>
      <c r="AD655">
        <v>-1.0940369992514001</v>
      </c>
      <c r="AE655">
        <v>-14.0932</v>
      </c>
      <c r="AF655">
        <v>9.4609224712428492</v>
      </c>
      <c r="AG655">
        <v>-1.0940369992514001</v>
      </c>
      <c r="AH655">
        <v>14.793570438668</v>
      </c>
      <c r="AI655">
        <v>93.565049055696406</v>
      </c>
      <c r="AJ655">
        <v>57.399891492944498</v>
      </c>
      <c r="AK655">
        <v>17.594194988303201</v>
      </c>
      <c r="AL655">
        <v>82.833421211239099</v>
      </c>
      <c r="AM655">
        <v>83.904889770634497</v>
      </c>
      <c r="AN655">
        <v>0.99999998658488898</v>
      </c>
    </row>
    <row r="656" spans="1:40" x14ac:dyDescent="0.3">
      <c r="A656" t="str">
        <f>"20200111150734995"</f>
        <v>20200111150734995</v>
      </c>
      <c r="B656" t="str">
        <f>"1578726454991340"</f>
        <v>1578726454991340</v>
      </c>
      <c r="C656" t="s">
        <v>40</v>
      </c>
      <c r="D656">
        <v>5.3188500000000003</v>
      </c>
      <c r="E656">
        <v>0.68610919999999997</v>
      </c>
      <c r="F656" t="s">
        <v>50</v>
      </c>
      <c r="G656">
        <v>-193.9016</v>
      </c>
      <c r="H656" s="1">
        <v>-1.228945E-6</v>
      </c>
      <c r="I656">
        <v>349.92500000000001</v>
      </c>
      <c r="J656">
        <v>-204.04130000000001</v>
      </c>
      <c r="K656">
        <v>1.0938939999999999</v>
      </c>
      <c r="L656">
        <v>363.63940000000002</v>
      </c>
      <c r="M656">
        <v>0.93416569999999999</v>
      </c>
      <c r="N656">
        <v>0</v>
      </c>
      <c r="O656">
        <v>-0.35647820000000002</v>
      </c>
      <c r="P656">
        <v>0.88731649999999995</v>
      </c>
      <c r="Q656">
        <v>0.1131398</v>
      </c>
      <c r="R656">
        <v>-0.4470673</v>
      </c>
      <c r="S656">
        <v>2.0484309999999999</v>
      </c>
      <c r="T656">
        <v>-0.21605089999999999</v>
      </c>
      <c r="U656">
        <v>-2.7256770000000001</v>
      </c>
      <c r="V656">
        <v>0.1061764</v>
      </c>
      <c r="W656">
        <v>0.12504409999999999</v>
      </c>
      <c r="X656">
        <v>0.98645349999999998</v>
      </c>
      <c r="Y656">
        <v>0.53234190000000003</v>
      </c>
      <c r="Z656">
        <v>5.5183659999999898E-3</v>
      </c>
      <c r="AA656">
        <v>0.84651149999999997</v>
      </c>
      <c r="AB656">
        <v>48</v>
      </c>
      <c r="AC656">
        <v>10.139699999999999</v>
      </c>
      <c r="AD656">
        <v>-1.0938952289449999</v>
      </c>
      <c r="AE656">
        <v>-13.714399999999999</v>
      </c>
      <c r="AF656">
        <v>9.1604441181317409</v>
      </c>
      <c r="AG656">
        <v>-1.0938952289449999</v>
      </c>
      <c r="AH656">
        <v>14.304056053231101</v>
      </c>
      <c r="AI656">
        <v>93.684777435358598</v>
      </c>
      <c r="AJ656">
        <v>57.364141467496701</v>
      </c>
      <c r="AK656">
        <v>17.021056453325698</v>
      </c>
      <c r="AL656">
        <v>82.816697357652401</v>
      </c>
      <c r="AM656">
        <v>83.856650203951304</v>
      </c>
      <c r="AN656">
        <v>0.99999998126200895</v>
      </c>
    </row>
    <row r="657" spans="1:40" x14ac:dyDescent="0.3">
      <c r="A657" t="str">
        <f>"20200111150735005"</f>
        <v>20200111150735005</v>
      </c>
      <c r="B657" t="str">
        <f>"1578726455002076"</f>
        <v>1578726455002076</v>
      </c>
      <c r="C657" t="s">
        <v>40</v>
      </c>
      <c r="D657">
        <v>5.2553869999999998</v>
      </c>
      <c r="E657">
        <v>0.68616189999999999</v>
      </c>
      <c r="F657" t="s">
        <v>50</v>
      </c>
      <c r="G657">
        <v>-193.7817</v>
      </c>
      <c r="H657" s="1">
        <v>-1.105054E-6</v>
      </c>
      <c r="I657">
        <v>349.7697</v>
      </c>
      <c r="J657">
        <v>-203.82980000000001</v>
      </c>
      <c r="K657">
        <v>1.093766</v>
      </c>
      <c r="L657">
        <v>363.55799999999999</v>
      </c>
      <c r="M657">
        <v>0.93183170000000004</v>
      </c>
      <c r="N657">
        <v>0</v>
      </c>
      <c r="O657">
        <v>-0.36253429999999998</v>
      </c>
      <c r="P657">
        <v>0.88390899999999994</v>
      </c>
      <c r="Q657">
        <v>0.1137386</v>
      </c>
      <c r="R657">
        <v>-0.45361780000000002</v>
      </c>
      <c r="S657">
        <v>2.0275270000000001</v>
      </c>
      <c r="T657">
        <v>-0.2161778</v>
      </c>
      <c r="U657">
        <v>-2.7409669999999999</v>
      </c>
      <c r="V657">
        <v>0.1071584</v>
      </c>
      <c r="W657">
        <v>0.12559899999999999</v>
      </c>
      <c r="X657">
        <v>0.98627679999999995</v>
      </c>
      <c r="Y657">
        <v>0.53328489999999995</v>
      </c>
      <c r="Z657">
        <v>5.9126079999999998E-3</v>
      </c>
      <c r="AA657">
        <v>0.84591499999999997</v>
      </c>
      <c r="AB657">
        <v>48</v>
      </c>
      <c r="AC657">
        <v>10.0481</v>
      </c>
      <c r="AD657">
        <v>-1.0937671050540001</v>
      </c>
      <c r="AE657">
        <v>-13.7883</v>
      </c>
      <c r="AF657">
        <v>9.1691000636193998</v>
      </c>
      <c r="AG657">
        <v>-1.0937671050540001</v>
      </c>
      <c r="AH657">
        <v>14.304934519984799</v>
      </c>
      <c r="AI657">
        <v>93.683177336144198</v>
      </c>
      <c r="AJ657">
        <v>57.341158967138597</v>
      </c>
      <c r="AK657">
        <v>17.026446313832398</v>
      </c>
      <c r="AL657">
        <v>82.784651265527202</v>
      </c>
      <c r="AM657">
        <v>83.799170219888694</v>
      </c>
      <c r="AN657">
        <v>0.999999978854899</v>
      </c>
    </row>
    <row r="658" spans="1:40" x14ac:dyDescent="0.3">
      <c r="A658" t="str">
        <f>"20200111150735017"</f>
        <v>20200111150735017</v>
      </c>
      <c r="B658" t="str">
        <f>"1578726455011836"</f>
        <v>1578726455011836</v>
      </c>
      <c r="C658" t="s">
        <v>40</v>
      </c>
      <c r="D658">
        <v>5.3236410000000003</v>
      </c>
      <c r="E658">
        <v>0.68602109999999905</v>
      </c>
      <c r="F658" t="s">
        <v>50</v>
      </c>
      <c r="G658">
        <v>-193.7518</v>
      </c>
      <c r="H658" s="1">
        <v>-1.0616590000000001E-6</v>
      </c>
      <c r="I658">
        <v>349.7097</v>
      </c>
      <c r="J658">
        <v>-203.59989999999999</v>
      </c>
      <c r="K658">
        <v>1.0936319999999999</v>
      </c>
      <c r="L658">
        <v>363.46820000000002</v>
      </c>
      <c r="M658">
        <v>0.92923219999999995</v>
      </c>
      <c r="N658">
        <v>0</v>
      </c>
      <c r="O658">
        <v>-0.369145</v>
      </c>
      <c r="P658">
        <v>0.8801061</v>
      </c>
      <c r="Q658">
        <v>0.11393780000000001</v>
      </c>
      <c r="R658">
        <v>-0.4609027</v>
      </c>
      <c r="S658">
        <v>2.0068359999999998</v>
      </c>
      <c r="T658">
        <v>-0.21780430000000001</v>
      </c>
      <c r="U658">
        <v>-2.7576290000000001</v>
      </c>
      <c r="V658">
        <v>0.1083567</v>
      </c>
      <c r="W658">
        <v>0.12574469999999999</v>
      </c>
      <c r="X658">
        <v>0.98612730000000004</v>
      </c>
      <c r="Y658">
        <v>0.53386420000000001</v>
      </c>
      <c r="Z658">
        <v>6.4025740000000003E-3</v>
      </c>
      <c r="AA658">
        <v>0.84554599999999902</v>
      </c>
      <c r="AB658">
        <v>48</v>
      </c>
      <c r="AC658">
        <v>9.8480999999999792</v>
      </c>
      <c r="AD658">
        <v>-1.093633061659</v>
      </c>
      <c r="AE658">
        <v>-13.7585</v>
      </c>
      <c r="AF658">
        <v>9.1125809070917203</v>
      </c>
      <c r="AG658">
        <v>-1.093633061659</v>
      </c>
      <c r="AH658">
        <v>14.1726887323686</v>
      </c>
      <c r="AI658">
        <v>93.713638033665603</v>
      </c>
      <c r="AJ658">
        <v>57.260292296124803</v>
      </c>
      <c r="AK658">
        <v>16.8849124950784</v>
      </c>
      <c r="AL658">
        <v>82.776236550457199</v>
      </c>
      <c r="AM658">
        <v>83.729435632053196</v>
      </c>
      <c r="AN658">
        <v>0.99999997790913397</v>
      </c>
    </row>
    <row r="659" spans="1:40" x14ac:dyDescent="0.3">
      <c r="A659" t="str">
        <f>"20200111150735028"</f>
        <v>20200111150735028</v>
      </c>
      <c r="B659" t="str">
        <f>"1578726455021596"</f>
        <v>1578726455021596</v>
      </c>
      <c r="C659" t="s">
        <v>40</v>
      </c>
      <c r="D659">
        <v>5.3582809999999998</v>
      </c>
      <c r="E659">
        <v>0.68601299999999998</v>
      </c>
      <c r="F659" t="s">
        <v>43</v>
      </c>
      <c r="G659">
        <v>-193.6036</v>
      </c>
      <c r="H659" s="1">
        <v>-4.8966870000000003E-6</v>
      </c>
      <c r="I659">
        <v>349.49759999999998</v>
      </c>
      <c r="J659">
        <v>-203.3707</v>
      </c>
      <c r="K659">
        <v>1.093502</v>
      </c>
      <c r="L659">
        <v>363.37630000000001</v>
      </c>
      <c r="M659">
        <v>0.92655739999999998</v>
      </c>
      <c r="N659">
        <v>0</v>
      </c>
      <c r="O659">
        <v>-0.37580710000000001</v>
      </c>
      <c r="P659">
        <v>0.87610779999999999</v>
      </c>
      <c r="Q659">
        <v>0.1144357</v>
      </c>
      <c r="R659">
        <v>-0.46833720000000001</v>
      </c>
      <c r="S659">
        <v>1.9843900000000001</v>
      </c>
      <c r="T659">
        <v>-0.2171023</v>
      </c>
      <c r="U659">
        <v>-2.7733759999999998</v>
      </c>
      <c r="V659">
        <v>0.1097094</v>
      </c>
      <c r="W659">
        <v>0.12618270000000001</v>
      </c>
      <c r="X659">
        <v>0.98592179999999996</v>
      </c>
      <c r="Y659">
        <v>0.53460249999999998</v>
      </c>
      <c r="Z659">
        <v>6.8276819999999998E-3</v>
      </c>
      <c r="AA659">
        <v>0.8450761</v>
      </c>
      <c r="AB659">
        <v>48</v>
      </c>
      <c r="AC659">
        <v>9.7670999999999992</v>
      </c>
      <c r="AD659">
        <v>-1.0935068966869901</v>
      </c>
      <c r="AE659">
        <v>-13.8787</v>
      </c>
      <c r="AF659">
        <v>9.1520664560302993</v>
      </c>
      <c r="AG659">
        <v>-1.0935068966869901</v>
      </c>
      <c r="AH659">
        <v>14.2083613540687</v>
      </c>
      <c r="AI659">
        <v>93.701956837307904</v>
      </c>
      <c r="AJ659">
        <v>57.213101394862498</v>
      </c>
      <c r="AK659">
        <v>16.9361627919813</v>
      </c>
      <c r="AL659">
        <v>82.750939744471793</v>
      </c>
      <c r="AM659">
        <v>83.650478162441104</v>
      </c>
      <c r="AN659">
        <v>1.00000001097144</v>
      </c>
    </row>
    <row r="660" spans="1:40" x14ac:dyDescent="0.3">
      <c r="A660" t="str">
        <f>"20200111150735040"</f>
        <v>20200111150735040</v>
      </c>
      <c r="B660" t="str">
        <f>"1578726455031355"</f>
        <v>1578726455031355</v>
      </c>
      <c r="C660" t="s">
        <v>40</v>
      </c>
      <c r="D660">
        <v>5.3439009999999998</v>
      </c>
      <c r="E660">
        <v>0.68649729999999998</v>
      </c>
      <c r="F660" t="s">
        <v>43</v>
      </c>
      <c r="G660">
        <v>-193.4469</v>
      </c>
      <c r="H660" s="1">
        <v>-4.786076E-6</v>
      </c>
      <c r="I660">
        <v>349.25420000000003</v>
      </c>
      <c r="J660">
        <v>-203.14789999999999</v>
      </c>
      <c r="K660">
        <v>1.093377</v>
      </c>
      <c r="L660">
        <v>363.286</v>
      </c>
      <c r="M660">
        <v>0.92389980000000005</v>
      </c>
      <c r="N660">
        <v>0</v>
      </c>
      <c r="O660">
        <v>-0.38229299999999999</v>
      </c>
      <c r="P660">
        <v>0.87218300000000004</v>
      </c>
      <c r="Q660">
        <v>0.11491170000000001</v>
      </c>
      <c r="R660">
        <v>-0.4754911</v>
      </c>
      <c r="S660">
        <v>1.960815</v>
      </c>
      <c r="T660">
        <v>-0.21606349999999999</v>
      </c>
      <c r="U660">
        <v>-2.7903440000000002</v>
      </c>
      <c r="V660">
        <v>0.1109483</v>
      </c>
      <c r="W660">
        <v>0.1266023</v>
      </c>
      <c r="X660">
        <v>0.98572930000000003</v>
      </c>
      <c r="Y660">
        <v>0.53588649999999904</v>
      </c>
      <c r="Z660">
        <v>7.2057170000000004E-3</v>
      </c>
      <c r="AA660">
        <v>0.84425930000000005</v>
      </c>
      <c r="AB660">
        <v>47</v>
      </c>
      <c r="AC660">
        <v>9.7009999999999899</v>
      </c>
      <c r="AD660">
        <v>-1.093381786076</v>
      </c>
      <c r="AE660">
        <v>-14.031799999999899</v>
      </c>
      <c r="AF660">
        <v>9.2186898693060808</v>
      </c>
      <c r="AG660">
        <v>-1.093381786076</v>
      </c>
      <c r="AH660">
        <v>14.270257719029701</v>
      </c>
      <c r="AI660">
        <v>93.682386154508293</v>
      </c>
      <c r="AJ660">
        <v>57.137247078585901</v>
      </c>
      <c r="AK660">
        <v>17.024100035070798</v>
      </c>
      <c r="AL660">
        <v>82.7267037020559</v>
      </c>
      <c r="AM660">
        <v>83.578127886956196</v>
      </c>
      <c r="AN660">
        <v>0.99999996025833404</v>
      </c>
    </row>
    <row r="661" spans="1:40" x14ac:dyDescent="0.3">
      <c r="A661" t="str">
        <f>"20200111150735049"</f>
        <v>20200111150735049</v>
      </c>
      <c r="B661" t="str">
        <f>"1578726455042093"</f>
        <v>1578726455042093</v>
      </c>
      <c r="C661" t="s">
        <v>40</v>
      </c>
      <c r="D661">
        <v>5.424912</v>
      </c>
      <c r="E661">
        <v>0.68649729999999998</v>
      </c>
      <c r="F661" t="s">
        <v>43</v>
      </c>
      <c r="G661">
        <v>-193.27879999999999</v>
      </c>
      <c r="H661" s="1">
        <v>-4.6569290000000004E-6</v>
      </c>
      <c r="I661">
        <v>348.96230000000003</v>
      </c>
      <c r="J661">
        <v>-202.93440000000001</v>
      </c>
      <c r="K661">
        <v>1.0932569999999999</v>
      </c>
      <c r="L661">
        <v>363.19670000000002</v>
      </c>
      <c r="M661">
        <v>0.92126949999999996</v>
      </c>
      <c r="N661">
        <v>0</v>
      </c>
      <c r="O661">
        <v>-0.38858779999999998</v>
      </c>
      <c r="P661">
        <v>0.86812929999999999</v>
      </c>
      <c r="Q661">
        <v>0.116239</v>
      </c>
      <c r="R661">
        <v>-0.48253469999999998</v>
      </c>
      <c r="S661">
        <v>1.936035</v>
      </c>
      <c r="T661">
        <v>-0.2144904</v>
      </c>
      <c r="U661">
        <v>-2.8099059999999998</v>
      </c>
      <c r="V661">
        <v>0.1123586</v>
      </c>
      <c r="W661">
        <v>0.12786610000000001</v>
      </c>
      <c r="X661">
        <v>0.98540640000000002</v>
      </c>
      <c r="Y661">
        <v>0.53793500000000005</v>
      </c>
      <c r="Z661">
        <v>7.5164569999999998E-3</v>
      </c>
      <c r="AA661">
        <v>0.84295279999999995</v>
      </c>
      <c r="AB661">
        <v>47</v>
      </c>
      <c r="AC661">
        <v>9.6556000000000193</v>
      </c>
      <c r="AD661">
        <v>-1.0932616569289999</v>
      </c>
      <c r="AE661">
        <v>-14.2343999999999</v>
      </c>
      <c r="AF661">
        <v>9.3252233171126093</v>
      </c>
      <c r="AG661">
        <v>-1.0932616569289999</v>
      </c>
      <c r="AH661">
        <v>14.3705577849164</v>
      </c>
      <c r="AI661">
        <v>93.651525489696297</v>
      </c>
      <c r="AJ661">
        <v>57.0199883815691</v>
      </c>
      <c r="AK661">
        <v>17.1658947338655</v>
      </c>
      <c r="AL661">
        <v>82.653700138973704</v>
      </c>
      <c r="AM661">
        <v>83.495079651719294</v>
      </c>
      <c r="AN661">
        <v>0.99999998384206401</v>
      </c>
    </row>
    <row r="662" spans="1:40" x14ac:dyDescent="0.3">
      <c r="A662" t="str">
        <f>"20200111150735061"</f>
        <v>20200111150735061</v>
      </c>
      <c r="B662" t="str">
        <f>"1578726455051851"</f>
        <v>1578726455051851</v>
      </c>
      <c r="C662" t="s">
        <v>40</v>
      </c>
      <c r="D662">
        <v>4.6166679999999998</v>
      </c>
      <c r="E662">
        <v>0.68634079999999997</v>
      </c>
      <c r="F662" t="s">
        <v>43</v>
      </c>
      <c r="G662">
        <v>-193.0145</v>
      </c>
      <c r="H662" s="1">
        <v>-4.4693300000000001E-6</v>
      </c>
      <c r="I662">
        <v>348.5489</v>
      </c>
      <c r="J662">
        <v>-202.71619999999999</v>
      </c>
      <c r="K662">
        <v>1.0931390000000001</v>
      </c>
      <c r="L662">
        <v>363.10480000000001</v>
      </c>
      <c r="M662">
        <v>0.91852610000000001</v>
      </c>
      <c r="N662">
        <v>0</v>
      </c>
      <c r="O662">
        <v>-0.39502779999999998</v>
      </c>
      <c r="P662">
        <v>0.86418189999999995</v>
      </c>
      <c r="Q662">
        <v>0.11690830000000001</v>
      </c>
      <c r="R662">
        <v>-0.48941000000000001</v>
      </c>
      <c r="S662">
        <v>1.913467</v>
      </c>
      <c r="T662">
        <v>-0.2108796</v>
      </c>
      <c r="U662">
        <v>-2.8254389999999998</v>
      </c>
      <c r="V662">
        <v>0.1133806</v>
      </c>
      <c r="W662">
        <v>0.1284865</v>
      </c>
      <c r="X662">
        <v>0.98520859999999999</v>
      </c>
      <c r="Y662">
        <v>0.5388191</v>
      </c>
      <c r="Z662">
        <v>7.8046969999999898E-3</v>
      </c>
      <c r="AA662">
        <v>0.84238539999999995</v>
      </c>
      <c r="AB662">
        <v>47</v>
      </c>
      <c r="AC662">
        <v>9.7016999999999793</v>
      </c>
      <c r="AD662">
        <v>-1.09314346933</v>
      </c>
      <c r="AE662">
        <v>-14.555899999999999</v>
      </c>
      <c r="AF662">
        <v>9.5016811084991595</v>
      </c>
      <c r="AG662">
        <v>-1.09314346933</v>
      </c>
      <c r="AH662">
        <v>14.606137938608899</v>
      </c>
      <c r="AI662">
        <v>93.589756265466704</v>
      </c>
      <c r="AJ662">
        <v>56.954927429257502</v>
      </c>
      <c r="AK662">
        <v>17.4589854233807</v>
      </c>
      <c r="AL662">
        <v>82.617858037919305</v>
      </c>
      <c r="AM662">
        <v>83.435119423946105</v>
      </c>
      <c r="AN662">
        <v>0.99999996332628405</v>
      </c>
    </row>
    <row r="663" spans="1:40" x14ac:dyDescent="0.3">
      <c r="A663" t="str">
        <f>"20200111150735073"</f>
        <v>20200111150735073</v>
      </c>
      <c r="B663" t="str">
        <f>"1578726455061612"</f>
        <v>1578726455061612</v>
      </c>
      <c r="C663" t="s">
        <v>40</v>
      </c>
      <c r="D663">
        <v>5.2409610000000004</v>
      </c>
      <c r="E663">
        <v>0.68634079999999997</v>
      </c>
      <c r="F663" t="s">
        <v>43</v>
      </c>
      <c r="G663">
        <v>-192.85220000000001</v>
      </c>
      <c r="H663" s="1">
        <v>-4.3544089999999998E-6</v>
      </c>
      <c r="I663">
        <v>348.29570000000001</v>
      </c>
      <c r="J663">
        <v>-202.49109999999999</v>
      </c>
      <c r="K663">
        <v>1.093021</v>
      </c>
      <c r="L663">
        <v>363.00740000000002</v>
      </c>
      <c r="M663">
        <v>0.91561139999999996</v>
      </c>
      <c r="N663">
        <v>0</v>
      </c>
      <c r="O663">
        <v>-0.4017367</v>
      </c>
      <c r="P663">
        <v>0.85996879999999998</v>
      </c>
      <c r="Q663">
        <v>0.11749569999999999</v>
      </c>
      <c r="R663">
        <v>-0.49663750000000001</v>
      </c>
      <c r="S663">
        <v>1.8915709999999999</v>
      </c>
      <c r="T663">
        <v>-0.2096259</v>
      </c>
      <c r="U663">
        <v>-2.8398439999999998</v>
      </c>
      <c r="V663">
        <v>0.11452560000000001</v>
      </c>
      <c r="W663">
        <v>0.12902179999999999</v>
      </c>
      <c r="X663">
        <v>0.98500620000000005</v>
      </c>
      <c r="Y663">
        <v>0.53913959999999905</v>
      </c>
      <c r="Z663">
        <v>8.2114249999999996E-3</v>
      </c>
      <c r="AA663">
        <v>0.84217640000000005</v>
      </c>
      <c r="AB663">
        <v>47</v>
      </c>
      <c r="AC663">
        <v>9.6388999999999694</v>
      </c>
      <c r="AD663">
        <v>-1.0930253544090001</v>
      </c>
      <c r="AE663">
        <v>-14.7117</v>
      </c>
      <c r="AF663">
        <v>9.5622345109063893</v>
      </c>
      <c r="AG663">
        <v>-1.0930253544090001</v>
      </c>
      <c r="AH663">
        <v>14.680958537867699</v>
      </c>
      <c r="AI663">
        <v>93.5698062222354</v>
      </c>
      <c r="AJ663">
        <v>56.922359878481501</v>
      </c>
      <c r="AK663">
        <v>17.554531519170201</v>
      </c>
      <c r="AL663">
        <v>82.5869302733159</v>
      </c>
      <c r="AM663">
        <v>83.368059571985597</v>
      </c>
      <c r="AN663">
        <v>0.99999997598451895</v>
      </c>
    </row>
    <row r="664" spans="1:40" x14ac:dyDescent="0.3">
      <c r="A664" t="str">
        <f>"20200111150735086"</f>
        <v>20200111150735086</v>
      </c>
      <c r="B664" t="str">
        <f>"1578726455082108"</f>
        <v>1578726455082108</v>
      </c>
      <c r="C664" t="s">
        <v>40</v>
      </c>
      <c r="D664">
        <v>5.5758169999999998</v>
      </c>
      <c r="E664">
        <v>0.71457399999999904</v>
      </c>
      <c r="F664" t="s">
        <v>43</v>
      </c>
      <c r="G664">
        <v>-192.66249999999999</v>
      </c>
      <c r="H664" s="1">
        <v>-4.2132599999999997E-6</v>
      </c>
      <c r="I664">
        <v>347.97989999999999</v>
      </c>
      <c r="J664">
        <v>-202.262</v>
      </c>
      <c r="K664">
        <v>1.092903</v>
      </c>
      <c r="L664">
        <v>362.90660000000003</v>
      </c>
      <c r="M664">
        <v>0.91257140000000003</v>
      </c>
      <c r="N664">
        <v>0</v>
      </c>
      <c r="O664">
        <v>-0.40859410000000002</v>
      </c>
      <c r="P664">
        <v>0.85564209999999996</v>
      </c>
      <c r="Q664">
        <v>0.1179886</v>
      </c>
      <c r="R664">
        <v>-0.50393969999999999</v>
      </c>
      <c r="S664">
        <v>1.867691</v>
      </c>
      <c r="T664">
        <v>-0.20770269999999999</v>
      </c>
      <c r="U664">
        <v>-2.8556210000000002</v>
      </c>
      <c r="V664">
        <v>0.11560620000000001</v>
      </c>
      <c r="W664">
        <v>0.12946389999999999</v>
      </c>
      <c r="X664">
        <v>0.98482199999999998</v>
      </c>
      <c r="Y664">
        <v>0.53989900000000002</v>
      </c>
      <c r="Z664">
        <v>8.5801390000000005E-3</v>
      </c>
      <c r="AA664">
        <v>0.84168609999999899</v>
      </c>
      <c r="AB664">
        <v>47</v>
      </c>
      <c r="AC664">
        <v>9.5995000000000008</v>
      </c>
      <c r="AD664">
        <v>-1.09290721326</v>
      </c>
      <c r="AE664">
        <v>-14.9267</v>
      </c>
      <c r="AF664">
        <v>9.6640125598764808</v>
      </c>
      <c r="AG664">
        <v>-1.09290721326</v>
      </c>
      <c r="AH664">
        <v>14.805008042451099</v>
      </c>
      <c r="AI664">
        <v>93.537301605923503</v>
      </c>
      <c r="AJ664">
        <v>56.865388254944897</v>
      </c>
      <c r="AK664">
        <v>17.713719204935199</v>
      </c>
      <c r="AL664">
        <v>82.561385992787294</v>
      </c>
      <c r="AM664">
        <v>83.304808849088104</v>
      </c>
      <c r="AN664">
        <v>1.0000000332828201</v>
      </c>
    </row>
    <row r="665" spans="1:40" x14ac:dyDescent="0.3">
      <c r="A665" t="str">
        <f>"20200111150735095"</f>
        <v>20200111150735095</v>
      </c>
      <c r="B665" t="str">
        <f>"1578726455091869"</f>
        <v>1578726455091869</v>
      </c>
      <c r="C665" t="s">
        <v>40</v>
      </c>
      <c r="D665">
        <v>5.535374</v>
      </c>
      <c r="E665">
        <v>0.70913359999999903</v>
      </c>
      <c r="F665" t="s">
        <v>51</v>
      </c>
      <c r="G665">
        <v>-157.8382</v>
      </c>
      <c r="H665">
        <v>24.491129999999998</v>
      </c>
      <c r="I665">
        <v>284.94740000000002</v>
      </c>
      <c r="J665">
        <v>-202.05029999999999</v>
      </c>
      <c r="K665">
        <v>1.0927960000000001</v>
      </c>
      <c r="L665">
        <v>362.81189999999998</v>
      </c>
      <c r="M665">
        <v>0.90969160000000004</v>
      </c>
      <c r="N665">
        <v>0</v>
      </c>
      <c r="O665">
        <v>-0.41496490000000003</v>
      </c>
      <c r="P665">
        <v>0.85132750000000001</v>
      </c>
      <c r="Q665">
        <v>0.118419</v>
      </c>
      <c r="R665">
        <v>-0.51109529999999903</v>
      </c>
      <c r="S665">
        <v>1.6646879999999999</v>
      </c>
      <c r="T665">
        <v>0.87680100000000005</v>
      </c>
      <c r="U665">
        <v>-2.9213559999999998</v>
      </c>
      <c r="V665">
        <v>0.1170534</v>
      </c>
      <c r="W665">
        <v>0.12982839999999901</v>
      </c>
      <c r="X665">
        <v>0.98460300000000001</v>
      </c>
      <c r="Y665">
        <v>0.57954680000000003</v>
      </c>
      <c r="Z665">
        <v>-3.1908899999999997E-2</v>
      </c>
      <c r="AA665">
        <v>0.81431399999999998</v>
      </c>
      <c r="AB665">
        <v>47</v>
      </c>
      <c r="AC665">
        <v>44.2120999999999</v>
      </c>
      <c r="AD665">
        <v>23.398333999999998</v>
      </c>
      <c r="AE665">
        <v>-77.864499999999893</v>
      </c>
      <c r="AF665">
        <v>49.137796376754402</v>
      </c>
      <c r="AG665">
        <v>23.398333999999998</v>
      </c>
      <c r="AH665">
        <v>67.903253221921702</v>
      </c>
      <c r="AI665">
        <v>74.402495402913502</v>
      </c>
      <c r="AJ665">
        <v>54.108838274649202</v>
      </c>
      <c r="AK665">
        <v>87.022163066998999</v>
      </c>
      <c r="AL665">
        <v>82.540323598142507</v>
      </c>
      <c r="AM665">
        <v>83.220277487847696</v>
      </c>
      <c r="AN665">
        <v>0.99999998975355997</v>
      </c>
    </row>
    <row r="666" spans="1:40" x14ac:dyDescent="0.3">
      <c r="A666" t="str">
        <f>"20200111150735107"</f>
        <v>20200111150735107</v>
      </c>
      <c r="B666" t="str">
        <f>"1578726455101628"</f>
        <v>1578726455101628</v>
      </c>
      <c r="C666" t="s">
        <v>40</v>
      </c>
      <c r="D666">
        <v>5.3955909999999996</v>
      </c>
      <c r="E666">
        <v>0.70913359999999903</v>
      </c>
      <c r="F666" t="s">
        <v>51</v>
      </c>
      <c r="G666">
        <v>-157.8382</v>
      </c>
      <c r="H666">
        <v>23.306799999999999</v>
      </c>
      <c r="I666">
        <v>285.64999999999998</v>
      </c>
      <c r="J666">
        <v>-201.83920000000001</v>
      </c>
      <c r="K666">
        <v>1.0926929999999999</v>
      </c>
      <c r="L666">
        <v>362.71539999999999</v>
      </c>
      <c r="M666">
        <v>0.90674359999999998</v>
      </c>
      <c r="N666">
        <v>0</v>
      </c>
      <c r="O666">
        <v>-0.42136659999999998</v>
      </c>
      <c r="P666">
        <v>0.84689409999999898</v>
      </c>
      <c r="Q666">
        <v>0.1182487</v>
      </c>
      <c r="R666">
        <v>-0.51844749999999995</v>
      </c>
      <c r="S666">
        <v>1.6640470000000001</v>
      </c>
      <c r="T666">
        <v>0.83608890000000002</v>
      </c>
      <c r="U666">
        <v>-2.9042050000000001</v>
      </c>
      <c r="V666">
        <v>0.1186557</v>
      </c>
      <c r="W666">
        <v>0.1295868</v>
      </c>
      <c r="X666">
        <v>0.98444299999999996</v>
      </c>
      <c r="Y666">
        <v>0.57265540000000004</v>
      </c>
      <c r="Z666">
        <v>-3.3440400000000002E-2</v>
      </c>
      <c r="AA666">
        <v>0.81911389999999995</v>
      </c>
      <c r="AB666">
        <v>47</v>
      </c>
      <c r="AC666">
        <v>44.000999999999998</v>
      </c>
      <c r="AD666">
        <v>22.214106999999998</v>
      </c>
      <c r="AE666">
        <v>-77.065399999999997</v>
      </c>
      <c r="AF666">
        <v>48.317230224531897</v>
      </c>
      <c r="AG666">
        <v>22.214106999999998</v>
      </c>
      <c r="AH666">
        <v>68.112068172344607</v>
      </c>
      <c r="AI666">
        <v>75.103849771700396</v>
      </c>
      <c r="AJ666">
        <v>54.648933595256302</v>
      </c>
      <c r="AK666">
        <v>86.413396629758694</v>
      </c>
      <c r="AL666">
        <v>82.5542840238477</v>
      </c>
      <c r="AM666">
        <v>83.127247731869502</v>
      </c>
      <c r="AN666">
        <v>0.99999996706286398</v>
      </c>
    </row>
    <row r="667" spans="1:40" x14ac:dyDescent="0.3">
      <c r="A667" t="str">
        <f>"20200111150735120"</f>
        <v>20200111150735120</v>
      </c>
      <c r="B667" t="str">
        <f>"1578726455111389"</f>
        <v>1578726455111389</v>
      </c>
      <c r="C667" t="s">
        <v>40</v>
      </c>
      <c r="D667">
        <v>5.3450860000000002</v>
      </c>
      <c r="E667">
        <v>0.72403039999999996</v>
      </c>
      <c r="F667" t="s">
        <v>51</v>
      </c>
      <c r="G667">
        <v>-157.8382</v>
      </c>
      <c r="H667">
        <v>23.486719999999998</v>
      </c>
      <c r="I667">
        <v>284.36610000000002</v>
      </c>
      <c r="J667">
        <v>-201.59389999999999</v>
      </c>
      <c r="K667">
        <v>1.09257</v>
      </c>
      <c r="L667">
        <v>362.60199999999998</v>
      </c>
      <c r="M667">
        <v>0.90324389999999999</v>
      </c>
      <c r="N667">
        <v>0</v>
      </c>
      <c r="O667">
        <v>-0.42881629999999898</v>
      </c>
      <c r="P667">
        <v>0.84167729999999996</v>
      </c>
      <c r="Q667">
        <v>0.118062</v>
      </c>
      <c r="R667">
        <v>-0.5269163</v>
      </c>
      <c r="S667">
        <v>1.63913</v>
      </c>
      <c r="T667">
        <v>0.83422649999999998</v>
      </c>
      <c r="U667">
        <v>-2.9186709999999998</v>
      </c>
      <c r="V667">
        <v>0.120447</v>
      </c>
      <c r="W667">
        <v>0.12931780000000001</v>
      </c>
      <c r="X667">
        <v>0.98426089999999999</v>
      </c>
      <c r="Y667">
        <v>0.5731463</v>
      </c>
      <c r="Z667">
        <v>-3.5384430000000001E-2</v>
      </c>
      <c r="AA667">
        <v>0.81868879999999999</v>
      </c>
      <c r="AB667">
        <v>47</v>
      </c>
      <c r="AC667">
        <v>43.755699999999898</v>
      </c>
      <c r="AD667">
        <v>22.39415</v>
      </c>
      <c r="AE667">
        <v>-78.235899999999901</v>
      </c>
      <c r="AF667">
        <v>48.8604470152411</v>
      </c>
      <c r="AG667">
        <v>22.39415</v>
      </c>
      <c r="AH667">
        <v>68.787560246372905</v>
      </c>
      <c r="AI667">
        <v>75.1356416057546</v>
      </c>
      <c r="AJ667">
        <v>54.613465893066497</v>
      </c>
      <c r="AK667">
        <v>87.295874366432997</v>
      </c>
      <c r="AL667">
        <v>82.569827967904502</v>
      </c>
      <c r="AM667">
        <v>83.023229289345295</v>
      </c>
      <c r="AN667">
        <v>1.00000004623732</v>
      </c>
    </row>
    <row r="668" spans="1:40" x14ac:dyDescent="0.3">
      <c r="A668" t="str">
        <f>"20200111150735131"</f>
        <v>20200111150735131</v>
      </c>
      <c r="B668" t="str">
        <f>"1578726455122125"</f>
        <v>1578726455122125</v>
      </c>
      <c r="C668" t="s">
        <v>40</v>
      </c>
      <c r="D668">
        <v>7.6235720000000002</v>
      </c>
      <c r="E668">
        <v>0.72403039999999996</v>
      </c>
      <c r="F668" t="s">
        <v>43</v>
      </c>
      <c r="G668">
        <v>-193.26300000000001</v>
      </c>
      <c r="H668" s="1">
        <v>-3.6751219999999999E-6</v>
      </c>
      <c r="I668">
        <v>346.13209999999998</v>
      </c>
      <c r="J668">
        <v>-201.3603</v>
      </c>
      <c r="K668">
        <v>1.092457</v>
      </c>
      <c r="L668">
        <v>362.49040000000002</v>
      </c>
      <c r="M668">
        <v>0.89979759999999998</v>
      </c>
      <c r="N668">
        <v>0</v>
      </c>
      <c r="O668">
        <v>-0.43600070000000002</v>
      </c>
      <c r="P668">
        <v>0.83662549999999902</v>
      </c>
      <c r="Q668">
        <v>0.1175592</v>
      </c>
      <c r="R668">
        <v>-0.53501189999999998</v>
      </c>
      <c r="S668">
        <v>1.6060939999999999</v>
      </c>
      <c r="T668">
        <v>-0.21063419999999999</v>
      </c>
      <c r="U668">
        <v>-3.1751710000000002</v>
      </c>
      <c r="V668">
        <v>0.1220836</v>
      </c>
      <c r="W668">
        <v>0.1287423</v>
      </c>
      <c r="X668">
        <v>0.98413470000000003</v>
      </c>
      <c r="Y668">
        <v>0.60591049999999902</v>
      </c>
      <c r="Z668">
        <v>7.8290029999999993E-3</v>
      </c>
      <c r="AA668">
        <v>0.79549429999999999</v>
      </c>
      <c r="AB668">
        <v>47</v>
      </c>
      <c r="AC668">
        <v>8.09729999999999</v>
      </c>
      <c r="AD668">
        <v>-1.0924606751220001</v>
      </c>
      <c r="AE668">
        <v>-16.3583</v>
      </c>
      <c r="AF668">
        <v>11.150285004866401</v>
      </c>
      <c r="AG668">
        <v>-1.0924606751220001</v>
      </c>
      <c r="AH668">
        <v>14.36861910036</v>
      </c>
      <c r="AI668">
        <v>93.437425896900507</v>
      </c>
      <c r="AJ668">
        <v>52.187948329687998</v>
      </c>
      <c r="AK668">
        <v>18.2203057292589</v>
      </c>
      <c r="AL668">
        <v>82.603079651000996</v>
      </c>
      <c r="AM668">
        <v>82.928486566828198</v>
      </c>
      <c r="AN668">
        <v>1.00000004647116</v>
      </c>
    </row>
    <row r="669" spans="1:40" x14ac:dyDescent="0.3">
      <c r="A669" t="str">
        <f>"20200111150735192"</f>
        <v>20200111150735192</v>
      </c>
      <c r="B669" t="str">
        <f>"1578726455181662"</f>
        <v>1578726455181662</v>
      </c>
      <c r="C669" t="s">
        <v>40</v>
      </c>
      <c r="D669">
        <v>5.3636720000000002</v>
      </c>
      <c r="E669">
        <v>0.72141759999999999</v>
      </c>
      <c r="F669" t="s">
        <v>43</v>
      </c>
      <c r="G669">
        <v>-193.29480000000001</v>
      </c>
      <c r="H669" s="1">
        <v>-3.693959E-6</v>
      </c>
      <c r="I669">
        <v>346.15629999999999</v>
      </c>
      <c r="J669">
        <v>-200.19280000000001</v>
      </c>
      <c r="K669">
        <v>1.091917</v>
      </c>
      <c r="L669">
        <v>361.9024</v>
      </c>
      <c r="M669">
        <v>0.88122160000000005</v>
      </c>
      <c r="N669">
        <v>0</v>
      </c>
      <c r="O669">
        <v>-0.47241549999999999</v>
      </c>
      <c r="P669">
        <v>0.81172819999999901</v>
      </c>
      <c r="Q669">
        <v>0.1151626</v>
      </c>
      <c r="R669">
        <v>-0.57256909999999905</v>
      </c>
      <c r="S669">
        <v>1.575485</v>
      </c>
      <c r="T669">
        <v>-0.21339610000000001</v>
      </c>
      <c r="U669">
        <v>-3.1906129999999999</v>
      </c>
      <c r="V669">
        <v>0.12659380000000001</v>
      </c>
      <c r="W669">
        <v>0.12613730000000001</v>
      </c>
      <c r="X669">
        <v>0.98390219999999995</v>
      </c>
      <c r="Y669">
        <v>0.58083980000000002</v>
      </c>
      <c r="Z669">
        <v>1.1399400000000001E-2</v>
      </c>
      <c r="AA669">
        <v>0.813938099999999</v>
      </c>
      <c r="AB669">
        <v>47</v>
      </c>
      <c r="AC669">
        <v>6.8979999999999899</v>
      </c>
      <c r="AD669">
        <v>-1.091920693959</v>
      </c>
      <c r="AE669">
        <v>-15.7461</v>
      </c>
      <c r="AF669">
        <v>10.5758574488843</v>
      </c>
      <c r="AG669">
        <v>-1.091920693959</v>
      </c>
      <c r="AH669">
        <v>13.4648832361746</v>
      </c>
      <c r="AI669">
        <v>93.649048802309196</v>
      </c>
      <c r="AJ669">
        <v>51.852492651587298</v>
      </c>
      <c r="AK669">
        <v>17.1564603617656</v>
      </c>
      <c r="AL669">
        <v>82.753562382803096</v>
      </c>
      <c r="AM669">
        <v>82.668317995251201</v>
      </c>
      <c r="AN669">
        <v>1.0000000739072801</v>
      </c>
    </row>
    <row r="670" spans="1:40" x14ac:dyDescent="0.3">
      <c r="A670" t="str">
        <f>"20200111150735208"</f>
        <v>20200111150735208</v>
      </c>
      <c r="B670" t="str">
        <f>"1578726455202156"</f>
        <v>1578726455202156</v>
      </c>
      <c r="C670" t="s">
        <v>40</v>
      </c>
      <c r="D670">
        <v>6.0522070000000001</v>
      </c>
      <c r="E670">
        <v>0.72141759999999999</v>
      </c>
      <c r="F670" t="s">
        <v>43</v>
      </c>
      <c r="G670">
        <v>-193.26840000000001</v>
      </c>
      <c r="H670" s="1">
        <v>-3.759434E-6</v>
      </c>
      <c r="I670">
        <v>346.3304</v>
      </c>
      <c r="J670">
        <v>-199.90369999999999</v>
      </c>
      <c r="K670">
        <v>1.091796</v>
      </c>
      <c r="L670">
        <v>361.7475</v>
      </c>
      <c r="M670">
        <v>0.87624230000000003</v>
      </c>
      <c r="N670">
        <v>0</v>
      </c>
      <c r="O670">
        <v>-0.4815874</v>
      </c>
      <c r="P670">
        <v>0.80499759999999998</v>
      </c>
      <c r="Q670">
        <v>0.11670659999999999</v>
      </c>
      <c r="R670">
        <v>-0.58168629999999999</v>
      </c>
      <c r="S670">
        <v>1.4414830000000001</v>
      </c>
      <c r="T670">
        <v>-0.22730890000000001</v>
      </c>
      <c r="U670">
        <v>-3.2416689999999999</v>
      </c>
      <c r="V670">
        <v>0.1276293</v>
      </c>
      <c r="W670">
        <v>0.12763150000000001</v>
      </c>
      <c r="X670">
        <v>0.98357559999999999</v>
      </c>
      <c r="Y670">
        <v>0.60478350000000003</v>
      </c>
      <c r="Z670">
        <v>1.19428E-2</v>
      </c>
      <c r="AA670">
        <v>0.79630040000000002</v>
      </c>
      <c r="AB670">
        <v>47</v>
      </c>
      <c r="AC670">
        <v>6.6352999999999698</v>
      </c>
      <c r="AD670">
        <v>-1.0917997594339901</v>
      </c>
      <c r="AE670">
        <v>-15.4171</v>
      </c>
      <c r="AF670">
        <v>10.271583928693101</v>
      </c>
      <c r="AG670">
        <v>-1.0917997594339901</v>
      </c>
      <c r="AH670">
        <v>13.1848297423684</v>
      </c>
      <c r="AI670">
        <v>93.737476221413203</v>
      </c>
      <c r="AJ670">
        <v>52.079782409129201</v>
      </c>
      <c r="AK670">
        <v>16.749244712945298</v>
      </c>
      <c r="AL670">
        <v>82.667252887016801</v>
      </c>
      <c r="AM670">
        <v>82.606580372846295</v>
      </c>
      <c r="AN670">
        <v>0.99999999946304996</v>
      </c>
    </row>
    <row r="671" spans="1:40" x14ac:dyDescent="0.3">
      <c r="A671" t="str">
        <f>"20200111150735220"</f>
        <v>20200111150735220</v>
      </c>
      <c r="B671" t="str">
        <f>"1578726455211915"</f>
        <v>1578726455211915</v>
      </c>
      <c r="C671" t="s">
        <v>40</v>
      </c>
      <c r="D671">
        <v>5.3133229999999996</v>
      </c>
      <c r="E671">
        <v>0.71545599999999998</v>
      </c>
      <c r="F671" t="s">
        <v>43</v>
      </c>
      <c r="G671">
        <v>-193.09360000000001</v>
      </c>
      <c r="H671" s="1">
        <v>-3.557101E-6</v>
      </c>
      <c r="I671">
        <v>345.96210000000002</v>
      </c>
      <c r="J671">
        <v>-199.6771</v>
      </c>
      <c r="K671">
        <v>1.0917079999999999</v>
      </c>
      <c r="L671">
        <v>361.62430000000001</v>
      </c>
      <c r="M671">
        <v>0.87224419999999903</v>
      </c>
      <c r="N671">
        <v>0</v>
      </c>
      <c r="O671">
        <v>-0.48879060000000002</v>
      </c>
      <c r="P671">
        <v>0.79994809999999905</v>
      </c>
      <c r="Q671">
        <v>0.1174897</v>
      </c>
      <c r="R671">
        <v>-0.58845530000000001</v>
      </c>
      <c r="S671">
        <v>1.405411</v>
      </c>
      <c r="T671">
        <v>-0.22531789999999999</v>
      </c>
      <c r="U671">
        <v>-3.2576900000000002</v>
      </c>
      <c r="V671">
        <v>0.12793889999999999</v>
      </c>
      <c r="W671">
        <v>0.12839709999999999</v>
      </c>
      <c r="X671">
        <v>0.98343579999999997</v>
      </c>
      <c r="Y671">
        <v>0.60708909999999905</v>
      </c>
      <c r="Z671">
        <v>1.229071E-2</v>
      </c>
      <c r="AA671">
        <v>0.79453869999999904</v>
      </c>
      <c r="AB671">
        <v>47</v>
      </c>
      <c r="AC671">
        <v>6.5834999999999804</v>
      </c>
      <c r="AD671">
        <v>-1.0917115571010001</v>
      </c>
      <c r="AE671">
        <v>-15.662199999999901</v>
      </c>
      <c r="AF671">
        <v>10.4017908213543</v>
      </c>
      <c r="AG671">
        <v>-1.0917115571010001</v>
      </c>
      <c r="AH671">
        <v>13.3446896956298</v>
      </c>
      <c r="AI671">
        <v>93.691772711809506</v>
      </c>
      <c r="AJ671">
        <v>52.064639276722403</v>
      </c>
      <c r="AK671">
        <v>16.954935254602599</v>
      </c>
      <c r="AL671">
        <v>82.623023891377201</v>
      </c>
      <c r="AM671">
        <v>82.587802923663503</v>
      </c>
      <c r="AN671">
        <v>1.00000007507162</v>
      </c>
    </row>
    <row r="672" spans="1:40" x14ac:dyDescent="0.3">
      <c r="A672" t="str">
        <f>"20200111150735243"</f>
        <v>20200111150735243</v>
      </c>
      <c r="B672" t="str">
        <f>"1578726455231436"</f>
        <v>1578726455231436</v>
      </c>
      <c r="C672" t="s">
        <v>40</v>
      </c>
      <c r="D672">
        <v>5.5101339999999999</v>
      </c>
      <c r="E672">
        <v>0.71545599999999998</v>
      </c>
      <c r="F672" t="s">
        <v>43</v>
      </c>
      <c r="G672">
        <v>-192.4691</v>
      </c>
      <c r="H672" s="1">
        <v>-3.0071399999999998E-6</v>
      </c>
      <c r="I672">
        <v>345.0675</v>
      </c>
      <c r="J672">
        <v>-199.26419999999999</v>
      </c>
      <c r="K672">
        <v>1.091548</v>
      </c>
      <c r="L672">
        <v>361.3922</v>
      </c>
      <c r="M672">
        <v>0.86468259999999897</v>
      </c>
      <c r="N672">
        <v>0</v>
      </c>
      <c r="O672">
        <v>-0.5020443</v>
      </c>
      <c r="P672">
        <v>0.7906436</v>
      </c>
      <c r="Q672">
        <v>0.11889710000000001</v>
      </c>
      <c r="R672">
        <v>-0.60062190000000004</v>
      </c>
      <c r="S672">
        <v>1.4059140000000001</v>
      </c>
      <c r="T672">
        <v>-0.2129354</v>
      </c>
      <c r="U672">
        <v>-3.2293699999999999</v>
      </c>
      <c r="V672">
        <v>0.12818769999999999</v>
      </c>
      <c r="W672">
        <v>0.12979009999999999</v>
      </c>
      <c r="X672">
        <v>0.98322050000000005</v>
      </c>
      <c r="Y672">
        <v>0.59228890000000001</v>
      </c>
      <c r="Z672">
        <v>1.3192829999999999E-2</v>
      </c>
      <c r="AA672">
        <v>0.80561769999999999</v>
      </c>
      <c r="AB672">
        <v>47</v>
      </c>
      <c r="AC672">
        <v>6.7950999999999899</v>
      </c>
      <c r="AD672">
        <v>-1.0915510071400001</v>
      </c>
      <c r="AE672">
        <v>-16.3247</v>
      </c>
      <c r="AF672">
        <v>10.6650765123429</v>
      </c>
      <c r="AG672">
        <v>-1.0915510071400001</v>
      </c>
      <c r="AH672">
        <v>14.019841015748</v>
      </c>
      <c r="AI672">
        <v>93.545855041851894</v>
      </c>
      <c r="AJ672">
        <v>52.739276860201898</v>
      </c>
      <c r="AK672">
        <v>17.649115635695999</v>
      </c>
      <c r="AL672">
        <v>82.542537234299701</v>
      </c>
      <c r="AM672">
        <v>82.571941290521906</v>
      </c>
      <c r="AN672">
        <v>1.00000005405477</v>
      </c>
    </row>
    <row r="673" spans="1:40" x14ac:dyDescent="0.3">
      <c r="A673" t="str">
        <f>"20200111150735254"</f>
        <v>20200111150735254</v>
      </c>
      <c r="B673" t="str">
        <f>"1578726455251933"</f>
        <v>1578726455251933</v>
      </c>
      <c r="C673" t="s">
        <v>40</v>
      </c>
      <c r="D673">
        <v>5.2752150000000002</v>
      </c>
      <c r="E673">
        <v>0.66754449999999999</v>
      </c>
      <c r="F673" t="s">
        <v>43</v>
      </c>
      <c r="G673">
        <v>-192.23390000000001</v>
      </c>
      <c r="H673" s="1">
        <v>-2.7216579999999998E-6</v>
      </c>
      <c r="I673">
        <v>344.54790000000003</v>
      </c>
      <c r="J673">
        <v>-199.0498</v>
      </c>
      <c r="K673">
        <v>1.091472</v>
      </c>
      <c r="L673">
        <v>361.26850000000002</v>
      </c>
      <c r="M673">
        <v>0.86062819999999995</v>
      </c>
      <c r="N673">
        <v>0</v>
      </c>
      <c r="O673">
        <v>-0.50896260000000004</v>
      </c>
      <c r="P673">
        <v>0.78612629999999994</v>
      </c>
      <c r="Q673">
        <v>0.1187404</v>
      </c>
      <c r="R673">
        <v>-0.60655289999999995</v>
      </c>
      <c r="S673">
        <v>1.3567049999999901</v>
      </c>
      <c r="T673">
        <v>-0.21064730000000001</v>
      </c>
      <c r="U673">
        <v>-3.25061</v>
      </c>
      <c r="V673">
        <v>0.12770409999999999</v>
      </c>
      <c r="W673">
        <v>0.12965489999999999</v>
      </c>
      <c r="X673">
        <v>0.98330119999999999</v>
      </c>
      <c r="Y673">
        <v>0.59807500000000002</v>
      </c>
      <c r="Z673">
        <v>1.333792E-2</v>
      </c>
      <c r="AA673">
        <v>0.80132919999999996</v>
      </c>
      <c r="AB673">
        <v>47</v>
      </c>
      <c r="AC673">
        <v>6.8158999999999903</v>
      </c>
      <c r="AD673">
        <v>-1.0914747216580001</v>
      </c>
      <c r="AE673">
        <v>-16.720599999999902</v>
      </c>
      <c r="AF673">
        <v>10.882924360595201</v>
      </c>
      <c r="AG673">
        <v>-1.0914747216580001</v>
      </c>
      <c r="AH673">
        <v>14.3257556910219</v>
      </c>
      <c r="AI673">
        <v>93.471812338037907</v>
      </c>
      <c r="AJ673">
        <v>52.7769563426574</v>
      </c>
      <c r="AK673">
        <v>18.023779731934699</v>
      </c>
      <c r="AL673">
        <v>82.550349156170597</v>
      </c>
      <c r="AM673">
        <v>82.600253749473595</v>
      </c>
      <c r="AN673">
        <v>0.99999999008613005</v>
      </c>
    </row>
    <row r="674" spans="1:40" x14ac:dyDescent="0.3">
      <c r="A674" t="str">
        <f>"20200111150735278"</f>
        <v>20200111150735278</v>
      </c>
      <c r="B674" t="str">
        <f>"1578726455271452"</f>
        <v>1578726455271452</v>
      </c>
      <c r="C674" t="s">
        <v>40</v>
      </c>
      <c r="D674">
        <v>5.1851839999999996</v>
      </c>
      <c r="E674">
        <v>0.66754449999999999</v>
      </c>
      <c r="F674" t="s">
        <v>51</v>
      </c>
      <c r="G674">
        <v>-157.8382</v>
      </c>
      <c r="H674">
        <v>22.724</v>
      </c>
      <c r="I674">
        <v>284.74680000000001</v>
      </c>
      <c r="J674">
        <v>-198.61590000000001</v>
      </c>
      <c r="K674">
        <v>1.0913170000000001</v>
      </c>
      <c r="L674">
        <v>361.012</v>
      </c>
      <c r="M674">
        <v>0.85215589999999997</v>
      </c>
      <c r="N674">
        <v>0</v>
      </c>
      <c r="O674">
        <v>-0.52302249999999995</v>
      </c>
      <c r="P674">
        <v>0.77671780000000001</v>
      </c>
      <c r="Q674">
        <v>0.1181073</v>
      </c>
      <c r="R674">
        <v>-0.61867569999999905</v>
      </c>
      <c r="S674">
        <v>1.519226</v>
      </c>
      <c r="T674">
        <v>0.79746340000000004</v>
      </c>
      <c r="U674">
        <v>-2.8208920000000002</v>
      </c>
      <c r="V674">
        <v>0.1267836</v>
      </c>
      <c r="W674">
        <v>0.12906429999999999</v>
      </c>
      <c r="X674">
        <v>0.98349799999999998</v>
      </c>
      <c r="Y674">
        <v>0.50160539999999998</v>
      </c>
      <c r="Z674">
        <v>-7.1780399999999994E-2</v>
      </c>
      <c r="AA674">
        <v>0.86211349999999998</v>
      </c>
      <c r="AB674">
        <v>47</v>
      </c>
      <c r="AC674">
        <v>40.777700000000003</v>
      </c>
      <c r="AD674">
        <v>21.632683</v>
      </c>
      <c r="AE674">
        <v>-76.265199999999894</v>
      </c>
      <c r="AF674">
        <v>41.096826430789498</v>
      </c>
      <c r="AG674">
        <v>21.632683</v>
      </c>
      <c r="AH674">
        <v>70.2520758796488</v>
      </c>
      <c r="AI674">
        <v>75.115433764871995</v>
      </c>
      <c r="AJ674">
        <v>59.6727535243622</v>
      </c>
      <c r="AK674">
        <v>84.215653425363101</v>
      </c>
      <c r="AL674">
        <v>82.584474815983896</v>
      </c>
      <c r="AM674">
        <v>82.654460884861507</v>
      </c>
      <c r="AN674">
        <v>0.99999999538372497</v>
      </c>
    </row>
    <row r="675" spans="1:40" x14ac:dyDescent="0.3">
      <c r="A675" t="str">
        <f>"20200111150735289"</f>
        <v>20200111150735289</v>
      </c>
      <c r="B675" t="str">
        <f>"1578726455282188"</f>
        <v>1578726455282188</v>
      </c>
      <c r="C675" t="s">
        <v>40</v>
      </c>
      <c r="D675">
        <v>5.2080460000000004</v>
      </c>
      <c r="E675">
        <v>0.70599699999999999</v>
      </c>
      <c r="F675" t="s">
        <v>41</v>
      </c>
      <c r="G675">
        <v>-198.35919999999999</v>
      </c>
      <c r="H675">
        <v>1.2298579999999999</v>
      </c>
      <c r="I675">
        <v>360.51650000000001</v>
      </c>
      <c r="J675">
        <v>-198.41980000000001</v>
      </c>
      <c r="K675">
        <v>1.091251</v>
      </c>
      <c r="L675">
        <v>360.8922</v>
      </c>
      <c r="M675">
        <v>0.84819020000000001</v>
      </c>
      <c r="N675">
        <v>0</v>
      </c>
      <c r="O675">
        <v>-0.52942909999999999</v>
      </c>
      <c r="P675">
        <v>0.77244599999999997</v>
      </c>
      <c r="Q675">
        <v>0.1176928</v>
      </c>
      <c r="R675">
        <v>-0.62407979999999996</v>
      </c>
      <c r="S675">
        <v>1.4755860000000001</v>
      </c>
      <c r="T675">
        <v>0.7952977</v>
      </c>
      <c r="U675">
        <v>-2.8446959999999999</v>
      </c>
      <c r="V675">
        <v>0.12620139999999999</v>
      </c>
      <c r="W675">
        <v>0.1286775</v>
      </c>
      <c r="X675">
        <v>0.98362360000000004</v>
      </c>
      <c r="Y675">
        <v>0.50842429999999905</v>
      </c>
      <c r="Z675">
        <v>-7.2515590000000005E-2</v>
      </c>
      <c r="AA675">
        <v>0.85804789999999997</v>
      </c>
      <c r="AB675">
        <v>47</v>
      </c>
      <c r="AC675">
        <v>6.0600000000022101E-2</v>
      </c>
      <c r="AD675">
        <v>0.13860699999999901</v>
      </c>
      <c r="AE675">
        <v>-0.37569999999999398</v>
      </c>
      <c r="AF675">
        <v>0.25305215199925102</v>
      </c>
      <c r="AG675">
        <v>0.13860699999999901</v>
      </c>
      <c r="AH675">
        <v>0.221021420011284</v>
      </c>
      <c r="AI675">
        <v>67.581925277135994</v>
      </c>
      <c r="AJ675">
        <v>41.134691156107301</v>
      </c>
      <c r="AK675">
        <v>0.36345255561662598</v>
      </c>
      <c r="AL675">
        <v>82.606823505674399</v>
      </c>
      <c r="AM675">
        <v>82.688749863194801</v>
      </c>
      <c r="AN675">
        <v>1.0000000394225801</v>
      </c>
    </row>
    <row r="676" spans="1:40" x14ac:dyDescent="0.3">
      <c r="A676" t="str">
        <f>"20200111150735300"</f>
        <v>20200111150735300</v>
      </c>
      <c r="B676" t="str">
        <f>"1578726455291947"</f>
        <v>1578726455291947</v>
      </c>
      <c r="C676" t="s">
        <v>40</v>
      </c>
      <c r="D676">
        <v>5.2178630000000004</v>
      </c>
      <c r="E676">
        <v>0.70613609999999905</v>
      </c>
      <c r="F676" t="s">
        <v>43</v>
      </c>
      <c r="G676">
        <v>-190.15010000000001</v>
      </c>
      <c r="H676" s="1">
        <v>-4.1320480000000002E-7</v>
      </c>
      <c r="I676">
        <v>340.45920000000001</v>
      </c>
      <c r="J676">
        <v>-198.2216</v>
      </c>
      <c r="K676">
        <v>1.0911839999999999</v>
      </c>
      <c r="L676">
        <v>360.7704</v>
      </c>
      <c r="M676">
        <v>0.84412469999999995</v>
      </c>
      <c r="N676">
        <v>0</v>
      </c>
      <c r="O676">
        <v>-0.53588690000000005</v>
      </c>
      <c r="P676">
        <v>0.76815180000000005</v>
      </c>
      <c r="Q676">
        <v>0.1173577</v>
      </c>
      <c r="R676">
        <v>-0.62942049999999905</v>
      </c>
      <c r="S676">
        <v>1.304962</v>
      </c>
      <c r="T676">
        <v>-0.1722004</v>
      </c>
      <c r="U676">
        <v>-3.224335</v>
      </c>
      <c r="V676">
        <v>0.12549069999999901</v>
      </c>
      <c r="W676">
        <v>0.1283763</v>
      </c>
      <c r="X676">
        <v>0.98375389999999996</v>
      </c>
      <c r="Y676">
        <v>0.58140509999999901</v>
      </c>
      <c r="Z676">
        <v>1.3124749999999999E-2</v>
      </c>
      <c r="AA676">
        <v>0.81350829999999996</v>
      </c>
      <c r="AB676">
        <v>47</v>
      </c>
      <c r="AC676">
        <v>8.0714999999999808</v>
      </c>
      <c r="AD676">
        <v>-1.0911844132048001</v>
      </c>
      <c r="AE676">
        <v>-20.3111999999999</v>
      </c>
      <c r="AF676">
        <v>12.7896823192466</v>
      </c>
      <c r="AG676">
        <v>-1.0911844132048001</v>
      </c>
      <c r="AH676">
        <v>17.656315897887101</v>
      </c>
      <c r="AI676">
        <v>92.865265225052198</v>
      </c>
      <c r="AJ676">
        <v>54.081604683767303</v>
      </c>
      <c r="AK676">
        <v>21.829158214114699</v>
      </c>
      <c r="AL676">
        <v>82.624225498820195</v>
      </c>
      <c r="AM676">
        <v>82.730433884618293</v>
      </c>
      <c r="AN676">
        <v>1.0000000629766901</v>
      </c>
    </row>
    <row r="677" spans="1:40" x14ac:dyDescent="0.3">
      <c r="A677" t="str">
        <f>"20200111150735311"</f>
        <v>20200111150735311</v>
      </c>
      <c r="B677" t="str">
        <f>"1578726455301708"</f>
        <v>1578726455301708</v>
      </c>
      <c r="C677" t="s">
        <v>40</v>
      </c>
      <c r="D677">
        <v>5.2252419999999997</v>
      </c>
      <c r="E677">
        <v>0.70569440000000005</v>
      </c>
      <c r="F677" t="s">
        <v>43</v>
      </c>
      <c r="G677">
        <v>-190.14570000000001</v>
      </c>
      <c r="H677" s="1">
        <v>-3.8518109999999998E-7</v>
      </c>
      <c r="I677">
        <v>340.39659999999998</v>
      </c>
      <c r="J677">
        <v>-198.02369999999999</v>
      </c>
      <c r="K677">
        <v>1.0911200000000001</v>
      </c>
      <c r="L677">
        <v>360.6454</v>
      </c>
      <c r="M677">
        <v>0.83996299999999902</v>
      </c>
      <c r="N677">
        <v>0</v>
      </c>
      <c r="O677">
        <v>-0.54238640000000005</v>
      </c>
      <c r="P677">
        <v>0.76370499999999997</v>
      </c>
      <c r="Q677">
        <v>0.1174581</v>
      </c>
      <c r="R677">
        <v>-0.63479019999999897</v>
      </c>
      <c r="S677">
        <v>1.281952</v>
      </c>
      <c r="T677">
        <v>-0.1732128</v>
      </c>
      <c r="U677">
        <v>-3.2341000000000002</v>
      </c>
      <c r="V677">
        <v>0.12482459999999999</v>
      </c>
      <c r="W677">
        <v>0.12850919999999999</v>
      </c>
      <c r="X677">
        <v>0.98382119999999995</v>
      </c>
      <c r="Y677">
        <v>0.58097399999999999</v>
      </c>
      <c r="Z677">
        <v>1.3601769999999999E-2</v>
      </c>
      <c r="AA677">
        <v>0.81380839999999999</v>
      </c>
      <c r="AB677">
        <v>47</v>
      </c>
      <c r="AC677">
        <v>7.8779999999999797</v>
      </c>
      <c r="AD677">
        <v>-1.0911203851811</v>
      </c>
      <c r="AE677">
        <v>-20.248799999999999</v>
      </c>
      <c r="AF677">
        <v>12.7050594051952</v>
      </c>
      <c r="AG677">
        <v>-1.0911203851811</v>
      </c>
      <c r="AH677">
        <v>17.558079073873799</v>
      </c>
      <c r="AI677">
        <v>92.882148361116705</v>
      </c>
      <c r="AJ677">
        <v>54.1104294646806</v>
      </c>
      <c r="AK677">
        <v>21.700120251945599</v>
      </c>
      <c r="AL677">
        <v>82.616546633461297</v>
      </c>
      <c r="AM677">
        <v>82.769100371942002</v>
      </c>
      <c r="AN677">
        <v>0.99999997440961896</v>
      </c>
    </row>
    <row r="678" spans="1:40" x14ac:dyDescent="0.3">
      <c r="A678" t="str">
        <f>"20200111150735321"</f>
        <v>20200111150735321</v>
      </c>
      <c r="B678" t="str">
        <f>"1578726455311468"</f>
        <v>1578726455311468</v>
      </c>
      <c r="C678" t="s">
        <v>40</v>
      </c>
      <c r="D678">
        <v>5.2375860000000003</v>
      </c>
      <c r="E678">
        <v>0.70659669999999997</v>
      </c>
      <c r="F678" t="s">
        <v>43</v>
      </c>
      <c r="G678">
        <v>-190.3612</v>
      </c>
      <c r="H678" s="1">
        <v>-6.8356779999999999E-7</v>
      </c>
      <c r="I678">
        <v>340.95850000000002</v>
      </c>
      <c r="J678">
        <v>-197.84960000000001</v>
      </c>
      <c r="K678">
        <v>1.0910679999999999</v>
      </c>
      <c r="L678">
        <v>360.53480000000002</v>
      </c>
      <c r="M678">
        <v>0.83625210000000005</v>
      </c>
      <c r="N678">
        <v>0</v>
      </c>
      <c r="O678">
        <v>-0.54808959999999995</v>
      </c>
      <c r="P678">
        <v>0.75972249999999997</v>
      </c>
      <c r="Q678">
        <v>0.11756129999999999</v>
      </c>
      <c r="R678">
        <v>-0.63953209999999905</v>
      </c>
      <c r="S678">
        <v>1.2615970000000001</v>
      </c>
      <c r="T678">
        <v>-0.17965</v>
      </c>
      <c r="U678">
        <v>-3.2413940000000001</v>
      </c>
      <c r="V678">
        <v>0.12428259999999999</v>
      </c>
      <c r="W678">
        <v>0.12863830000000001</v>
      </c>
      <c r="X678">
        <v>0.983873</v>
      </c>
      <c r="Y678">
        <v>0.58048909999999998</v>
      </c>
      <c r="Z678">
        <v>1.447888E-2</v>
      </c>
      <c r="AA678">
        <v>0.81413930000000001</v>
      </c>
      <c r="AB678">
        <v>47</v>
      </c>
      <c r="AC678">
        <v>7.4884000000000102</v>
      </c>
      <c r="AD678">
        <v>-1.0910686835677901</v>
      </c>
      <c r="AE678">
        <v>-19.5763</v>
      </c>
      <c r="AF678">
        <v>12.234972616248699</v>
      </c>
      <c r="AG678">
        <v>-1.0910686835677901</v>
      </c>
      <c r="AH678">
        <v>16.948211769564899</v>
      </c>
      <c r="AI678">
        <v>92.987938439179104</v>
      </c>
      <c r="AJ678">
        <v>54.174352024522001</v>
      </c>
      <c r="AK678">
        <v>20.931480310255999</v>
      </c>
      <c r="AL678">
        <v>82.609088241846294</v>
      </c>
      <c r="AM678">
        <v>82.800542510694797</v>
      </c>
      <c r="AN678">
        <v>1.00000002850932</v>
      </c>
    </row>
    <row r="679" spans="1:40" x14ac:dyDescent="0.3">
      <c r="A679" t="str">
        <f>"20200111150735331"</f>
        <v>20200111150735331</v>
      </c>
      <c r="B679" t="str">
        <f>"1578726455322204"</f>
        <v>1578726455322204</v>
      </c>
      <c r="C679" t="s">
        <v>40</v>
      </c>
      <c r="D679">
        <v>5.1634589999999996</v>
      </c>
      <c r="E679">
        <v>0.70659939999999999</v>
      </c>
      <c r="F679" t="s">
        <v>43</v>
      </c>
      <c r="G679">
        <v>-190.89869999999999</v>
      </c>
      <c r="H679" s="1">
        <v>-1.378299E-6</v>
      </c>
      <c r="I679">
        <v>342.24459999999999</v>
      </c>
      <c r="J679">
        <v>-197.6591</v>
      </c>
      <c r="K679">
        <v>1.0910120000000001</v>
      </c>
      <c r="L679">
        <v>360.411</v>
      </c>
      <c r="M679">
        <v>0.83210509999999904</v>
      </c>
      <c r="N679">
        <v>0</v>
      </c>
      <c r="O679">
        <v>-0.554365199999999</v>
      </c>
      <c r="P679">
        <v>0.75494499999999998</v>
      </c>
      <c r="Q679">
        <v>0.1180561</v>
      </c>
      <c r="R679">
        <v>-0.645074699999999</v>
      </c>
      <c r="S679">
        <v>1.237579</v>
      </c>
      <c r="T679">
        <v>-0.19426019999999999</v>
      </c>
      <c r="U679">
        <v>-3.2565</v>
      </c>
      <c r="V679">
        <v>0.1241621</v>
      </c>
      <c r="W679">
        <v>0.12914039999999999</v>
      </c>
      <c r="X679">
        <v>0.98382239999999999</v>
      </c>
      <c r="Y679">
        <v>0.58086329999999997</v>
      </c>
      <c r="Z679">
        <v>1.6041320000000001E-2</v>
      </c>
      <c r="AA679">
        <v>0.81384299999999998</v>
      </c>
      <c r="AB679">
        <v>46</v>
      </c>
      <c r="AC679">
        <v>6.7603999999999997</v>
      </c>
      <c r="AD679">
        <v>-1.0910133782989999</v>
      </c>
      <c r="AE679">
        <v>-18.166399999999999</v>
      </c>
      <c r="AF679">
        <v>11.334309525492801</v>
      </c>
      <c r="AG679">
        <v>-1.0910133782989999</v>
      </c>
      <c r="AH679">
        <v>15.6488072922985</v>
      </c>
      <c r="AI679">
        <v>93.231712502369504</v>
      </c>
      <c r="AJ679">
        <v>54.084477817195904</v>
      </c>
      <c r="AK679">
        <v>19.353088959718999</v>
      </c>
      <c r="AL679">
        <v>82.580077787277105</v>
      </c>
      <c r="AM679">
        <v>82.807083657974701</v>
      </c>
      <c r="AN679">
        <v>0.99999999236516401</v>
      </c>
    </row>
    <row r="680" spans="1:40" x14ac:dyDescent="0.3">
      <c r="A680" t="str">
        <f>"20200111150735344"</f>
        <v>20200111150735344</v>
      </c>
      <c r="B680" t="str">
        <f>"1578726455341724"</f>
        <v>1578726455341724</v>
      </c>
      <c r="C680" t="s">
        <v>40</v>
      </c>
      <c r="D680">
        <v>5.2074369999999996</v>
      </c>
      <c r="E680">
        <v>0.70729359999999997</v>
      </c>
      <c r="F680" t="s">
        <v>43</v>
      </c>
      <c r="G680">
        <v>-191.0984</v>
      </c>
      <c r="H680" s="1">
        <v>-1.6540369999999999E-6</v>
      </c>
      <c r="I680">
        <v>342.76350000000002</v>
      </c>
      <c r="J680">
        <v>-197.44550000000001</v>
      </c>
      <c r="K680">
        <v>1.090948</v>
      </c>
      <c r="L680">
        <v>360.2704</v>
      </c>
      <c r="M680">
        <v>0.82737179999999999</v>
      </c>
      <c r="N680">
        <v>0</v>
      </c>
      <c r="O680">
        <v>-0.56140419999999902</v>
      </c>
      <c r="P680">
        <v>0.74935319999999905</v>
      </c>
      <c r="Q680">
        <v>0.1181295</v>
      </c>
      <c r="R680">
        <v>-0.65154840000000003</v>
      </c>
      <c r="S680">
        <v>1.2143250000000001</v>
      </c>
      <c r="T680">
        <v>-0.20193610000000001</v>
      </c>
      <c r="U680">
        <v>-3.2663880000000001</v>
      </c>
      <c r="V680">
        <v>0.12431159999999999</v>
      </c>
      <c r="W680">
        <v>0.12920899999999999</v>
      </c>
      <c r="X680">
        <v>0.98379450000000002</v>
      </c>
      <c r="Y680">
        <v>0.57985369999999903</v>
      </c>
      <c r="Z680">
        <v>1.7196550000000001E-2</v>
      </c>
      <c r="AA680">
        <v>0.81453909999999996</v>
      </c>
      <c r="AB680">
        <v>46</v>
      </c>
      <c r="AC680">
        <v>6.34710000000001</v>
      </c>
      <c r="AD680">
        <v>-1.0909496540369901</v>
      </c>
      <c r="AE680">
        <v>-17.506899999999899</v>
      </c>
      <c r="AF680">
        <v>10.8856024185549</v>
      </c>
      <c r="AG680">
        <v>-1.0909496540369901</v>
      </c>
      <c r="AH680">
        <v>15.0303939469583</v>
      </c>
      <c r="AI680">
        <v>93.364267566119494</v>
      </c>
      <c r="AJ680">
        <v>54.086465941523798</v>
      </c>
      <c r="AK680">
        <v>18.590299980453601</v>
      </c>
      <c r="AL680">
        <v>82.576113987808199</v>
      </c>
      <c r="AM680">
        <v>82.798311661373404</v>
      </c>
      <c r="AN680">
        <v>0.99999997890290404</v>
      </c>
    </row>
    <row r="681" spans="1:40" x14ac:dyDescent="0.3">
      <c r="A681" t="str">
        <f>"20200111150735357"</f>
        <v>20200111150735357</v>
      </c>
      <c r="B681" t="str">
        <f>"1578726455351484"</f>
        <v>1578726455351484</v>
      </c>
      <c r="C681" t="s">
        <v>40</v>
      </c>
      <c r="D681">
        <v>5.1745409999999996</v>
      </c>
      <c r="E681">
        <v>0.70643990000000001</v>
      </c>
      <c r="F681" t="s">
        <v>43</v>
      </c>
      <c r="G681">
        <v>-191.35679999999999</v>
      </c>
      <c r="H681" s="1">
        <v>-1.9873349999999999E-6</v>
      </c>
      <c r="I681">
        <v>343.3802</v>
      </c>
      <c r="J681">
        <v>-197.21129999999999</v>
      </c>
      <c r="K681">
        <v>1.090878</v>
      </c>
      <c r="L681">
        <v>360.11349999999999</v>
      </c>
      <c r="M681">
        <v>0.82207350000000001</v>
      </c>
      <c r="N681">
        <v>0</v>
      </c>
      <c r="O681">
        <v>-0.56913400000000003</v>
      </c>
      <c r="P681">
        <v>0.74297819999999903</v>
      </c>
      <c r="Q681">
        <v>0.1178481</v>
      </c>
      <c r="R681">
        <v>-0.65885919999999998</v>
      </c>
      <c r="S681">
        <v>1.1831510000000001</v>
      </c>
      <c r="T681">
        <v>-0.21199109999999999</v>
      </c>
      <c r="U681">
        <v>-3.2820740000000002</v>
      </c>
      <c r="V681">
        <v>0.1247114</v>
      </c>
      <c r="W681">
        <v>0.1289121</v>
      </c>
      <c r="X681">
        <v>0.98378290000000002</v>
      </c>
      <c r="Y681">
        <v>0.58031239999999995</v>
      </c>
      <c r="Z681">
        <v>1.8586390000000001E-2</v>
      </c>
      <c r="AA681">
        <v>0.81418179999999996</v>
      </c>
      <c r="AB681">
        <v>46</v>
      </c>
      <c r="AC681">
        <v>5.8544999999999998</v>
      </c>
      <c r="AD681">
        <v>-1.0908799873349999</v>
      </c>
      <c r="AE681">
        <v>-16.7332999999999</v>
      </c>
      <c r="AF681">
        <v>10.386148498329501</v>
      </c>
      <c r="AG681">
        <v>-1.0908799873349999</v>
      </c>
      <c r="AH681">
        <v>14.2842511303105</v>
      </c>
      <c r="AI681">
        <v>93.534534502876696</v>
      </c>
      <c r="AJ681">
        <v>53.978917655565603</v>
      </c>
      <c r="AK681">
        <v>17.694686494252899</v>
      </c>
      <c r="AL681">
        <v>82.593268943837103</v>
      </c>
      <c r="AM681">
        <v>82.775310277986193</v>
      </c>
      <c r="AN681">
        <v>1.00000002857438</v>
      </c>
    </row>
    <row r="682" spans="1:40" x14ac:dyDescent="0.3">
      <c r="A682" t="str">
        <f>"20200111150735368"</f>
        <v>20200111150735368</v>
      </c>
      <c r="B682" t="str">
        <f>"1578726455362220"</f>
        <v>1578726455362220</v>
      </c>
      <c r="C682" t="s">
        <v>40</v>
      </c>
      <c r="D682">
        <v>5.1907920000000001</v>
      </c>
      <c r="E682">
        <v>0.70587739999999999</v>
      </c>
      <c r="F682" t="s">
        <v>43</v>
      </c>
      <c r="G682">
        <v>-191.3279</v>
      </c>
      <c r="H682" s="1">
        <v>-1.9783440000000001E-6</v>
      </c>
      <c r="I682">
        <v>343.37709999999998</v>
      </c>
      <c r="J682">
        <v>-197.0258</v>
      </c>
      <c r="K682">
        <v>1.090827</v>
      </c>
      <c r="L682">
        <v>359.98610000000002</v>
      </c>
      <c r="M682">
        <v>0.81778169999999994</v>
      </c>
      <c r="N682">
        <v>0</v>
      </c>
      <c r="O682">
        <v>-0.57528330000000005</v>
      </c>
      <c r="P682">
        <v>0.73775609999999903</v>
      </c>
      <c r="Q682">
        <v>0.1177638</v>
      </c>
      <c r="R682">
        <v>-0.66471639999999999</v>
      </c>
      <c r="S682">
        <v>1.1558839999999999</v>
      </c>
      <c r="T682">
        <v>-0.21432329999999999</v>
      </c>
      <c r="U682">
        <v>-3.2881770000000001</v>
      </c>
      <c r="V682">
        <v>0.12511900000000001</v>
      </c>
      <c r="W682">
        <v>0.1288118</v>
      </c>
      <c r="X682">
        <v>0.98374430000000002</v>
      </c>
      <c r="Y682">
        <v>0.58068369999999903</v>
      </c>
      <c r="Z682">
        <v>1.925787E-2</v>
      </c>
      <c r="AA682">
        <v>0.81390150000000006</v>
      </c>
      <c r="AB682">
        <v>46</v>
      </c>
      <c r="AC682">
        <v>5.6978999999999997</v>
      </c>
      <c r="AD682">
        <v>-1.0908289783439999</v>
      </c>
      <c r="AE682">
        <v>-16.609000000000002</v>
      </c>
      <c r="AF682">
        <v>10.266462905873601</v>
      </c>
      <c r="AG682">
        <v>-1.0908289783439999</v>
      </c>
      <c r="AH682">
        <v>14.1618704645458</v>
      </c>
      <c r="AI682">
        <v>93.568500314661705</v>
      </c>
      <c r="AJ682">
        <v>54.060256810141901</v>
      </c>
      <c r="AK682">
        <v>17.525659574242798</v>
      </c>
      <c r="AL682">
        <v>82.599064155420194</v>
      </c>
      <c r="AM682">
        <v>82.751666826671595</v>
      </c>
      <c r="AN682">
        <v>1.00000004588136</v>
      </c>
    </row>
    <row r="683" spans="1:40" x14ac:dyDescent="0.3">
      <c r="A683" t="str">
        <f>"20200111150735379"</f>
        <v>20200111150735379</v>
      </c>
      <c r="B683" t="str">
        <f>"1578726455371980"</f>
        <v>1578726455371980</v>
      </c>
      <c r="C683" t="s">
        <v>40</v>
      </c>
      <c r="D683">
        <v>5.2055689999999997</v>
      </c>
      <c r="E683">
        <v>0.70560840000000002</v>
      </c>
      <c r="F683" t="s">
        <v>43</v>
      </c>
      <c r="G683">
        <v>-191.31909999999999</v>
      </c>
      <c r="H683" s="1">
        <v>-1.9873710000000001E-6</v>
      </c>
      <c r="I683">
        <v>343.40359999999998</v>
      </c>
      <c r="J683">
        <v>-196.82640000000001</v>
      </c>
      <c r="K683">
        <v>1.090773</v>
      </c>
      <c r="L683">
        <v>359.8485</v>
      </c>
      <c r="M683">
        <v>0.81310469999999901</v>
      </c>
      <c r="N683">
        <v>0</v>
      </c>
      <c r="O683">
        <v>-0.58187449999999996</v>
      </c>
      <c r="P683">
        <v>0.73189869999999901</v>
      </c>
      <c r="Q683">
        <v>0.117011</v>
      </c>
      <c r="R683">
        <v>-0.67129189999999905</v>
      </c>
      <c r="S683">
        <v>1.133453</v>
      </c>
      <c r="T683">
        <v>-0.2166575</v>
      </c>
      <c r="U683">
        <v>-3.2935789999999998</v>
      </c>
      <c r="V683">
        <v>0.12588260000000001</v>
      </c>
      <c r="W683">
        <v>0.1280259</v>
      </c>
      <c r="X683">
        <v>0.9837494</v>
      </c>
      <c r="Y683">
        <v>0.57947219999999999</v>
      </c>
      <c r="Z683">
        <v>2.0023450000000002E-2</v>
      </c>
      <c r="AA683">
        <v>0.81474599999999997</v>
      </c>
      <c r="AB683">
        <v>46</v>
      </c>
      <c r="AC683">
        <v>5.5073000000000096</v>
      </c>
      <c r="AD683">
        <v>-1.090774987371</v>
      </c>
      <c r="AE683">
        <v>-16.444900000000001</v>
      </c>
      <c r="AF683">
        <v>10.1282399298856</v>
      </c>
      <c r="AG683">
        <v>-1.090774987371</v>
      </c>
      <c r="AH683">
        <v>13.9935096012786</v>
      </c>
      <c r="AI683">
        <v>93.613120954088203</v>
      </c>
      <c r="AJ683">
        <v>54.1036853866255</v>
      </c>
      <c r="AK683">
        <v>17.308649430601999</v>
      </c>
      <c r="AL683">
        <v>82.644468304043897</v>
      </c>
      <c r="AM683">
        <v>82.707942447647099</v>
      </c>
      <c r="AN683">
        <v>0.99999997102696403</v>
      </c>
    </row>
    <row r="684" spans="1:40" x14ac:dyDescent="0.3">
      <c r="A684" t="str">
        <f>"20200111150735391"</f>
        <v>20200111150735391</v>
      </c>
      <c r="B684" t="str">
        <f>"1578726455381741"</f>
        <v>1578726455381741</v>
      </c>
      <c r="C684" t="s">
        <v>40</v>
      </c>
      <c r="D684">
        <v>5.1809399999999997</v>
      </c>
      <c r="E684">
        <v>0.70520769999999899</v>
      </c>
      <c r="F684" t="s">
        <v>43</v>
      </c>
      <c r="G684">
        <v>-191.30930000000001</v>
      </c>
      <c r="H684" s="1">
        <v>-1.9678539999999998E-6</v>
      </c>
      <c r="I684">
        <v>343.36419999999998</v>
      </c>
      <c r="J684">
        <v>-196.62360000000001</v>
      </c>
      <c r="K684">
        <v>1.0907209999999901</v>
      </c>
      <c r="L684">
        <v>359.7045</v>
      </c>
      <c r="M684">
        <v>0.80823630000000002</v>
      </c>
      <c r="N684">
        <v>0</v>
      </c>
      <c r="O684">
        <v>-0.58861770000000002</v>
      </c>
      <c r="P684">
        <v>0.7257479</v>
      </c>
      <c r="Q684">
        <v>0.1165277</v>
      </c>
      <c r="R684">
        <v>-0.67802019999999996</v>
      </c>
      <c r="S684">
        <v>1.1051789999999999</v>
      </c>
      <c r="T684">
        <v>-0.21850140000000001</v>
      </c>
      <c r="U684">
        <v>-3.3020939999999999</v>
      </c>
      <c r="V684">
        <v>0.1267288</v>
      </c>
      <c r="W684">
        <v>0.12750610000000001</v>
      </c>
      <c r="X684">
        <v>0.98370829999999998</v>
      </c>
      <c r="Y684">
        <v>0.57960239999999996</v>
      </c>
      <c r="Z684">
        <v>2.0714739999999999E-2</v>
      </c>
      <c r="AA684">
        <v>0.81463609999999997</v>
      </c>
      <c r="AB684">
        <v>46</v>
      </c>
      <c r="AC684">
        <v>5.3143000000000002</v>
      </c>
      <c r="AD684">
        <v>-1.09072296785399</v>
      </c>
      <c r="AE684">
        <v>-16.340299999999999</v>
      </c>
      <c r="AF684">
        <v>10.0397062085079</v>
      </c>
      <c r="AG684">
        <v>-1.09072296785399</v>
      </c>
      <c r="AH684">
        <v>13.8595252049046</v>
      </c>
      <c r="AI684">
        <v>93.646730333089295</v>
      </c>
      <c r="AJ684">
        <v>54.0807908270667</v>
      </c>
      <c r="AK684">
        <v>17.148522276019602</v>
      </c>
      <c r="AL684">
        <v>82.674497018572694</v>
      </c>
      <c r="AM684">
        <v>82.659153768554802</v>
      </c>
      <c r="AN684">
        <v>1.0000000068877699</v>
      </c>
    </row>
    <row r="685" spans="1:40" x14ac:dyDescent="0.3">
      <c r="A685" t="str">
        <f>"20200111150735404"</f>
        <v>20200111150735404</v>
      </c>
      <c r="B685" t="str">
        <f>"1578726455391500"</f>
        <v>1578726455391500</v>
      </c>
      <c r="C685" t="s">
        <v>40</v>
      </c>
      <c r="D685">
        <v>5.2292839999999998</v>
      </c>
      <c r="E685">
        <v>0.7047909</v>
      </c>
      <c r="F685" t="s">
        <v>43</v>
      </c>
      <c r="G685">
        <v>-191.28620000000001</v>
      </c>
      <c r="H685" s="1">
        <v>-1.937926E-6</v>
      </c>
      <c r="I685">
        <v>343.30869999999999</v>
      </c>
      <c r="J685">
        <v>-196.4247</v>
      </c>
      <c r="K685">
        <v>1.0906720000000001</v>
      </c>
      <c r="L685">
        <v>359.56189999999998</v>
      </c>
      <c r="M685">
        <v>0.80338759999999998</v>
      </c>
      <c r="N685">
        <v>0</v>
      </c>
      <c r="O685">
        <v>-0.59521809999999997</v>
      </c>
      <c r="P685">
        <v>0.71980569999999999</v>
      </c>
      <c r="Q685">
        <v>0.11607820000000001</v>
      </c>
      <c r="R685">
        <v>-0.68440190000000001</v>
      </c>
      <c r="S685">
        <v>1.0773159999999999</v>
      </c>
      <c r="T685">
        <v>-0.2201545</v>
      </c>
      <c r="U685">
        <v>-3.3093569999999999</v>
      </c>
      <c r="V685">
        <v>0.12730719999999901</v>
      </c>
      <c r="W685">
        <v>0.1270318</v>
      </c>
      <c r="X685">
        <v>0.98369499999999999</v>
      </c>
      <c r="Y685">
        <v>0.57965739999999999</v>
      </c>
      <c r="Z685">
        <v>2.1394759999999999E-2</v>
      </c>
      <c r="AA685">
        <v>0.81457939999999995</v>
      </c>
      <c r="AB685">
        <v>46</v>
      </c>
      <c r="AC685">
        <v>5.1384999999999899</v>
      </c>
      <c r="AD685">
        <v>-1.09067393792599</v>
      </c>
      <c r="AE685">
        <v>-16.2531999999999</v>
      </c>
      <c r="AF685">
        <v>9.9597359533355299</v>
      </c>
      <c r="AG685">
        <v>-1.09067393792599</v>
      </c>
      <c r="AH685">
        <v>13.7480814506794</v>
      </c>
      <c r="AI685">
        <v>93.675949577454105</v>
      </c>
      <c r="AJ685">
        <v>54.078717621544698</v>
      </c>
      <c r="AK685">
        <v>17.011632886749901</v>
      </c>
      <c r="AL685">
        <v>82.701895351286197</v>
      </c>
      <c r="AM685">
        <v>82.625918902437107</v>
      </c>
      <c r="AN685">
        <v>1.0000000272040299</v>
      </c>
    </row>
    <row r="686" spans="1:40" x14ac:dyDescent="0.3">
      <c r="A686" t="str">
        <f>"20200111150735416"</f>
        <v>20200111150735416</v>
      </c>
      <c r="B686" t="str">
        <f>"1578726455411996"</f>
        <v>1578726455411996</v>
      </c>
      <c r="C686" t="s">
        <v>40</v>
      </c>
      <c r="D686">
        <v>5.2252910000000004</v>
      </c>
      <c r="E686">
        <v>0.70368489999999995</v>
      </c>
      <c r="F686" t="s">
        <v>43</v>
      </c>
      <c r="G686">
        <v>-191.27189999999999</v>
      </c>
      <c r="H686" s="1">
        <v>-1.9283810000000001E-6</v>
      </c>
      <c r="I686">
        <v>343.2953</v>
      </c>
      <c r="J686">
        <v>-196.20679999999999</v>
      </c>
      <c r="K686">
        <v>1.090622</v>
      </c>
      <c r="L686">
        <v>359.40269999999998</v>
      </c>
      <c r="M686">
        <v>0.79797109999999905</v>
      </c>
      <c r="N686">
        <v>0</v>
      </c>
      <c r="O686">
        <v>-0.60246</v>
      </c>
      <c r="P686">
        <v>0.71324860000000001</v>
      </c>
      <c r="Q686">
        <v>0.11541369999999999</v>
      </c>
      <c r="R686">
        <v>-0.69134430000000002</v>
      </c>
      <c r="S686">
        <v>1.0505070000000001</v>
      </c>
      <c r="T686">
        <v>-0.22235750000000001</v>
      </c>
      <c r="U686">
        <v>-3.316284</v>
      </c>
      <c r="V686">
        <v>0.12786069999999999</v>
      </c>
      <c r="W686">
        <v>0.12634400000000001</v>
      </c>
      <c r="X686">
        <v>0.98371180000000003</v>
      </c>
      <c r="Y686">
        <v>0.57876590000000006</v>
      </c>
      <c r="Z686">
        <v>2.2221379999999999E-2</v>
      </c>
      <c r="AA686">
        <v>0.815191</v>
      </c>
      <c r="AB686">
        <v>46</v>
      </c>
      <c r="AC686">
        <v>4.9348999999999901</v>
      </c>
      <c r="AD686">
        <v>-1.090623928381</v>
      </c>
      <c r="AE686">
        <v>-16.107399999999899</v>
      </c>
      <c r="AF686">
        <v>9.8403210240734698</v>
      </c>
      <c r="AG686">
        <v>-1.090623928381</v>
      </c>
      <c r="AH686">
        <v>13.5869645749085</v>
      </c>
      <c r="AI686">
        <v>93.719597444367693</v>
      </c>
      <c r="AJ686">
        <v>54.086170179542599</v>
      </c>
      <c r="AK686">
        <v>16.811513458633002</v>
      </c>
      <c r="AL686">
        <v>82.741623550961606</v>
      </c>
      <c r="AM686">
        <v>82.594338450247506</v>
      </c>
      <c r="AN686">
        <v>1.0000000351998599</v>
      </c>
    </row>
    <row r="687" spans="1:40" x14ac:dyDescent="0.3">
      <c r="A687" t="str">
        <f>"20200111150735433"</f>
        <v>20200111150735433</v>
      </c>
      <c r="B687" t="str">
        <f>"1578726455421756"</f>
        <v>1578726455421756</v>
      </c>
      <c r="C687" t="s">
        <v>40</v>
      </c>
      <c r="D687">
        <v>5.2432990000000004</v>
      </c>
      <c r="E687">
        <v>0.70311689999999905</v>
      </c>
      <c r="F687" t="s">
        <v>43</v>
      </c>
      <c r="G687">
        <v>-191.23079999999999</v>
      </c>
      <c r="H687" s="1">
        <v>-1.9018689999999999E-6</v>
      </c>
      <c r="I687">
        <v>343.25900000000001</v>
      </c>
      <c r="J687">
        <v>-195.93170000000001</v>
      </c>
      <c r="K687">
        <v>1.0905659999999999</v>
      </c>
      <c r="L687">
        <v>359.1968</v>
      </c>
      <c r="M687">
        <v>0.79096829999999996</v>
      </c>
      <c r="N687">
        <v>0</v>
      </c>
      <c r="O687">
        <v>-0.61162439999999996</v>
      </c>
      <c r="P687">
        <v>0.70508499999999996</v>
      </c>
      <c r="Q687">
        <v>0.11434759999999999</v>
      </c>
      <c r="R687">
        <v>-0.69984299999999999</v>
      </c>
      <c r="S687">
        <v>1.02359</v>
      </c>
      <c r="T687">
        <v>-0.22434519999999999</v>
      </c>
      <c r="U687">
        <v>-3.3208009999999999</v>
      </c>
      <c r="V687">
        <v>0.12816540000000001</v>
      </c>
      <c r="W687">
        <v>0.1252664</v>
      </c>
      <c r="X687">
        <v>0.98380990000000001</v>
      </c>
      <c r="Y687">
        <v>0.57570699999999997</v>
      </c>
      <c r="Z687">
        <v>2.3283000000000002E-2</v>
      </c>
      <c r="AA687">
        <v>0.81732450000000001</v>
      </c>
      <c r="AB687">
        <v>46</v>
      </c>
      <c r="AC687">
        <v>4.7009000000000096</v>
      </c>
      <c r="AD687">
        <v>-1.090567901869</v>
      </c>
      <c r="AE687">
        <v>-15.9377999999999</v>
      </c>
      <c r="AF687">
        <v>9.6907527187312397</v>
      </c>
      <c r="AG687">
        <v>-1.090567901869</v>
      </c>
      <c r="AH687">
        <v>13.410363378676401</v>
      </c>
      <c r="AI687">
        <v>93.771131464794493</v>
      </c>
      <c r="AJ687">
        <v>54.146933939800299</v>
      </c>
      <c r="AK687">
        <v>16.581250632938701</v>
      </c>
      <c r="AL687">
        <v>82.803859555306602</v>
      </c>
      <c r="AM687">
        <v>82.577618829126706</v>
      </c>
      <c r="AN687">
        <v>0.99999998003206403</v>
      </c>
    </row>
    <row r="688" spans="1:40" x14ac:dyDescent="0.3">
      <c r="A688" t="str">
        <f>"20200111150735447"</f>
        <v>20200111150735447</v>
      </c>
      <c r="B688" t="str">
        <f>"1578726455442252"</f>
        <v>1578726455442252</v>
      </c>
      <c r="C688" t="s">
        <v>40</v>
      </c>
      <c r="D688">
        <v>5.2431910000000004</v>
      </c>
      <c r="E688">
        <v>0.70236619999999905</v>
      </c>
      <c r="F688" t="s">
        <v>43</v>
      </c>
      <c r="G688">
        <v>-191.15799999999999</v>
      </c>
      <c r="H688" s="1">
        <v>-1.8055130000000001E-6</v>
      </c>
      <c r="I688">
        <v>343.07960000000003</v>
      </c>
      <c r="J688">
        <v>-195.7039</v>
      </c>
      <c r="K688">
        <v>1.090522</v>
      </c>
      <c r="L688">
        <v>359.02300000000002</v>
      </c>
      <c r="M688">
        <v>0.78504110000000005</v>
      </c>
      <c r="N688">
        <v>0</v>
      </c>
      <c r="O688">
        <v>-0.61921349999999997</v>
      </c>
      <c r="P688">
        <v>0.69814430000000005</v>
      </c>
      <c r="Q688">
        <v>0.1142003</v>
      </c>
      <c r="R688">
        <v>-0.70679069999999899</v>
      </c>
      <c r="S688">
        <v>0.98628229999999995</v>
      </c>
      <c r="T688">
        <v>-0.2253165</v>
      </c>
      <c r="U688">
        <v>-3.329895</v>
      </c>
      <c r="V688">
        <v>0.1284237</v>
      </c>
      <c r="W688">
        <v>0.12510839999999901</v>
      </c>
      <c r="X688">
        <v>0.98379640000000002</v>
      </c>
      <c r="Y688">
        <v>0.57685900000000001</v>
      </c>
      <c r="Z688">
        <v>2.397113E-2</v>
      </c>
      <c r="AA688">
        <v>0.81649189999999905</v>
      </c>
      <c r="AB688">
        <v>46</v>
      </c>
      <c r="AC688">
        <v>4.5459000000000103</v>
      </c>
      <c r="AD688">
        <v>-1.090523805513</v>
      </c>
      <c r="AE688">
        <v>-15.943399999999899</v>
      </c>
      <c r="AF688">
        <v>9.66092437205862</v>
      </c>
      <c r="AG688">
        <v>-1.090523805513</v>
      </c>
      <c r="AH688">
        <v>13.3850892578367</v>
      </c>
      <c r="AI688">
        <v>93.779624436632304</v>
      </c>
      <c r="AJ688">
        <v>54.179467711342902</v>
      </c>
      <c r="AK688">
        <v>16.543376811681501</v>
      </c>
      <c r="AL688">
        <v>82.812984630340495</v>
      </c>
      <c r="AM688">
        <v>82.562726407597694</v>
      </c>
      <c r="AN688">
        <v>1.0000000575626</v>
      </c>
    </row>
    <row r="689" spans="1:40" x14ac:dyDescent="0.3">
      <c r="A689" t="str">
        <f>"20200111150735459"</f>
        <v>20200111150735459</v>
      </c>
      <c r="B689" t="str">
        <f>"1578726455452012"</f>
        <v>1578726455452012</v>
      </c>
      <c r="C689" t="s">
        <v>40</v>
      </c>
      <c r="D689">
        <v>5.2361420000000001</v>
      </c>
      <c r="E689">
        <v>0.70191910000000002</v>
      </c>
      <c r="F689" t="s">
        <v>43</v>
      </c>
      <c r="G689">
        <v>-191.142</v>
      </c>
      <c r="H689" s="1">
        <v>-1.822733E-6</v>
      </c>
      <c r="I689">
        <v>343.12970000000001</v>
      </c>
      <c r="J689">
        <v>-195.49430000000001</v>
      </c>
      <c r="K689">
        <v>1.090482</v>
      </c>
      <c r="L689">
        <v>358.86079999999998</v>
      </c>
      <c r="M689">
        <v>0.77949040000000003</v>
      </c>
      <c r="N689">
        <v>0</v>
      </c>
      <c r="O689">
        <v>-0.62618619999999903</v>
      </c>
      <c r="P689">
        <v>0.69137630000000005</v>
      </c>
      <c r="Q689">
        <v>0.11451600000000001</v>
      </c>
      <c r="R689">
        <v>-0.71336189999999999</v>
      </c>
      <c r="S689">
        <v>0.95750429999999997</v>
      </c>
      <c r="T689">
        <v>-0.22888800000000001</v>
      </c>
      <c r="U689">
        <v>-3.3358150000000002</v>
      </c>
      <c r="V689">
        <v>0.1290174</v>
      </c>
      <c r="W689">
        <v>0.12539649999999999</v>
      </c>
      <c r="X689">
        <v>0.98368199999999995</v>
      </c>
      <c r="Y689">
        <v>0.576470699999999</v>
      </c>
      <c r="Z689">
        <v>2.4954980000000002E-2</v>
      </c>
      <c r="AA689">
        <v>0.81673660000000003</v>
      </c>
      <c r="AB689">
        <v>46</v>
      </c>
      <c r="AC689">
        <v>4.3523000000000103</v>
      </c>
      <c r="AD689">
        <v>-1.090483822733</v>
      </c>
      <c r="AE689">
        <v>-15.7310999999999</v>
      </c>
      <c r="AF689">
        <v>9.4958671894630804</v>
      </c>
      <c r="AG689">
        <v>-1.090483822733</v>
      </c>
      <c r="AH689">
        <v>13.186206750717</v>
      </c>
      <c r="AI689">
        <v>93.839282825884396</v>
      </c>
      <c r="AJ689">
        <v>54.240966889837097</v>
      </c>
      <c r="AK689">
        <v>16.2860890676743</v>
      </c>
      <c r="AL689">
        <v>82.796346451775193</v>
      </c>
      <c r="AM689">
        <v>82.5278725285702</v>
      </c>
      <c r="AN689">
        <v>1.0000000244195</v>
      </c>
    </row>
    <row r="690" spans="1:40" x14ac:dyDescent="0.3">
      <c r="A690" t="str">
        <f>"20200111150735478"</f>
        <v>20200111150735478</v>
      </c>
      <c r="B690" t="str">
        <f>"1578726455471533"</f>
        <v>1578726455471533</v>
      </c>
      <c r="C690" t="s">
        <v>40</v>
      </c>
      <c r="D690">
        <v>5.2682320000000002</v>
      </c>
      <c r="E690">
        <v>0.70097969999999998</v>
      </c>
      <c r="F690" t="s">
        <v>43</v>
      </c>
      <c r="G690">
        <v>-191.08619999999999</v>
      </c>
      <c r="H690" s="1">
        <v>-1.7516319999999999E-6</v>
      </c>
      <c r="I690">
        <v>342.99849999999998</v>
      </c>
      <c r="J690">
        <v>-195.20259999999999</v>
      </c>
      <c r="K690">
        <v>1.090435</v>
      </c>
      <c r="L690">
        <v>358.62860000000001</v>
      </c>
      <c r="M690">
        <v>0.77156729999999996</v>
      </c>
      <c r="N690">
        <v>0</v>
      </c>
      <c r="O690">
        <v>-0.63592280000000001</v>
      </c>
      <c r="P690">
        <v>0.68206789999999995</v>
      </c>
      <c r="Q690">
        <v>0.1156088</v>
      </c>
      <c r="R690">
        <v>-0.72209319999999999</v>
      </c>
      <c r="S690">
        <v>0.92878720000000003</v>
      </c>
      <c r="T690">
        <v>-0.22976579999999999</v>
      </c>
      <c r="U690">
        <v>-3.3421940000000001</v>
      </c>
      <c r="V690">
        <v>0.12935339999999901</v>
      </c>
      <c r="W690">
        <v>0.12647220000000001</v>
      </c>
      <c r="X690">
        <v>0.98350009999999999</v>
      </c>
      <c r="Y690">
        <v>0.57313539999999996</v>
      </c>
      <c r="Z690">
        <v>2.598659E-2</v>
      </c>
      <c r="AA690">
        <v>0.81904860000000002</v>
      </c>
      <c r="AB690">
        <v>46</v>
      </c>
      <c r="AC690">
        <v>4.1163999999999898</v>
      </c>
      <c r="AD690">
        <v>-1.0904367516319999</v>
      </c>
      <c r="AE690">
        <v>-15.630100000000001</v>
      </c>
      <c r="AF690">
        <v>9.4005260000768107</v>
      </c>
      <c r="AG690">
        <v>-1.0904367516319999</v>
      </c>
      <c r="AH690">
        <v>13.058059548451</v>
      </c>
      <c r="AI690">
        <v>93.8771081898891</v>
      </c>
      <c r="AJ690">
        <v>54.249802744561997</v>
      </c>
      <c r="AK690">
        <v>16.1267436439698</v>
      </c>
      <c r="AL690">
        <v>82.734218453315506</v>
      </c>
      <c r="AM690">
        <v>82.507263808545304</v>
      </c>
      <c r="AN690">
        <v>0.99999998308220395</v>
      </c>
    </row>
    <row r="691" spans="1:40" x14ac:dyDescent="0.3">
      <c r="A691" t="str">
        <f>"20200111150735490"</f>
        <v>20200111150735490</v>
      </c>
      <c r="B691" t="str">
        <f>"1578726455482268"</f>
        <v>1578726455482268</v>
      </c>
      <c r="C691" t="s">
        <v>40</v>
      </c>
      <c r="D691">
        <v>5.2514370000000001</v>
      </c>
      <c r="E691">
        <v>0.70069759999999903</v>
      </c>
      <c r="F691" t="s">
        <v>43</v>
      </c>
      <c r="G691">
        <v>-190.97900000000001</v>
      </c>
      <c r="H691" s="1">
        <v>-1.621759E-6</v>
      </c>
      <c r="I691">
        <v>342.76229999999998</v>
      </c>
      <c r="J691">
        <v>-194.99379999999999</v>
      </c>
      <c r="K691">
        <v>1.0904039999999999</v>
      </c>
      <c r="L691">
        <v>358.45839999999998</v>
      </c>
      <c r="M691">
        <v>0.76576160000000004</v>
      </c>
      <c r="N691">
        <v>0</v>
      </c>
      <c r="O691">
        <v>-0.64290179999999997</v>
      </c>
      <c r="P691">
        <v>0.6757396</v>
      </c>
      <c r="Q691">
        <v>0.1162514</v>
      </c>
      <c r="R691">
        <v>-0.72791569999999906</v>
      </c>
      <c r="S691">
        <v>0.891570999999999</v>
      </c>
      <c r="T691">
        <v>-0.2301831</v>
      </c>
      <c r="U691">
        <v>-3.3492739999999999</v>
      </c>
      <c r="V691">
        <v>0.12896730000000001</v>
      </c>
      <c r="W691">
        <v>0.127132</v>
      </c>
      <c r="X691">
        <v>0.9834657</v>
      </c>
      <c r="Y691">
        <v>0.57462119999999905</v>
      </c>
      <c r="Z691">
        <v>2.6588759999999999E-2</v>
      </c>
      <c r="AA691">
        <v>0.81798740000000003</v>
      </c>
      <c r="AB691">
        <v>46</v>
      </c>
      <c r="AC691">
        <v>4.0147999999999797</v>
      </c>
      <c r="AD691">
        <v>-1.0904056217589999</v>
      </c>
      <c r="AE691">
        <v>-15.696099999999999</v>
      </c>
      <c r="AF691">
        <v>9.3971343613440901</v>
      </c>
      <c r="AG691">
        <v>-1.0904056217589999</v>
      </c>
      <c r="AH691">
        <v>13.107941539774201</v>
      </c>
      <c r="AI691">
        <v>93.867763333400205</v>
      </c>
      <c r="AJ691">
        <v>54.363113700924004</v>
      </c>
      <c r="AK691">
        <v>16.165186359434699</v>
      </c>
      <c r="AL691">
        <v>82.696106794056902</v>
      </c>
      <c r="AM691">
        <v>82.529117126624001</v>
      </c>
      <c r="AN691">
        <v>0.99999994648488799</v>
      </c>
    </row>
    <row r="692" spans="1:40" x14ac:dyDescent="0.3">
      <c r="A692" t="str">
        <f>"20200111150735501"</f>
        <v>20200111150735501</v>
      </c>
      <c r="B692" t="str">
        <f>"1578726455492030"</f>
        <v>1578726455492030</v>
      </c>
      <c r="C692" t="s">
        <v>40</v>
      </c>
      <c r="D692">
        <v>5.2582820000000003</v>
      </c>
      <c r="E692">
        <v>0.70037850000000001</v>
      </c>
      <c r="F692" t="s">
        <v>43</v>
      </c>
      <c r="G692">
        <v>-190.87299999999999</v>
      </c>
      <c r="H692" s="1">
        <v>-1.4606620000000001E-6</v>
      </c>
      <c r="I692">
        <v>342.45249999999999</v>
      </c>
      <c r="J692">
        <v>-194.8064</v>
      </c>
      <c r="K692">
        <v>1.0903830000000001</v>
      </c>
      <c r="L692">
        <v>358.30410000000001</v>
      </c>
      <c r="M692">
        <v>0.76047619999999905</v>
      </c>
      <c r="N692">
        <v>0</v>
      </c>
      <c r="O692">
        <v>-0.64914490000000002</v>
      </c>
      <c r="P692">
        <v>0.67037500000000005</v>
      </c>
      <c r="Q692">
        <v>0.1171686</v>
      </c>
      <c r="R692">
        <v>-0.73271330000000001</v>
      </c>
      <c r="S692">
        <v>0.86396790000000001</v>
      </c>
      <c r="T692">
        <v>-0.22861310000000001</v>
      </c>
      <c r="U692">
        <v>-3.3557739999999998</v>
      </c>
      <c r="V692">
        <v>0.128083</v>
      </c>
      <c r="W692">
        <v>0.12809019999999999</v>
      </c>
      <c r="X692">
        <v>0.98345700000000003</v>
      </c>
      <c r="Y692">
        <v>0.57462469999999999</v>
      </c>
      <c r="Z692">
        <v>2.6934199999999998E-2</v>
      </c>
      <c r="AA692">
        <v>0.81797369999999903</v>
      </c>
      <c r="AB692">
        <v>46</v>
      </c>
      <c r="AC692">
        <v>3.9333999999999998</v>
      </c>
      <c r="AD692">
        <v>-1.0903844606619999</v>
      </c>
      <c r="AE692">
        <v>-15.851599999999999</v>
      </c>
      <c r="AF692">
        <v>9.4606130529459005</v>
      </c>
      <c r="AG692">
        <v>-1.0903844606619999</v>
      </c>
      <c r="AH692">
        <v>13.2242045631849</v>
      </c>
      <c r="AI692">
        <v>93.836506618844496</v>
      </c>
      <c r="AJ692">
        <v>54.420020459050001</v>
      </c>
      <c r="AK692">
        <v>16.296371496090298</v>
      </c>
      <c r="AL692">
        <v>82.640753908124495</v>
      </c>
      <c r="AM692">
        <v>82.579705593087397</v>
      </c>
      <c r="AN692">
        <v>1.0000000125370101</v>
      </c>
    </row>
    <row r="693" spans="1:40" x14ac:dyDescent="0.3">
      <c r="A693" t="str">
        <f>"20200111150735512"</f>
        <v>20200111150735512</v>
      </c>
      <c r="B693" t="str">
        <f>"1578726455501789"</f>
        <v>1578726455501789</v>
      </c>
      <c r="C693" t="s">
        <v>40</v>
      </c>
      <c r="D693">
        <v>5.2590709999999996</v>
      </c>
      <c r="E693">
        <v>0.6998721</v>
      </c>
      <c r="F693" t="s">
        <v>43</v>
      </c>
      <c r="G693">
        <v>-190.7208</v>
      </c>
      <c r="H693" s="1">
        <v>-1.2144139999999999E-6</v>
      </c>
      <c r="I693">
        <v>341.97289999999998</v>
      </c>
      <c r="J693">
        <v>-194.63</v>
      </c>
      <c r="K693">
        <v>1.090368</v>
      </c>
      <c r="L693">
        <v>358.15550000000002</v>
      </c>
      <c r="M693">
        <v>0.75540119999999999</v>
      </c>
      <c r="N693">
        <v>0</v>
      </c>
      <c r="O693">
        <v>-0.65504359999999995</v>
      </c>
      <c r="P693">
        <v>0.66585740000000004</v>
      </c>
      <c r="Q693">
        <v>0.1183708</v>
      </c>
      <c r="R693">
        <v>-0.73662899999999998</v>
      </c>
      <c r="S693">
        <v>0.84082029999999996</v>
      </c>
      <c r="T693">
        <v>-0.22440060000000001</v>
      </c>
      <c r="U693">
        <v>-3.3609619999999998</v>
      </c>
      <c r="V693">
        <v>0.12639120000000001</v>
      </c>
      <c r="W693">
        <v>0.12937219999999999</v>
      </c>
      <c r="X693">
        <v>0.9835081</v>
      </c>
      <c r="Y693">
        <v>0.5738626</v>
      </c>
      <c r="Z693">
        <v>2.695444E-2</v>
      </c>
      <c r="AA693">
        <v>0.81850789999999995</v>
      </c>
      <c r="AB693">
        <v>46</v>
      </c>
      <c r="AC693">
        <v>3.90919999999999</v>
      </c>
      <c r="AD693">
        <v>-1.090369214414</v>
      </c>
      <c r="AE693">
        <v>-16.182600000000001</v>
      </c>
      <c r="AF693">
        <v>9.6237632949785503</v>
      </c>
      <c r="AG693">
        <v>-1.090369214414</v>
      </c>
      <c r="AH693">
        <v>13.4973690109377</v>
      </c>
      <c r="AI693">
        <v>93.763275572873695</v>
      </c>
      <c r="AJ693">
        <v>54.510738999416098</v>
      </c>
      <c r="AK693">
        <v>16.6127870990674</v>
      </c>
      <c r="AL693">
        <v>82.566684642455002</v>
      </c>
      <c r="AM693">
        <v>82.677022829698004</v>
      </c>
      <c r="AN693">
        <v>1.00000004216794</v>
      </c>
    </row>
    <row r="694" spans="1:40" x14ac:dyDescent="0.3">
      <c r="A694" t="str">
        <f>"20200111150735524"</f>
        <v>20200111150735524</v>
      </c>
      <c r="B694" t="str">
        <f>"1578726455511550"</f>
        <v>1578726455511550</v>
      </c>
      <c r="C694" t="s">
        <v>40</v>
      </c>
      <c r="D694">
        <v>5.218502</v>
      </c>
      <c r="E694">
        <v>0.69965559999999904</v>
      </c>
      <c r="F694" t="s">
        <v>43</v>
      </c>
      <c r="G694">
        <v>-190.554</v>
      </c>
      <c r="H694" s="1">
        <v>-9.702099999999999E-7</v>
      </c>
      <c r="I694">
        <v>341.50709999999998</v>
      </c>
      <c r="J694">
        <v>-194.46629999999999</v>
      </c>
      <c r="K694">
        <v>1.090357</v>
      </c>
      <c r="L694">
        <v>358.01609999999999</v>
      </c>
      <c r="M694">
        <v>0.75063159999999995</v>
      </c>
      <c r="N694">
        <v>0</v>
      </c>
      <c r="O694">
        <v>-0.66050379999999997</v>
      </c>
      <c r="P694">
        <v>0.66148509999999905</v>
      </c>
      <c r="Q694">
        <v>0.11959309999999999</v>
      </c>
      <c r="R694">
        <v>-0.74036150000000001</v>
      </c>
      <c r="S694">
        <v>0.82351679999999905</v>
      </c>
      <c r="T694">
        <v>-0.2202991</v>
      </c>
      <c r="U694">
        <v>-3.3636469999999998</v>
      </c>
      <c r="V694">
        <v>0.1249955</v>
      </c>
      <c r="W694">
        <v>0.13066</v>
      </c>
      <c r="X694">
        <v>0.98351619999999995</v>
      </c>
      <c r="Y694">
        <v>0.57205410000000001</v>
      </c>
      <c r="Z694">
        <v>2.6975079999999999E-2</v>
      </c>
      <c r="AA694">
        <v>0.81977219999999995</v>
      </c>
      <c r="AB694">
        <v>46</v>
      </c>
      <c r="AC694">
        <v>3.9122999999999801</v>
      </c>
      <c r="AD694">
        <v>-1.0903579702099999</v>
      </c>
      <c r="AE694">
        <v>-16.509</v>
      </c>
      <c r="AF694">
        <v>9.7691473239177906</v>
      </c>
      <c r="AG694">
        <v>-1.0903579702099999</v>
      </c>
      <c r="AH694">
        <v>13.786000941303801</v>
      </c>
      <c r="AI694">
        <v>93.692278671839702</v>
      </c>
      <c r="AJ694">
        <v>54.677542795340401</v>
      </c>
      <c r="AK694">
        <v>16.931595964150599</v>
      </c>
      <c r="AL694">
        <v>82.492267254479103</v>
      </c>
      <c r="AM694">
        <v>82.757083808375</v>
      </c>
      <c r="AN694">
        <v>1.00000001314134</v>
      </c>
    </row>
    <row r="695" spans="1:40" x14ac:dyDescent="0.3">
      <c r="A695" t="str">
        <f>"20200111150735534"</f>
        <v>20200111150735534</v>
      </c>
      <c r="B695" t="str">
        <f>"1578726455532044"</f>
        <v>1578726455532044</v>
      </c>
      <c r="C695" t="s">
        <v>40</v>
      </c>
      <c r="D695">
        <v>5.2152070000000004</v>
      </c>
      <c r="E695">
        <v>0.69899140000000004</v>
      </c>
      <c r="F695" t="s">
        <v>43</v>
      </c>
      <c r="G695">
        <v>-190.43459999999999</v>
      </c>
      <c r="H695" s="1">
        <v>-7.8780850000000002E-7</v>
      </c>
      <c r="I695">
        <v>341.15589999999997</v>
      </c>
      <c r="J695">
        <v>-194.28450000000001</v>
      </c>
      <c r="K695">
        <v>1.090341</v>
      </c>
      <c r="L695">
        <v>357.85860000000002</v>
      </c>
      <c r="M695">
        <v>0.74524269999999904</v>
      </c>
      <c r="N695">
        <v>0</v>
      </c>
      <c r="O695">
        <v>-0.66657789999999995</v>
      </c>
      <c r="P695">
        <v>0.65668669999999996</v>
      </c>
      <c r="Q695">
        <v>0.12128220000000001</v>
      </c>
      <c r="R695">
        <v>-0.74434739999999999</v>
      </c>
      <c r="S695">
        <v>0.805313099999999</v>
      </c>
      <c r="T695">
        <v>-0.21779380000000001</v>
      </c>
      <c r="U695">
        <v>-3.367737</v>
      </c>
      <c r="V695">
        <v>0.12324309999999999</v>
      </c>
      <c r="W695">
        <v>0.1324312</v>
      </c>
      <c r="X695">
        <v>0.98350040000000005</v>
      </c>
      <c r="Y695">
        <v>0.56981630000000005</v>
      </c>
      <c r="Z695">
        <v>2.722925E-2</v>
      </c>
      <c r="AA695">
        <v>0.82132090000000002</v>
      </c>
      <c r="AB695">
        <v>46</v>
      </c>
      <c r="AC695">
        <v>3.8499000000000101</v>
      </c>
      <c r="AD695">
        <v>-1.0903417878085</v>
      </c>
      <c r="AE695">
        <v>-16.7027</v>
      </c>
      <c r="AF695">
        <v>9.8428978808478593</v>
      </c>
      <c r="AG695">
        <v>-1.0903417878085</v>
      </c>
      <c r="AH695">
        <v>13.9483311690186</v>
      </c>
      <c r="AI695">
        <v>93.654452148120498</v>
      </c>
      <c r="AJ695">
        <v>54.790586013482802</v>
      </c>
      <c r="AK695">
        <v>17.106356313009901</v>
      </c>
      <c r="AL695">
        <v>82.389894955414107</v>
      </c>
      <c r="AM695">
        <v>82.857457749152999</v>
      </c>
      <c r="AN695">
        <v>0.99999996061560403</v>
      </c>
    </row>
    <row r="696" spans="1:40" x14ac:dyDescent="0.3">
      <c r="A696" t="str">
        <f>"20200111150735546"</f>
        <v>20200111150735546</v>
      </c>
      <c r="B696" t="str">
        <f>"1578726455541804"</f>
        <v>1578726455541804</v>
      </c>
      <c r="C696" t="s">
        <v>40</v>
      </c>
      <c r="D696">
        <v>5.2342250000000003</v>
      </c>
      <c r="E696">
        <v>0.69852269999999905</v>
      </c>
      <c r="F696" t="s">
        <v>43</v>
      </c>
      <c r="G696">
        <v>-190.29179999999999</v>
      </c>
      <c r="H696" s="1">
        <v>-5.9867759999999898E-7</v>
      </c>
      <c r="I696">
        <v>340.80360000000002</v>
      </c>
      <c r="J696">
        <v>-194.10890000000001</v>
      </c>
      <c r="K696">
        <v>1.090327</v>
      </c>
      <c r="L696">
        <v>357.70389999999998</v>
      </c>
      <c r="M696">
        <v>0.73995489999999997</v>
      </c>
      <c r="N696">
        <v>0</v>
      </c>
      <c r="O696">
        <v>-0.67244289999999995</v>
      </c>
      <c r="P696">
        <v>0.65191140000000003</v>
      </c>
      <c r="Q696">
        <v>0.1224518</v>
      </c>
      <c r="R696">
        <v>-0.74834290000000003</v>
      </c>
      <c r="S696">
        <v>0.78881840000000003</v>
      </c>
      <c r="T696">
        <v>-0.21541830000000001</v>
      </c>
      <c r="U696">
        <v>-3.3695369999999998</v>
      </c>
      <c r="V696">
        <v>0.1216846</v>
      </c>
      <c r="W696">
        <v>0.13367409999999999</v>
      </c>
      <c r="X696">
        <v>0.98352629999999996</v>
      </c>
      <c r="Y696">
        <v>0.5672391</v>
      </c>
      <c r="Z696">
        <v>2.7495180000000001E-2</v>
      </c>
      <c r="AA696">
        <v>0.82309409999999905</v>
      </c>
      <c r="AB696">
        <v>46</v>
      </c>
      <c r="AC696">
        <v>3.8171000000000102</v>
      </c>
      <c r="AD696">
        <v>-1.0903275986776</v>
      </c>
      <c r="AE696">
        <v>-16.900299999999898</v>
      </c>
      <c r="AF696">
        <v>9.9008964236766897</v>
      </c>
      <c r="AG696">
        <v>-1.0903275986776</v>
      </c>
      <c r="AH696">
        <v>14.135029663313199</v>
      </c>
      <c r="AI696">
        <v>93.615104782005005</v>
      </c>
      <c r="AJ696">
        <v>54.990638858366701</v>
      </c>
      <c r="AK696">
        <v>17.292068350765799</v>
      </c>
      <c r="AL696">
        <v>82.318043065205103</v>
      </c>
      <c r="AM696">
        <v>82.947048882566307</v>
      </c>
      <c r="AN696">
        <v>0.99999994483982801</v>
      </c>
    </row>
    <row r="697" spans="1:40" x14ac:dyDescent="0.3">
      <c r="A697" t="str">
        <f>"20200111150735558"</f>
        <v>20200111150735558</v>
      </c>
      <c r="B697" t="str">
        <f>"1578726455551564"</f>
        <v>1578726455551564</v>
      </c>
      <c r="C697" t="s">
        <v>40</v>
      </c>
      <c r="D697">
        <v>5.2570949999999996</v>
      </c>
      <c r="E697">
        <v>0.69836659999999995</v>
      </c>
      <c r="F697" t="s">
        <v>43</v>
      </c>
      <c r="G697">
        <v>-190.15710000000001</v>
      </c>
      <c r="H697" s="1">
        <v>-3.9963939999999999E-7</v>
      </c>
      <c r="I697">
        <v>340.42329999999998</v>
      </c>
      <c r="J697">
        <v>-193.93020000000001</v>
      </c>
      <c r="K697">
        <v>1.0903069999999999</v>
      </c>
      <c r="L697">
        <v>357.54469999999998</v>
      </c>
      <c r="M697">
        <v>0.73449580000000003</v>
      </c>
      <c r="N697">
        <v>0</v>
      </c>
      <c r="O697">
        <v>-0.67840140000000004</v>
      </c>
      <c r="P697">
        <v>0.64682329999999999</v>
      </c>
      <c r="Q697">
        <v>0.1232618</v>
      </c>
      <c r="R697">
        <v>-0.75261269999999902</v>
      </c>
      <c r="S697">
        <v>0.77111819999999998</v>
      </c>
      <c r="T697">
        <v>-0.212754</v>
      </c>
      <c r="U697">
        <v>-3.3719480000000002</v>
      </c>
      <c r="V697">
        <v>0.1203472</v>
      </c>
      <c r="W697">
        <v>0.13454639999999901</v>
      </c>
      <c r="X697">
        <v>0.98357190000000005</v>
      </c>
      <c r="Y697">
        <v>0.56482060000000001</v>
      </c>
      <c r="Z697">
        <v>2.7711550000000001E-2</v>
      </c>
      <c r="AA697">
        <v>0.82474829999999999</v>
      </c>
      <c r="AB697">
        <v>46</v>
      </c>
      <c r="AC697">
        <v>3.7730999999999999</v>
      </c>
      <c r="AD697">
        <v>-1.0903073996393999</v>
      </c>
      <c r="AE697">
        <v>-17.121399999999898</v>
      </c>
      <c r="AF697">
        <v>9.9787676226214597</v>
      </c>
      <c r="AG697">
        <v>-1.0903073996393999</v>
      </c>
      <c r="AH697">
        <v>14.333143395158</v>
      </c>
      <c r="AI697">
        <v>93.572299600935395</v>
      </c>
      <c r="AJ697">
        <v>55.154274914663702</v>
      </c>
      <c r="AK697">
        <v>17.498673466241598</v>
      </c>
      <c r="AL697">
        <v>82.267608249142697</v>
      </c>
      <c r="AM697">
        <v>83.024118024625906</v>
      </c>
      <c r="AN697">
        <v>0.99999993238520202</v>
      </c>
    </row>
    <row r="698" spans="1:40" x14ac:dyDescent="0.3">
      <c r="A698" t="str">
        <f>"20200111150735569"</f>
        <v>20200111150735569</v>
      </c>
      <c r="B698" t="str">
        <f>"1578726455561471"</f>
        <v>1578726455561471</v>
      </c>
      <c r="C698" t="s">
        <v>40</v>
      </c>
      <c r="D698">
        <v>5.2317049999999998</v>
      </c>
      <c r="E698">
        <v>0.69813780000000003</v>
      </c>
      <c r="F698" t="s">
        <v>43</v>
      </c>
      <c r="G698">
        <v>-190.08600000000001</v>
      </c>
      <c r="H698" s="1">
        <v>-2.9647109999999997E-7</v>
      </c>
      <c r="I698">
        <v>340.2269</v>
      </c>
      <c r="J698">
        <v>-193.7586</v>
      </c>
      <c r="K698">
        <v>1.090293</v>
      </c>
      <c r="L698">
        <v>357.38810000000001</v>
      </c>
      <c r="M698">
        <v>0.72914789999999996</v>
      </c>
      <c r="N698">
        <v>0</v>
      </c>
      <c r="O698">
        <v>-0.68414600000000003</v>
      </c>
      <c r="P698">
        <v>0.64180979999999999</v>
      </c>
      <c r="Q698">
        <v>0.1237726</v>
      </c>
      <c r="R698">
        <v>-0.75680970000000003</v>
      </c>
      <c r="S698">
        <v>0.74957280000000004</v>
      </c>
      <c r="T698">
        <v>-0.21259700000000001</v>
      </c>
      <c r="U698">
        <v>-3.37677</v>
      </c>
      <c r="V698">
        <v>0.11912639999999999</v>
      </c>
      <c r="W698">
        <v>0.13511479999999901</v>
      </c>
      <c r="X698">
        <v>0.98364269999999998</v>
      </c>
      <c r="Y698">
        <v>0.56361269999999997</v>
      </c>
      <c r="Z698">
        <v>2.818122E-2</v>
      </c>
      <c r="AA698">
        <v>0.82555840000000003</v>
      </c>
      <c r="AB698">
        <v>46</v>
      </c>
      <c r="AC698">
        <v>3.6726000000000099</v>
      </c>
      <c r="AD698">
        <v>-1.0902932964710901</v>
      </c>
      <c r="AE698">
        <v>-17.161200000000001</v>
      </c>
      <c r="AF698">
        <v>9.9634416798909005</v>
      </c>
      <c r="AG698">
        <v>-1.0902932964710901</v>
      </c>
      <c r="AH698">
        <v>14.365264385443799</v>
      </c>
      <c r="AI698">
        <v>93.568659969139205</v>
      </c>
      <c r="AJ698">
        <v>55.255646383486003</v>
      </c>
      <c r="AK698">
        <v>17.516270449060201</v>
      </c>
      <c r="AL698">
        <v>82.234742005591102</v>
      </c>
      <c r="AM698">
        <v>83.094686729187401</v>
      </c>
      <c r="AN698">
        <v>1.0000000348096401</v>
      </c>
    </row>
    <row r="699" spans="1:40" x14ac:dyDescent="0.3">
      <c r="A699" t="str">
        <f>"20200111150735580"</f>
        <v>20200111150735580</v>
      </c>
      <c r="B699" t="str">
        <f>"1578726455572207"</f>
        <v>1578726455572207</v>
      </c>
      <c r="C699" t="s">
        <v>40</v>
      </c>
      <c r="D699">
        <v>5.2828200000000001</v>
      </c>
      <c r="E699">
        <v>0.69790430000000003</v>
      </c>
      <c r="F699" t="s">
        <v>43</v>
      </c>
      <c r="G699">
        <v>-190.01130000000001</v>
      </c>
      <c r="H699" s="1">
        <v>-1.8350050000000001E-7</v>
      </c>
      <c r="I699">
        <v>340.00990000000002</v>
      </c>
      <c r="J699">
        <v>-193.5719</v>
      </c>
      <c r="K699">
        <v>1.090276</v>
      </c>
      <c r="L699">
        <v>357.21620000000001</v>
      </c>
      <c r="M699">
        <v>0.72325719999999905</v>
      </c>
      <c r="N699">
        <v>0</v>
      </c>
      <c r="O699">
        <v>-0.69037019999999905</v>
      </c>
      <c r="P699">
        <v>0.63596419999999998</v>
      </c>
      <c r="Q699">
        <v>0.1236963</v>
      </c>
      <c r="R699">
        <v>-0.76174039999999998</v>
      </c>
      <c r="S699">
        <v>0.72894289999999995</v>
      </c>
      <c r="T699">
        <v>-0.212091</v>
      </c>
      <c r="U699">
        <v>-3.3805239999999999</v>
      </c>
      <c r="V699">
        <v>0.11827790000000001</v>
      </c>
      <c r="W699">
        <v>0.13507839999999999</v>
      </c>
      <c r="X699">
        <v>0.98375000000000001</v>
      </c>
      <c r="Y699">
        <v>0.56154009999999999</v>
      </c>
      <c r="Z699">
        <v>2.8673440000000001E-2</v>
      </c>
      <c r="AA699">
        <v>0.82695260000000004</v>
      </c>
      <c r="AB699">
        <v>46</v>
      </c>
      <c r="AC699">
        <v>3.5605999999999902</v>
      </c>
      <c r="AD699">
        <v>-1.0902761835004999</v>
      </c>
      <c r="AE699">
        <v>-17.206299999999999</v>
      </c>
      <c r="AF699">
        <v>9.9495783775920703</v>
      </c>
      <c r="AG699">
        <v>-1.0902761835004999</v>
      </c>
      <c r="AH699">
        <v>14.4005825597064</v>
      </c>
      <c r="AI699">
        <v>93.564303463338604</v>
      </c>
      <c r="AJ699">
        <v>55.358823646030601</v>
      </c>
      <c r="AK699">
        <v>17.537376944887601</v>
      </c>
      <c r="AL699">
        <v>82.236846199177606</v>
      </c>
      <c r="AM699">
        <v>83.1441419689383</v>
      </c>
      <c r="AN699">
        <v>0.99999994913748302</v>
      </c>
    </row>
    <row r="700" spans="1:40" x14ac:dyDescent="0.3">
      <c r="A700" t="str">
        <f>"20200111150735592"</f>
        <v>20200111150735592</v>
      </c>
      <c r="B700" t="str">
        <f>"1578726455581969"</f>
        <v>1578726455581969</v>
      </c>
      <c r="C700" t="s">
        <v>40</v>
      </c>
      <c r="D700">
        <v>5.2984339999999897</v>
      </c>
      <c r="E700">
        <v>0.69750219999999996</v>
      </c>
      <c r="F700" t="s">
        <v>43</v>
      </c>
      <c r="G700">
        <v>-189.96940000000001</v>
      </c>
      <c r="H700" s="1">
        <v>-1.3430089999999999E-7</v>
      </c>
      <c r="I700">
        <v>339.92110000000002</v>
      </c>
      <c r="J700">
        <v>-193.4007</v>
      </c>
      <c r="K700">
        <v>1.09026</v>
      </c>
      <c r="L700">
        <v>357.05489999999998</v>
      </c>
      <c r="M700">
        <v>0.71774490000000002</v>
      </c>
      <c r="N700">
        <v>0</v>
      </c>
      <c r="O700">
        <v>-0.69609929999999998</v>
      </c>
      <c r="P700">
        <v>0.63003589999999998</v>
      </c>
      <c r="Q700">
        <v>0.12302879999999999</v>
      </c>
      <c r="R700">
        <v>-0.76675890000000002</v>
      </c>
      <c r="S700">
        <v>0.70497129999999997</v>
      </c>
      <c r="T700">
        <v>-0.2133555</v>
      </c>
      <c r="U700">
        <v>-3.3844599999999998</v>
      </c>
      <c r="V700">
        <v>0.1181373</v>
      </c>
      <c r="W700">
        <v>0.13441789999999901</v>
      </c>
      <c r="X700">
        <v>0.98385739999999999</v>
      </c>
      <c r="Y700">
        <v>0.56076910000000002</v>
      </c>
      <c r="Z700">
        <v>2.9332980000000002E-2</v>
      </c>
      <c r="AA700">
        <v>0.82745249999999904</v>
      </c>
      <c r="AB700">
        <v>45</v>
      </c>
      <c r="AC700">
        <v>3.43129999999999</v>
      </c>
      <c r="AD700">
        <v>-1.0902601343009</v>
      </c>
      <c r="AE700">
        <v>-17.133799999999901</v>
      </c>
      <c r="AF700">
        <v>9.8721678433856894</v>
      </c>
      <c r="AG700">
        <v>-1.0902601343009</v>
      </c>
      <c r="AH700">
        <v>14.335888543276701</v>
      </c>
      <c r="AI700">
        <v>93.584104453816494</v>
      </c>
      <c r="AJ700">
        <v>55.447414179977301</v>
      </c>
      <c r="AK700">
        <v>17.4403573763176</v>
      </c>
      <c r="AL700">
        <v>82.275038687574906</v>
      </c>
      <c r="AM700">
        <v>83.152954694761206</v>
      </c>
      <c r="AN700">
        <v>0.99999998851322902</v>
      </c>
    </row>
    <row r="701" spans="1:40" x14ac:dyDescent="0.3">
      <c r="A701" t="str">
        <f>"20200111150735604"</f>
        <v>20200111150735604</v>
      </c>
      <c r="B701" t="str">
        <f>"1578726455601488"</f>
        <v>1578726455601488</v>
      </c>
      <c r="C701" t="s">
        <v>40</v>
      </c>
      <c r="D701">
        <v>5.2526760000000001</v>
      </c>
      <c r="E701">
        <v>0.69727240000000001</v>
      </c>
      <c r="F701" t="s">
        <v>43</v>
      </c>
      <c r="G701">
        <v>-189.95050000000001</v>
      </c>
      <c r="H701" s="1">
        <v>-1.166581E-7</v>
      </c>
      <c r="I701">
        <v>339.88420000000002</v>
      </c>
      <c r="J701">
        <v>-193.23439999999999</v>
      </c>
      <c r="K701">
        <v>1.0902430000000001</v>
      </c>
      <c r="L701">
        <v>356.8963</v>
      </c>
      <c r="M701">
        <v>0.71231709999999904</v>
      </c>
      <c r="N701">
        <v>0</v>
      </c>
      <c r="O701">
        <v>-0.70165279999999997</v>
      </c>
      <c r="P701">
        <v>0.62395710000000004</v>
      </c>
      <c r="Q701">
        <v>0.12219960000000001</v>
      </c>
      <c r="R701">
        <v>-0.771845</v>
      </c>
      <c r="S701">
        <v>0.68072509999999997</v>
      </c>
      <c r="T701">
        <v>-0.21510979999999999</v>
      </c>
      <c r="U701">
        <v>-3.3877869999999999</v>
      </c>
      <c r="V701">
        <v>0.1183302</v>
      </c>
      <c r="W701">
        <v>0.13357910000000001</v>
      </c>
      <c r="X701">
        <v>0.9839485</v>
      </c>
      <c r="Y701">
        <v>0.56018950000000001</v>
      </c>
      <c r="Z701">
        <v>3.0052550000000001E-2</v>
      </c>
      <c r="AA701">
        <v>0.82781919999999898</v>
      </c>
      <c r="AB701">
        <v>45</v>
      </c>
      <c r="AC701">
        <v>3.2838999999999801</v>
      </c>
      <c r="AD701">
        <v>-1.0902431166580999</v>
      </c>
      <c r="AE701">
        <v>-17.012099999999901</v>
      </c>
      <c r="AF701">
        <v>9.7765536682160299</v>
      </c>
      <c r="AG701">
        <v>-1.0902431166580999</v>
      </c>
      <c r="AH701">
        <v>14.221509375707001</v>
      </c>
      <c r="AI701">
        <v>93.614792023561904</v>
      </c>
      <c r="AJ701">
        <v>55.493485172736598</v>
      </c>
      <c r="AK701">
        <v>17.292222546689899</v>
      </c>
      <c r="AL701">
        <v>82.323536090023197</v>
      </c>
      <c r="AM701">
        <v>83.142509842153203</v>
      </c>
      <c r="AN701">
        <v>1.0000000314205399</v>
      </c>
    </row>
    <row r="702" spans="1:40" x14ac:dyDescent="0.3">
      <c r="A702" t="str">
        <f>"20200111150735616"</f>
        <v>20200111150735616</v>
      </c>
      <c r="B702" t="str">
        <f>"1578726455612223"</f>
        <v>1578726455612223</v>
      </c>
      <c r="C702" t="s">
        <v>40</v>
      </c>
      <c r="D702">
        <v>5.2679529999999897</v>
      </c>
      <c r="E702">
        <v>0.69709889999999997</v>
      </c>
      <c r="F702" t="s">
        <v>43</v>
      </c>
      <c r="G702">
        <v>-189.98609999999999</v>
      </c>
      <c r="H702" s="1">
        <v>-2.0503600000000001E-7</v>
      </c>
      <c r="I702">
        <v>340.07569999999998</v>
      </c>
      <c r="J702">
        <v>-193.0496</v>
      </c>
      <c r="K702">
        <v>1.0902229999999999</v>
      </c>
      <c r="L702">
        <v>356.71730000000002</v>
      </c>
      <c r="M702">
        <v>0.70618519999999996</v>
      </c>
      <c r="N702">
        <v>0</v>
      </c>
      <c r="O702">
        <v>-0.7078236</v>
      </c>
      <c r="P702">
        <v>0.61666880000000002</v>
      </c>
      <c r="Q702">
        <v>0.1210073</v>
      </c>
      <c r="R702">
        <v>-0.77786679999999997</v>
      </c>
      <c r="S702">
        <v>0.65505979999999997</v>
      </c>
      <c r="T702">
        <v>-0.2198629</v>
      </c>
      <c r="U702">
        <v>-3.3921199999999998</v>
      </c>
      <c r="V702">
        <v>0.11910569999999999</v>
      </c>
      <c r="W702">
        <v>0.13234939999999901</v>
      </c>
      <c r="X702">
        <v>0.98402109999999998</v>
      </c>
      <c r="Y702">
        <v>0.5592203</v>
      </c>
      <c r="Z702">
        <v>3.1260749999999997E-2</v>
      </c>
      <c r="AA702">
        <v>0.82842950000000004</v>
      </c>
      <c r="AB702">
        <v>45</v>
      </c>
      <c r="AC702">
        <v>3.0634999999999999</v>
      </c>
      <c r="AD702">
        <v>-1.0902232050359999</v>
      </c>
      <c r="AE702">
        <v>-16.6416</v>
      </c>
      <c r="AF702">
        <v>9.5453911571811005</v>
      </c>
      <c r="AG702">
        <v>-1.0902232050359999</v>
      </c>
      <c r="AH702">
        <v>13.8870780818587</v>
      </c>
      <c r="AI702">
        <v>93.7016936660266</v>
      </c>
      <c r="AJ702">
        <v>55.497010661267097</v>
      </c>
      <c r="AK702">
        <v>16.8865039789777</v>
      </c>
      <c r="AL702">
        <v>82.394623889661204</v>
      </c>
      <c r="AM702">
        <v>83.098504381439199</v>
      </c>
      <c r="AN702">
        <v>1.00000002834902</v>
      </c>
    </row>
    <row r="703" spans="1:40" x14ac:dyDescent="0.3">
      <c r="A703" t="str">
        <f>"20200111150735633"</f>
        <v>20200111150735633</v>
      </c>
      <c r="B703" t="str">
        <f>"1578726455621983"</f>
        <v>1578726455621983</v>
      </c>
      <c r="C703" t="s">
        <v>40</v>
      </c>
      <c r="D703">
        <v>5.2684839999999999</v>
      </c>
      <c r="E703">
        <v>0.69687959999999904</v>
      </c>
      <c r="F703" t="s">
        <v>43</v>
      </c>
      <c r="G703">
        <v>-190.01240000000001</v>
      </c>
      <c r="H703" s="1">
        <v>-2.484409E-7</v>
      </c>
      <c r="I703">
        <v>340.16059999999999</v>
      </c>
      <c r="J703">
        <v>-192.8074</v>
      </c>
      <c r="K703">
        <v>1.090204</v>
      </c>
      <c r="L703">
        <v>356.47699999999998</v>
      </c>
      <c r="M703">
        <v>0.6979687</v>
      </c>
      <c r="N703">
        <v>0</v>
      </c>
      <c r="O703">
        <v>-0.71592719999999999</v>
      </c>
      <c r="P703">
        <v>0.60569490000000004</v>
      </c>
      <c r="Q703">
        <v>0.11916110000000001</v>
      </c>
      <c r="R703">
        <v>-0.78672399999999998</v>
      </c>
      <c r="S703">
        <v>0.62322999999999995</v>
      </c>
      <c r="T703">
        <v>-0.2237133</v>
      </c>
      <c r="U703">
        <v>-3.3974299999999999</v>
      </c>
      <c r="V703">
        <v>0.1216714</v>
      </c>
      <c r="W703">
        <v>0.1303801</v>
      </c>
      <c r="X703">
        <v>0.98397000000000001</v>
      </c>
      <c r="Y703">
        <v>0.55739469999999902</v>
      </c>
      <c r="Z703">
        <v>3.2552930000000001E-2</v>
      </c>
      <c r="AA703">
        <v>0.82960919999999905</v>
      </c>
      <c r="AB703">
        <v>45</v>
      </c>
      <c r="AC703">
        <v>2.7949999999999799</v>
      </c>
      <c r="AD703">
        <v>-1.0902042484409</v>
      </c>
      <c r="AE703">
        <v>-16.316399999999899</v>
      </c>
      <c r="AF703">
        <v>9.3481273126739808</v>
      </c>
      <c r="AG703">
        <v>-1.0902042484409</v>
      </c>
      <c r="AH703">
        <v>13.575261873223701</v>
      </c>
      <c r="AI703">
        <v>93.784193703718401</v>
      </c>
      <c r="AJ703">
        <v>55.448123635321998</v>
      </c>
      <c r="AK703">
        <v>16.51858845313</v>
      </c>
      <c r="AL703">
        <v>82.5084420903802</v>
      </c>
      <c r="AM703">
        <v>82.950954297699596</v>
      </c>
      <c r="AN703">
        <v>0.99999993047698199</v>
      </c>
    </row>
    <row r="704" spans="1:40" x14ac:dyDescent="0.3">
      <c r="A704" t="str">
        <f>"20200111150735646"</f>
        <v>20200111150735646</v>
      </c>
      <c r="B704" t="str">
        <f>"1578726455641503"</f>
        <v>1578726455641503</v>
      </c>
      <c r="C704" t="s">
        <v>40</v>
      </c>
      <c r="D704">
        <v>5.3106970000000002</v>
      </c>
      <c r="E704">
        <v>0.69641500000000001</v>
      </c>
      <c r="F704" t="s">
        <v>43</v>
      </c>
      <c r="G704">
        <v>-190.08330000000001</v>
      </c>
      <c r="H704" s="1">
        <v>-3.6556149999999999E-7</v>
      </c>
      <c r="I704">
        <v>340.38959999999997</v>
      </c>
      <c r="J704">
        <v>-192.63030000000001</v>
      </c>
      <c r="K704">
        <v>1.0901970000000001</v>
      </c>
      <c r="L704">
        <v>356.298</v>
      </c>
      <c r="M704">
        <v>0.69184380000000001</v>
      </c>
      <c r="N704">
        <v>0</v>
      </c>
      <c r="O704">
        <v>-0.72184780000000004</v>
      </c>
      <c r="P704">
        <v>0.59799380000000002</v>
      </c>
      <c r="Q704">
        <v>0.1190291</v>
      </c>
      <c r="R704">
        <v>-0.79261329999999997</v>
      </c>
      <c r="S704">
        <v>0.57646180000000002</v>
      </c>
      <c r="T704">
        <v>-0.23071150000000001</v>
      </c>
      <c r="U704">
        <v>-3.4044490000000001</v>
      </c>
      <c r="V704">
        <v>0.1228954</v>
      </c>
      <c r="W704">
        <v>0.1301882</v>
      </c>
      <c r="X704">
        <v>0.98384329999999998</v>
      </c>
      <c r="Y704">
        <v>0.56166930000000004</v>
      </c>
      <c r="Z704">
        <v>3.3968329999999998E-2</v>
      </c>
      <c r="AA704">
        <v>0.82666419999999996</v>
      </c>
      <c r="AB704">
        <v>45</v>
      </c>
      <c r="AC704">
        <v>2.5469999999999899</v>
      </c>
      <c r="AD704">
        <v>-1.0901973655614901</v>
      </c>
      <c r="AE704">
        <v>-15.9084</v>
      </c>
      <c r="AF704">
        <v>9.1271090639290708</v>
      </c>
      <c r="AG704">
        <v>-1.0901973655614901</v>
      </c>
      <c r="AH704">
        <v>13.187093941650399</v>
      </c>
      <c r="AI704">
        <v>93.888854093328405</v>
      </c>
      <c r="AJ704">
        <v>55.311947574150501</v>
      </c>
      <c r="AK704">
        <v>16.0745792102514</v>
      </c>
      <c r="AL704">
        <v>82.519531764266702</v>
      </c>
      <c r="AM704">
        <v>82.879858382857194</v>
      </c>
      <c r="AN704">
        <v>0.99999994285764304</v>
      </c>
    </row>
    <row r="705" spans="1:40" x14ac:dyDescent="0.3">
      <c r="A705" t="str">
        <f>"20200111150735659"</f>
        <v>20200111150735659</v>
      </c>
      <c r="B705" t="str">
        <f>"1578726455652239"</f>
        <v>1578726455652239</v>
      </c>
      <c r="C705" t="s">
        <v>40</v>
      </c>
      <c r="D705">
        <v>5.2664</v>
      </c>
      <c r="E705">
        <v>0.69628440000000003</v>
      </c>
      <c r="F705" t="s">
        <v>43</v>
      </c>
      <c r="G705">
        <v>-190.06829999999999</v>
      </c>
      <c r="H705" s="1">
        <v>-3.298244E-7</v>
      </c>
      <c r="I705">
        <v>340.31560000000002</v>
      </c>
      <c r="J705">
        <v>-192.44579999999999</v>
      </c>
      <c r="K705">
        <v>1.0901970000000001</v>
      </c>
      <c r="L705">
        <v>356.10890000000001</v>
      </c>
      <c r="M705">
        <v>0.68536160000000002</v>
      </c>
      <c r="N705">
        <v>0</v>
      </c>
      <c r="O705">
        <v>-0.72800520000000002</v>
      </c>
      <c r="P705">
        <v>0.59021319999999999</v>
      </c>
      <c r="Q705">
        <v>0.11938790000000001</v>
      </c>
      <c r="R705">
        <v>-0.79837049999999998</v>
      </c>
      <c r="S705">
        <v>0.5462494</v>
      </c>
      <c r="T705">
        <v>-0.23244980000000001</v>
      </c>
      <c r="U705">
        <v>-3.4077449999999998</v>
      </c>
      <c r="V705">
        <v>0.1237033</v>
      </c>
      <c r="W705">
        <v>0.1305074</v>
      </c>
      <c r="X705">
        <v>0.98369980000000001</v>
      </c>
      <c r="Y705">
        <v>0.56154280000000001</v>
      </c>
      <c r="Z705">
        <v>3.479119E-2</v>
      </c>
      <c r="AA705">
        <v>0.82671589999999995</v>
      </c>
      <c r="AB705">
        <v>45</v>
      </c>
      <c r="AC705">
        <v>2.3774999999999902</v>
      </c>
      <c r="AD705">
        <v>-1.0901973298244001</v>
      </c>
      <c r="AE705">
        <v>-15.793299999999901</v>
      </c>
      <c r="AF705">
        <v>9.0524192072734007</v>
      </c>
      <c r="AG705">
        <v>-1.0901973298244001</v>
      </c>
      <c r="AH705">
        <v>13.0680521957092</v>
      </c>
      <c r="AI705">
        <v>93.923089896844999</v>
      </c>
      <c r="AJ705">
        <v>55.289122746854702</v>
      </c>
      <c r="AK705">
        <v>15.934516368937899</v>
      </c>
      <c r="AL705">
        <v>82.501085945665693</v>
      </c>
      <c r="AM705">
        <v>82.832501943615895</v>
      </c>
      <c r="AN705">
        <v>0.99999999220284497</v>
      </c>
    </row>
    <row r="706" spans="1:40" x14ac:dyDescent="0.3">
      <c r="A706" t="str">
        <f>"20200111150735670"</f>
        <v>20200111150735670</v>
      </c>
      <c r="B706" t="str">
        <f>"1578726455661999"</f>
        <v>1578726455661999</v>
      </c>
      <c r="C706" t="s">
        <v>40</v>
      </c>
      <c r="D706">
        <v>5.3706399999999999</v>
      </c>
      <c r="E706">
        <v>0.69641809999999904</v>
      </c>
      <c r="F706" t="s">
        <v>43</v>
      </c>
      <c r="G706">
        <v>-190.00659999999999</v>
      </c>
      <c r="H706" s="1">
        <v>-1.2921149999999999E-7</v>
      </c>
      <c r="I706">
        <v>339.88619999999997</v>
      </c>
      <c r="J706">
        <v>-192.26609999999999</v>
      </c>
      <c r="K706">
        <v>1.090198</v>
      </c>
      <c r="L706">
        <v>355.91989999999998</v>
      </c>
      <c r="M706">
        <v>0.67890410000000001</v>
      </c>
      <c r="N706">
        <v>0</v>
      </c>
      <c r="O706">
        <v>-0.73403069999999904</v>
      </c>
      <c r="P706">
        <v>0.58282469999999997</v>
      </c>
      <c r="Q706">
        <v>0.12010469999999999</v>
      </c>
      <c r="R706">
        <v>-0.80367290000000002</v>
      </c>
      <c r="S706">
        <v>0.51310730000000004</v>
      </c>
      <c r="T706">
        <v>-0.2293316</v>
      </c>
      <c r="U706">
        <v>-3.4125670000000001</v>
      </c>
      <c r="V706">
        <v>0.12404949999999999</v>
      </c>
      <c r="W706">
        <v>0.1312065</v>
      </c>
      <c r="X706">
        <v>0.98356319999999997</v>
      </c>
      <c r="Y706">
        <v>0.56226129999999996</v>
      </c>
      <c r="Z706">
        <v>3.4838910000000001E-2</v>
      </c>
      <c r="AA706">
        <v>0.82622549999999995</v>
      </c>
      <c r="AB706">
        <v>45</v>
      </c>
      <c r="AC706">
        <v>2.2595000000000001</v>
      </c>
      <c r="AD706">
        <v>-1.0901981292114999</v>
      </c>
      <c r="AE706">
        <v>-16.0337</v>
      </c>
      <c r="AF706">
        <v>9.1864879322398192</v>
      </c>
      <c r="AG706">
        <v>-1.0901981292114999</v>
      </c>
      <c r="AH706">
        <v>13.2450865546896</v>
      </c>
      <c r="AI706">
        <v>93.8692575133459</v>
      </c>
      <c r="AJ706">
        <v>55.255711347400101</v>
      </c>
      <c r="AK706">
        <v>16.155878506950501</v>
      </c>
      <c r="AL706">
        <v>82.460683081677004</v>
      </c>
      <c r="AM706">
        <v>82.811664481080101</v>
      </c>
      <c r="AN706">
        <v>0.99999999624336899</v>
      </c>
    </row>
    <row r="707" spans="1:40" x14ac:dyDescent="0.3">
      <c r="A707" t="str">
        <f>"20200111150735683"</f>
        <v>20200111150735683</v>
      </c>
      <c r="B707" t="str">
        <f>"1578726455671759"</f>
        <v>1578726455671759</v>
      </c>
      <c r="C707" t="s">
        <v>40</v>
      </c>
      <c r="D707">
        <v>5.3012050000000004</v>
      </c>
      <c r="E707">
        <v>0.69622839999999997</v>
      </c>
      <c r="F707" t="s">
        <v>43</v>
      </c>
      <c r="G707">
        <v>-189.94720000000001</v>
      </c>
      <c r="H707" s="1">
        <v>-4.2080789999999996E-6</v>
      </c>
      <c r="I707">
        <v>339.42009999999999</v>
      </c>
      <c r="J707">
        <v>-192.10120000000001</v>
      </c>
      <c r="K707">
        <v>1.090198</v>
      </c>
      <c r="L707">
        <v>355.74459999999999</v>
      </c>
      <c r="M707">
        <v>0.67289299999999996</v>
      </c>
      <c r="N707">
        <v>0</v>
      </c>
      <c r="O707">
        <v>-0.73954489999999995</v>
      </c>
      <c r="P707">
        <v>0.57612200000000002</v>
      </c>
      <c r="Q707">
        <v>0.12106790000000001</v>
      </c>
      <c r="R707">
        <v>-0.8083475</v>
      </c>
      <c r="S707">
        <v>0.48040769999999999</v>
      </c>
      <c r="T707">
        <v>-0.22585749999999999</v>
      </c>
      <c r="U707">
        <v>-3.4182739999999998</v>
      </c>
      <c r="V707">
        <v>0.1241531</v>
      </c>
      <c r="W707">
        <v>0.1321637</v>
      </c>
      <c r="X707">
        <v>0.98342200000000002</v>
      </c>
      <c r="Y707">
        <v>0.56346169999999995</v>
      </c>
      <c r="Z707">
        <v>3.4749380000000003E-2</v>
      </c>
      <c r="AA707">
        <v>0.82541109999999895</v>
      </c>
      <c r="AB707">
        <v>45</v>
      </c>
      <c r="AC707">
        <v>2.1539999999999901</v>
      </c>
      <c r="AD707">
        <v>-1.0902022080789999</v>
      </c>
      <c r="AE707">
        <v>-16.3245</v>
      </c>
      <c r="AF707">
        <v>9.3520202111503092</v>
      </c>
      <c r="AG707">
        <v>-1.0902022080789999</v>
      </c>
      <c r="AH707">
        <v>13.465035914269301</v>
      </c>
      <c r="AI707">
        <v>93.804541980480494</v>
      </c>
      <c r="AJ707">
        <v>55.218434478255503</v>
      </c>
      <c r="AK707">
        <v>16.430338251442901</v>
      </c>
      <c r="AL707">
        <v>82.405358044527006</v>
      </c>
      <c r="AM707">
        <v>82.804701884157296</v>
      </c>
      <c r="AN707">
        <v>1.00000003296064</v>
      </c>
    </row>
    <row r="708" spans="1:40" x14ac:dyDescent="0.3">
      <c r="A708" t="str">
        <f>"20200111150735702"</f>
        <v>20200111150735702</v>
      </c>
      <c r="B708" t="str">
        <f>"1578726455692255"</f>
        <v>1578726455692255</v>
      </c>
      <c r="C708" t="s">
        <v>40</v>
      </c>
      <c r="D708">
        <v>5.2872120000000002</v>
      </c>
      <c r="E708">
        <v>0.69584089999999998</v>
      </c>
      <c r="F708" t="s">
        <v>43</v>
      </c>
      <c r="G708">
        <v>-189.86869999999999</v>
      </c>
      <c r="H708" s="1">
        <v>-3.9909780000000002E-6</v>
      </c>
      <c r="I708">
        <v>338.88159999999999</v>
      </c>
      <c r="J708">
        <v>-191.84229999999999</v>
      </c>
      <c r="K708">
        <v>1.0901970000000001</v>
      </c>
      <c r="L708">
        <v>355.46300000000002</v>
      </c>
      <c r="M708">
        <v>0.6632422</v>
      </c>
      <c r="N708">
        <v>0</v>
      </c>
      <c r="O708">
        <v>-0.74821210000000005</v>
      </c>
      <c r="P708">
        <v>0.56612059999999997</v>
      </c>
      <c r="Q708">
        <v>0.12204479999999999</v>
      </c>
      <c r="R708">
        <v>-0.81523780000000001</v>
      </c>
      <c r="S708">
        <v>0.4529572</v>
      </c>
      <c r="T708">
        <v>-0.2212025</v>
      </c>
      <c r="U708">
        <v>-3.4215089999999901</v>
      </c>
      <c r="V708">
        <v>0.1234591</v>
      </c>
      <c r="W708">
        <v>0.13317370000000001</v>
      </c>
      <c r="X708">
        <v>0.9833731</v>
      </c>
      <c r="Y708">
        <v>0.55935679999999999</v>
      </c>
      <c r="Z708">
        <v>3.490037E-2</v>
      </c>
      <c r="AA708">
        <v>0.82819189999999998</v>
      </c>
      <c r="AB708">
        <v>45</v>
      </c>
      <c r="AC708">
        <v>1.9736</v>
      </c>
      <c r="AD708">
        <v>-1.0902009909779999</v>
      </c>
      <c r="AE708">
        <v>-16.581399999999999</v>
      </c>
      <c r="AF708">
        <v>9.4817704323268899</v>
      </c>
      <c r="AG708">
        <v>-1.0902009909779999</v>
      </c>
      <c r="AH708">
        <v>13.6591357117786</v>
      </c>
      <c r="AI708">
        <v>93.751278840190096</v>
      </c>
      <c r="AJ708">
        <v>55.232755317503198</v>
      </c>
      <c r="AK708">
        <v>16.663267900530901</v>
      </c>
      <c r="AL708">
        <v>82.346973101003002</v>
      </c>
      <c r="AM708">
        <v>82.844152492970096</v>
      </c>
      <c r="AN708">
        <v>1.0000000187740501</v>
      </c>
    </row>
    <row r="709" spans="1:40" x14ac:dyDescent="0.3">
      <c r="A709" t="str">
        <f>"20200111150735712"</f>
        <v>20200111150735712</v>
      </c>
      <c r="B709" t="str">
        <f>"1578726455702016"</f>
        <v>1578726455702016</v>
      </c>
      <c r="C709" t="s">
        <v>40</v>
      </c>
      <c r="D709">
        <v>5.3023150000000001</v>
      </c>
      <c r="E709">
        <v>0.6956196</v>
      </c>
      <c r="F709" t="s">
        <v>43</v>
      </c>
      <c r="G709">
        <v>-189.7646</v>
      </c>
      <c r="H709" s="1">
        <v>-3.7386129999999998E-6</v>
      </c>
      <c r="I709">
        <v>338.25020000000001</v>
      </c>
      <c r="J709">
        <v>-191.6788</v>
      </c>
      <c r="K709">
        <v>1.0902000000000001</v>
      </c>
      <c r="L709">
        <v>355.28059999999999</v>
      </c>
      <c r="M709">
        <v>0.65700019999999903</v>
      </c>
      <c r="N709">
        <v>0</v>
      </c>
      <c r="O709">
        <v>-0.75369909999999996</v>
      </c>
      <c r="P709">
        <v>0.55987390000000004</v>
      </c>
      <c r="Q709">
        <v>0.12223100000000001</v>
      </c>
      <c r="R709">
        <v>-0.81951240000000003</v>
      </c>
      <c r="S709">
        <v>0.41345209999999999</v>
      </c>
      <c r="T709">
        <v>-0.2169459</v>
      </c>
      <c r="U709">
        <v>-3.425262</v>
      </c>
      <c r="V709">
        <v>0.1227905</v>
      </c>
      <c r="W709">
        <v>0.13339300000000001</v>
      </c>
      <c r="X709">
        <v>0.98342700000000005</v>
      </c>
      <c r="Y709">
        <v>0.5619866</v>
      </c>
      <c r="Z709">
        <v>3.4635529999999998E-2</v>
      </c>
      <c r="AA709">
        <v>0.82642079999999996</v>
      </c>
      <c r="AB709">
        <v>45</v>
      </c>
      <c r="AC709">
        <v>1.9141999999999899</v>
      </c>
      <c r="AD709">
        <v>-1.0902037386129999</v>
      </c>
      <c r="AE709">
        <v>-17.030399999999901</v>
      </c>
      <c r="AF709">
        <v>9.7083631724448196</v>
      </c>
      <c r="AG709">
        <v>-1.0902037386129999</v>
      </c>
      <c r="AH709">
        <v>14.0386478664231</v>
      </c>
      <c r="AI709">
        <v>93.654632520501707</v>
      </c>
      <c r="AJ709">
        <v>55.334379809296003</v>
      </c>
      <c r="AK709">
        <v>17.103347438358199</v>
      </c>
      <c r="AL709">
        <v>82.334294352150295</v>
      </c>
      <c r="AM709">
        <v>82.882892989161107</v>
      </c>
      <c r="AN709">
        <v>0.99999993183412195</v>
      </c>
    </row>
    <row r="710" spans="1:40" x14ac:dyDescent="0.3">
      <c r="A710" t="str">
        <f>"20200111150735726"</f>
        <v>20200111150735726</v>
      </c>
      <c r="B710" t="str">
        <f>"1578726455721536"</f>
        <v>1578726455721536</v>
      </c>
      <c r="C710" t="s">
        <v>40</v>
      </c>
      <c r="D710">
        <v>5.3943149999999997</v>
      </c>
      <c r="E710">
        <v>0.69529079999999999</v>
      </c>
      <c r="F710" t="s">
        <v>43</v>
      </c>
      <c r="G710">
        <v>-189.72470000000001</v>
      </c>
      <c r="H710" s="1">
        <v>-3.6707010000000001E-6</v>
      </c>
      <c r="I710">
        <v>338.07549999999998</v>
      </c>
      <c r="J710">
        <v>-191.51560000000001</v>
      </c>
      <c r="K710">
        <v>1.0902050000000001</v>
      </c>
      <c r="L710">
        <v>355.09589999999997</v>
      </c>
      <c r="M710">
        <v>0.65066459999999904</v>
      </c>
      <c r="N710">
        <v>0</v>
      </c>
      <c r="O710">
        <v>-0.75917539999999994</v>
      </c>
      <c r="P710">
        <v>0.5533863</v>
      </c>
      <c r="Q710">
        <v>0.1224051</v>
      </c>
      <c r="R710">
        <v>-0.82388150000000004</v>
      </c>
      <c r="S710">
        <v>0.38925169999999998</v>
      </c>
      <c r="T710">
        <v>-0.21716299999999999</v>
      </c>
      <c r="U710">
        <v>-3.4271850000000001</v>
      </c>
      <c r="V710">
        <v>0.1223093</v>
      </c>
      <c r="W710">
        <v>0.1335914</v>
      </c>
      <c r="X710">
        <v>0.98346009999999995</v>
      </c>
      <c r="Y710">
        <v>0.56087419999999899</v>
      </c>
      <c r="Z710">
        <v>3.5175680000000001E-2</v>
      </c>
      <c r="AA710">
        <v>0.82715349999999999</v>
      </c>
      <c r="AB710">
        <v>45</v>
      </c>
      <c r="AC710">
        <v>1.7908999999999899</v>
      </c>
      <c r="AD710">
        <v>-1.0902086707009999</v>
      </c>
      <c r="AE710">
        <v>-17.020399999999899</v>
      </c>
      <c r="AF710">
        <v>9.67709682135715</v>
      </c>
      <c r="AG710">
        <v>-1.0902086707009999</v>
      </c>
      <c r="AH710">
        <v>14.0318358491133</v>
      </c>
      <c r="AI710">
        <v>93.659646716263296</v>
      </c>
      <c r="AJ710">
        <v>55.407798063894901</v>
      </c>
      <c r="AK710">
        <v>17.080022691204299</v>
      </c>
      <c r="AL710">
        <v>82.322824717719598</v>
      </c>
      <c r="AM710">
        <v>82.910735826916607</v>
      </c>
      <c r="AN710">
        <v>0.99999999765622904</v>
      </c>
    </row>
    <row r="711" spans="1:40" x14ac:dyDescent="0.3">
      <c r="A711" t="str">
        <f>"20200111150735739"</f>
        <v>20200111150735739</v>
      </c>
      <c r="B711" t="str">
        <f>"1578726455731295"</f>
        <v>1578726455731295</v>
      </c>
      <c r="C711" t="s">
        <v>40</v>
      </c>
      <c r="D711">
        <v>5.2417930000000004</v>
      </c>
      <c r="E711">
        <v>0.69505850000000002</v>
      </c>
      <c r="F711" t="s">
        <v>43</v>
      </c>
      <c r="G711">
        <v>-189.68960000000001</v>
      </c>
      <c r="H711" s="1">
        <v>-3.617703E-6</v>
      </c>
      <c r="I711">
        <v>337.93740000000003</v>
      </c>
      <c r="J711">
        <v>-191.34020000000001</v>
      </c>
      <c r="K711">
        <v>1.0902099999999999</v>
      </c>
      <c r="L711">
        <v>354.89449999999999</v>
      </c>
      <c r="M711">
        <v>0.64374770000000003</v>
      </c>
      <c r="N711">
        <v>0</v>
      </c>
      <c r="O711">
        <v>-0.76504949999999905</v>
      </c>
      <c r="P711">
        <v>0.54683570000000004</v>
      </c>
      <c r="Q711">
        <v>0.1227394</v>
      </c>
      <c r="R711">
        <v>-0.82819469999999995</v>
      </c>
      <c r="S711">
        <v>0.36486819999999998</v>
      </c>
      <c r="T711">
        <v>-0.2178445</v>
      </c>
      <c r="U711">
        <v>-3.4285890000000001</v>
      </c>
      <c r="V711">
        <v>0.1211648</v>
      </c>
      <c r="W711">
        <v>0.13398270000000001</v>
      </c>
      <c r="X711">
        <v>0.98354850000000005</v>
      </c>
      <c r="Y711">
        <v>0.55921379999999998</v>
      </c>
      <c r="Z711">
        <v>3.5847259999999999E-2</v>
      </c>
      <c r="AA711">
        <v>0.82824809999999904</v>
      </c>
      <c r="AB711">
        <v>45</v>
      </c>
      <c r="AC711">
        <v>1.6505999999999901</v>
      </c>
      <c r="AD711">
        <v>-1.090213617703</v>
      </c>
      <c r="AE711">
        <v>-16.957099999999901</v>
      </c>
      <c r="AF711">
        <v>9.6153224976242608</v>
      </c>
      <c r="AG711">
        <v>-1.090213617703</v>
      </c>
      <c r="AH711">
        <v>13.9803677993393</v>
      </c>
      <c r="AI711">
        <v>93.676317216617306</v>
      </c>
      <c r="AJ711">
        <v>55.480848580646601</v>
      </c>
      <c r="AK711">
        <v>17.002754961192299</v>
      </c>
      <c r="AL711">
        <v>82.300201224357707</v>
      </c>
      <c r="AM711">
        <v>82.977032392788203</v>
      </c>
      <c r="AN711">
        <v>0.99999996225528898</v>
      </c>
    </row>
    <row r="712" spans="1:40" x14ac:dyDescent="0.3">
      <c r="A712" t="str">
        <f>"20200111150735758"</f>
        <v>20200111150735758</v>
      </c>
      <c r="B712" t="str">
        <f>"1578726455751791"</f>
        <v>1578726455751791</v>
      </c>
      <c r="C712" t="s">
        <v>40</v>
      </c>
      <c r="D712">
        <v>5.0944349999999998</v>
      </c>
      <c r="E712">
        <v>0.72097089999999997</v>
      </c>
      <c r="F712" t="s">
        <v>43</v>
      </c>
      <c r="G712">
        <v>-189.64349999999999</v>
      </c>
      <c r="H712" s="1">
        <v>-3.554769E-6</v>
      </c>
      <c r="I712">
        <v>337.77159999999998</v>
      </c>
      <c r="J712">
        <v>-191.08850000000001</v>
      </c>
      <c r="K712">
        <v>1.090225</v>
      </c>
      <c r="L712">
        <v>354.59739999999999</v>
      </c>
      <c r="M712">
        <v>0.63354779999999999</v>
      </c>
      <c r="N712">
        <v>0</v>
      </c>
      <c r="O712">
        <v>-0.77351709999999996</v>
      </c>
      <c r="P712">
        <v>0.5378001</v>
      </c>
      <c r="Q712">
        <v>0.1238906</v>
      </c>
      <c r="R712">
        <v>-0.83391979999999999</v>
      </c>
      <c r="S712">
        <v>0.33990479999999901</v>
      </c>
      <c r="T712">
        <v>-0.2184055</v>
      </c>
      <c r="U712">
        <v>-3.4302670000000002</v>
      </c>
      <c r="V712">
        <v>0.1187588</v>
      </c>
      <c r="W712">
        <v>0.13525279999999901</v>
      </c>
      <c r="X712">
        <v>0.98366810000000005</v>
      </c>
      <c r="Y712">
        <v>0.55422749999999998</v>
      </c>
      <c r="Z712">
        <v>3.6812249999999998E-2</v>
      </c>
      <c r="AA712">
        <v>0.83155080000000003</v>
      </c>
      <c r="AB712">
        <v>45</v>
      </c>
      <c r="AC712">
        <v>1.44500000000002</v>
      </c>
      <c r="AD712">
        <v>-1.090228554769</v>
      </c>
      <c r="AE712">
        <v>-16.825800000000001</v>
      </c>
      <c r="AF712">
        <v>9.5039836593901601</v>
      </c>
      <c r="AG712">
        <v>-1.090228554769</v>
      </c>
      <c r="AH712">
        <v>13.8747053124863</v>
      </c>
      <c r="AI712">
        <v>93.709093340383902</v>
      </c>
      <c r="AJ712">
        <v>55.589389185110903</v>
      </c>
      <c r="AK712">
        <v>16.8529448823618</v>
      </c>
      <c r="AL712">
        <v>82.226761285692703</v>
      </c>
      <c r="AM712">
        <v>83.115966387006196</v>
      </c>
      <c r="AN712">
        <v>0.99999995172144296</v>
      </c>
    </row>
    <row r="713" spans="1:40" x14ac:dyDescent="0.3">
      <c r="A713" t="str">
        <f>"20200111150735806"</f>
        <v>20200111150735806</v>
      </c>
      <c r="B713" t="str">
        <f>"1578726455801567"</f>
        <v>1578726455801567</v>
      </c>
      <c r="C713" t="s">
        <v>40</v>
      </c>
      <c r="D713">
        <v>5.4334720000000001</v>
      </c>
      <c r="E713">
        <v>0.7289812</v>
      </c>
      <c r="F713" t="s">
        <v>43</v>
      </c>
      <c r="G713">
        <v>-189.97810000000001</v>
      </c>
      <c r="H713" s="1">
        <v>-1.9142459999999998E-6</v>
      </c>
      <c r="I713">
        <v>324.06479999999999</v>
      </c>
      <c r="J713">
        <v>-190.4796</v>
      </c>
      <c r="K713">
        <v>1.0902559999999999</v>
      </c>
      <c r="L713">
        <v>353.84339999999997</v>
      </c>
      <c r="M713">
        <v>0.60759300000000005</v>
      </c>
      <c r="N713">
        <v>0</v>
      </c>
      <c r="O713">
        <v>-0.79406650000000001</v>
      </c>
      <c r="P713">
        <v>0.51361440000000003</v>
      </c>
      <c r="Q713">
        <v>0.12715580000000001</v>
      </c>
      <c r="R713">
        <v>-0.8485471</v>
      </c>
      <c r="S713">
        <v>0.12849430000000001</v>
      </c>
      <c r="T713">
        <v>-0.12616550000000001</v>
      </c>
      <c r="U713">
        <v>-3.5333559999999999</v>
      </c>
      <c r="V713">
        <v>0.1143086</v>
      </c>
      <c r="W713">
        <v>0.13874149999999999</v>
      </c>
      <c r="X713">
        <v>0.98370950000000001</v>
      </c>
      <c r="Y713">
        <v>0.5783874</v>
      </c>
      <c r="Z713">
        <v>2.1420249999999998E-2</v>
      </c>
      <c r="AA713">
        <v>0.81548089999999995</v>
      </c>
      <c r="AB713">
        <v>45</v>
      </c>
      <c r="AC713">
        <v>0.50149999999999295</v>
      </c>
      <c r="AD713">
        <v>-1.0902579142459901</v>
      </c>
      <c r="AE713">
        <v>-29.778599999999901</v>
      </c>
      <c r="AF713">
        <v>17.673919036245</v>
      </c>
      <c r="AG713">
        <v>-1.0902579142459901</v>
      </c>
      <c r="AH713">
        <v>23.9223023894344</v>
      </c>
      <c r="AI713">
        <v>92.099293778982201</v>
      </c>
      <c r="AJ713">
        <v>53.542822117326203</v>
      </c>
      <c r="AK713">
        <v>29.762940513848001</v>
      </c>
      <c r="AL713">
        <v>82.024971336189395</v>
      </c>
      <c r="AM713">
        <v>83.371865925332798</v>
      </c>
      <c r="AN713">
        <v>1.00000002012323</v>
      </c>
    </row>
    <row r="714" spans="1:40" x14ac:dyDescent="0.3">
      <c r="A714" t="str">
        <f>"20200111150735825"</f>
        <v>20200111150735825</v>
      </c>
      <c r="B714" t="str">
        <f>"1578726455822063"</f>
        <v>1578726455822063</v>
      </c>
      <c r="C714" t="s">
        <v>40</v>
      </c>
      <c r="D714">
        <v>5.4284749999999997</v>
      </c>
      <c r="E714">
        <v>0.72947869999999904</v>
      </c>
      <c r="F714" t="s">
        <v>43</v>
      </c>
      <c r="G714">
        <v>-190.6995</v>
      </c>
      <c r="H714" s="1">
        <v>-2.758757E-6</v>
      </c>
      <c r="I714">
        <v>325.58600000000001</v>
      </c>
      <c r="J714">
        <v>-190.23779999999999</v>
      </c>
      <c r="K714">
        <v>1.0902700000000001</v>
      </c>
      <c r="L714">
        <v>353.5292</v>
      </c>
      <c r="M714">
        <v>0.59673750000000003</v>
      </c>
      <c r="N714">
        <v>0</v>
      </c>
      <c r="O714">
        <v>-0.80225630000000003</v>
      </c>
      <c r="P714">
        <v>0.50297519999999996</v>
      </c>
      <c r="Q714">
        <v>0.1278408</v>
      </c>
      <c r="R714">
        <v>-0.85479400000000005</v>
      </c>
      <c r="S714">
        <v>-2.7801510000000001E-2</v>
      </c>
      <c r="T714">
        <v>-0.13785359999999999</v>
      </c>
      <c r="U714">
        <v>-3.5729060000000001</v>
      </c>
      <c r="V714">
        <v>0.1131852</v>
      </c>
      <c r="W714">
        <v>0.1394881</v>
      </c>
      <c r="X714">
        <v>0.98373379999999999</v>
      </c>
      <c r="Y714">
        <v>0.6029968</v>
      </c>
      <c r="Z714">
        <v>2.3218570000000001E-2</v>
      </c>
      <c r="AA714">
        <v>0.7974057</v>
      </c>
      <c r="AB714">
        <v>45</v>
      </c>
      <c r="AC714">
        <v>-0.46170000000000699</v>
      </c>
      <c r="AD714">
        <v>-1.090272758757</v>
      </c>
      <c r="AE714">
        <v>-27.943199999999901</v>
      </c>
      <c r="AF714">
        <v>17.021716034287401</v>
      </c>
      <c r="AG714">
        <v>-1.090272758757</v>
      </c>
      <c r="AH714">
        <v>22.111644068204299</v>
      </c>
      <c r="AI714">
        <v>92.237494630215295</v>
      </c>
      <c r="AJ714">
        <v>52.410642894024299</v>
      </c>
      <c r="AK714">
        <v>27.925835973867599</v>
      </c>
      <c r="AL714">
        <v>81.981774143108098</v>
      </c>
      <c r="AM714">
        <v>83.436595323507703</v>
      </c>
      <c r="AN714">
        <v>1.00000000440154</v>
      </c>
    </row>
    <row r="715" spans="1:40" x14ac:dyDescent="0.3">
      <c r="A715" t="str">
        <f>"20200111150735841"</f>
        <v>20200111150735841</v>
      </c>
      <c r="B715" t="str">
        <f>"1578726455831824"</f>
        <v>1578726455831824</v>
      </c>
      <c r="C715" t="s">
        <v>40</v>
      </c>
      <c r="D715">
        <v>5.4413499999999999</v>
      </c>
      <c r="E715">
        <v>0.72846250000000001</v>
      </c>
      <c r="F715" t="s">
        <v>43</v>
      </c>
      <c r="G715">
        <v>-190.77699999999999</v>
      </c>
      <c r="H715" s="1">
        <v>-3.7782090000000001E-6</v>
      </c>
      <c r="I715">
        <v>327.91430000000003</v>
      </c>
      <c r="J715">
        <v>-190.04069999999999</v>
      </c>
      <c r="K715">
        <v>1.0902799999999999</v>
      </c>
      <c r="L715">
        <v>353.26670000000001</v>
      </c>
      <c r="M715">
        <v>0.58764700000000003</v>
      </c>
      <c r="N715">
        <v>0</v>
      </c>
      <c r="O715">
        <v>-0.80893859999999995</v>
      </c>
      <c r="P715">
        <v>0.49355300000000002</v>
      </c>
      <c r="Q715">
        <v>0.12825909999999999</v>
      </c>
      <c r="R715">
        <v>-0.86020669999999899</v>
      </c>
      <c r="S715">
        <v>-7.5286870000000006E-2</v>
      </c>
      <c r="T715">
        <v>-0.15223589999999901</v>
      </c>
      <c r="U715">
        <v>-3.5766300000000002</v>
      </c>
      <c r="V715">
        <v>0.1128743</v>
      </c>
      <c r="W715">
        <v>0.13992859999999999</v>
      </c>
      <c r="X715">
        <v>0.983707</v>
      </c>
      <c r="Y715">
        <v>0.60456030000000005</v>
      </c>
      <c r="Z715">
        <v>2.599222E-2</v>
      </c>
      <c r="AA715">
        <v>0.79613519999999904</v>
      </c>
      <c r="AB715">
        <v>45</v>
      </c>
      <c r="AC715">
        <v>-0.73630000000002804</v>
      </c>
      <c r="AD715">
        <v>-1.090283778209</v>
      </c>
      <c r="AE715">
        <v>-25.3523999999999</v>
      </c>
      <c r="AF715">
        <v>15.4675430874745</v>
      </c>
      <c r="AG715">
        <v>-1.090283778209</v>
      </c>
      <c r="AH715">
        <v>20.0417207469368</v>
      </c>
      <c r="AI715">
        <v>92.466002579318598</v>
      </c>
      <c r="AJ715">
        <v>52.340217187154799</v>
      </c>
      <c r="AK715">
        <v>25.339774631557098</v>
      </c>
      <c r="AL715">
        <v>81.956285674613795</v>
      </c>
      <c r="AM715">
        <v>83.454290408949007</v>
      </c>
      <c r="AN715">
        <v>1.00000004127372</v>
      </c>
    </row>
    <row r="716" spans="1:40" x14ac:dyDescent="0.3">
      <c r="A716" t="str">
        <f>"20200111150735857"</f>
        <v>20200111150735857</v>
      </c>
      <c r="B716" t="str">
        <f>"1578726455851343"</f>
        <v>1578726455851343</v>
      </c>
      <c r="C716" t="s">
        <v>40</v>
      </c>
      <c r="D716">
        <v>5.184113</v>
      </c>
      <c r="E716">
        <v>0.72469659999999902</v>
      </c>
      <c r="F716" t="s">
        <v>43</v>
      </c>
      <c r="G716">
        <v>-190.7955</v>
      </c>
      <c r="H716" s="1">
        <v>-3.9251839999999997E-6</v>
      </c>
      <c r="I716">
        <v>328.24540000000002</v>
      </c>
      <c r="J716">
        <v>-189.8501</v>
      </c>
      <c r="K716">
        <v>1.0902889999999901</v>
      </c>
      <c r="L716">
        <v>353.0061</v>
      </c>
      <c r="M716">
        <v>0.57861059999999997</v>
      </c>
      <c r="N716">
        <v>0</v>
      </c>
      <c r="O716">
        <v>-0.81542650000000005</v>
      </c>
      <c r="P716">
        <v>0.48403069999999998</v>
      </c>
      <c r="Q716">
        <v>0.12835719999999901</v>
      </c>
      <c r="R716">
        <v>-0.86558599999999997</v>
      </c>
      <c r="S716">
        <v>-0.1077728</v>
      </c>
      <c r="T716">
        <v>-0.155672</v>
      </c>
      <c r="U716">
        <v>-3.5725709999999999</v>
      </c>
      <c r="V716">
        <v>0.1127792</v>
      </c>
      <c r="W716">
        <v>0.14003950000000001</v>
      </c>
      <c r="X716">
        <v>0.98370210000000002</v>
      </c>
      <c r="Y716">
        <v>0.6029485</v>
      </c>
      <c r="Z716">
        <v>2.7044809999999999E-2</v>
      </c>
      <c r="AA716">
        <v>0.79732159999999996</v>
      </c>
      <c r="AB716">
        <v>45</v>
      </c>
      <c r="AC716">
        <v>-0.94540000000000601</v>
      </c>
      <c r="AD716">
        <v>-1.0902929251839999</v>
      </c>
      <c r="AE716">
        <v>-24.7606999999999</v>
      </c>
      <c r="AF716">
        <v>15.0707143669784</v>
      </c>
      <c r="AG716">
        <v>-1.0902929251839999</v>
      </c>
      <c r="AH716">
        <v>19.6083916618649</v>
      </c>
      <c r="AI716">
        <v>92.524326182799001</v>
      </c>
      <c r="AJ716">
        <v>52.454662945036802</v>
      </c>
      <c r="AK716">
        <v>24.754882220662001</v>
      </c>
      <c r="AL716">
        <v>81.9498681781389</v>
      </c>
      <c r="AM716">
        <v>83.459725269138602</v>
      </c>
      <c r="AN716">
        <v>1.0000000155286499</v>
      </c>
    </row>
    <row r="717" spans="1:40" x14ac:dyDescent="0.3">
      <c r="A717" t="str">
        <f>"20200111150735869"</f>
        <v>20200111150735869</v>
      </c>
      <c r="B717" t="str">
        <f>"1578726455862080"</f>
        <v>1578726455862080</v>
      </c>
      <c r="C717" t="s">
        <v>40</v>
      </c>
      <c r="D717">
        <v>5.3609220000000004</v>
      </c>
      <c r="E717">
        <v>0.72404209999999902</v>
      </c>
      <c r="F717" t="s">
        <v>43</v>
      </c>
      <c r="G717">
        <v>-190.67</v>
      </c>
      <c r="H717" s="1">
        <v>-4.123583E-6</v>
      </c>
      <c r="I717">
        <v>328.78570000000002</v>
      </c>
      <c r="J717">
        <v>-189.70820000000001</v>
      </c>
      <c r="K717">
        <v>1.0902969999999901</v>
      </c>
      <c r="L717">
        <v>352.8073</v>
      </c>
      <c r="M717">
        <v>0.57170919999999903</v>
      </c>
      <c r="N717">
        <v>0</v>
      </c>
      <c r="O717">
        <v>-0.82027969999999895</v>
      </c>
      <c r="P717">
        <v>0.47652270000000002</v>
      </c>
      <c r="Q717">
        <v>0.1284274</v>
      </c>
      <c r="R717">
        <v>-0.86973089999999997</v>
      </c>
      <c r="S717">
        <v>-0.1204224</v>
      </c>
      <c r="T717">
        <v>-0.16011929999999999</v>
      </c>
      <c r="U717">
        <v>-3.5569760000000001</v>
      </c>
      <c r="V717">
        <v>0.1129863</v>
      </c>
      <c r="W717">
        <v>0.1401066</v>
      </c>
      <c r="X717">
        <v>0.98366869999999995</v>
      </c>
      <c r="Y717">
        <v>0.59914449999999997</v>
      </c>
      <c r="Z717">
        <v>2.8324640000000002E-2</v>
      </c>
      <c r="AA717">
        <v>0.80013970000000001</v>
      </c>
      <c r="AB717">
        <v>45</v>
      </c>
      <c r="AC717">
        <v>-0.961799999999982</v>
      </c>
      <c r="AD717">
        <v>-1.09030112358299</v>
      </c>
      <c r="AE717">
        <v>-24.0215999999999</v>
      </c>
      <c r="AF717">
        <v>14.4946069085631</v>
      </c>
      <c r="AG717">
        <v>-1.09030112358299</v>
      </c>
      <c r="AH717">
        <v>19.118015021112399</v>
      </c>
      <c r="AI717">
        <v>92.602033940849296</v>
      </c>
      <c r="AJ717">
        <v>52.8318746824635</v>
      </c>
      <c r="AK717">
        <v>24.0162629133122</v>
      </c>
      <c r="AL717">
        <v>81.945984717483796</v>
      </c>
      <c r="AM717">
        <v>83.447598955659203</v>
      </c>
      <c r="AN717">
        <v>0.99999993735546799</v>
      </c>
    </row>
    <row r="718" spans="1:40" x14ac:dyDescent="0.3">
      <c r="A718" t="str">
        <f>"20200111150735881"</f>
        <v>20200111150735881</v>
      </c>
      <c r="B718" t="str">
        <f>"1578726455871839"</f>
        <v>1578726455871839</v>
      </c>
      <c r="C718" t="s">
        <v>40</v>
      </c>
      <c r="D718">
        <v>5.3902039999999998</v>
      </c>
      <c r="E718">
        <v>0.72382519999999995</v>
      </c>
      <c r="F718" t="s">
        <v>43</v>
      </c>
      <c r="G718">
        <v>-190.67189999999999</v>
      </c>
      <c r="H718" s="1">
        <v>-4.337378E-6</v>
      </c>
      <c r="I718">
        <v>329.38220000000001</v>
      </c>
      <c r="J718">
        <v>-189.56299999999999</v>
      </c>
      <c r="K718">
        <v>1.0903039999999999</v>
      </c>
      <c r="L718">
        <v>352.60160000000002</v>
      </c>
      <c r="M718">
        <v>0.56454799999999905</v>
      </c>
      <c r="N718">
        <v>0</v>
      </c>
      <c r="O718">
        <v>-0.82522459999999898</v>
      </c>
      <c r="P718">
        <v>0.46878259999999999</v>
      </c>
      <c r="Q718">
        <v>0.1288715</v>
      </c>
      <c r="R718">
        <v>-0.87386239999999904</v>
      </c>
      <c r="S718">
        <v>-0.1462097</v>
      </c>
      <c r="T718">
        <v>-0.16541449999999999</v>
      </c>
      <c r="U718">
        <v>-3.553925</v>
      </c>
      <c r="V718">
        <v>0.1131398</v>
      </c>
      <c r="W718">
        <v>0.140550799999999</v>
      </c>
      <c r="X718">
        <v>0.98358769999999995</v>
      </c>
      <c r="Y718">
        <v>0.59799179999999996</v>
      </c>
      <c r="Z718">
        <v>2.9638009999999999E-2</v>
      </c>
      <c r="AA718">
        <v>0.8009541</v>
      </c>
      <c r="AB718">
        <v>44</v>
      </c>
      <c r="AC718">
        <v>-1.1089</v>
      </c>
      <c r="AD718">
        <v>-1.090308337378</v>
      </c>
      <c r="AE718">
        <v>-23.2194</v>
      </c>
      <c r="AF718">
        <v>13.9948031787172</v>
      </c>
      <c r="AG718">
        <v>-1.090308337378</v>
      </c>
      <c r="AH718">
        <v>18.4971878318492</v>
      </c>
      <c r="AI718">
        <v>92.691293535512202</v>
      </c>
      <c r="AJ718">
        <v>52.889183875468703</v>
      </c>
      <c r="AK718">
        <v>23.220448875254402</v>
      </c>
      <c r="AL718">
        <v>81.920279701760606</v>
      </c>
      <c r="AM718">
        <v>83.438239001892399</v>
      </c>
      <c r="AN718">
        <v>0.99999995265798303</v>
      </c>
    </row>
    <row r="719" spans="1:40" x14ac:dyDescent="0.3">
      <c r="A719" t="str">
        <f>"20200111150735895"</f>
        <v>20200111150735895</v>
      </c>
      <c r="B719" t="str">
        <f>"1578726455891360"</f>
        <v>1578726455891360</v>
      </c>
      <c r="C719" t="s">
        <v>40</v>
      </c>
      <c r="D719">
        <v>5.3788450000000001</v>
      </c>
      <c r="E719">
        <v>0.72228840000000005</v>
      </c>
      <c r="F719" t="s">
        <v>43</v>
      </c>
      <c r="G719">
        <v>-190.70779999999999</v>
      </c>
      <c r="H719" s="1">
        <v>-4.3777779999999996E-6</v>
      </c>
      <c r="I719">
        <v>329.48219999999998</v>
      </c>
      <c r="J719">
        <v>-189.4169</v>
      </c>
      <c r="K719">
        <v>1.0903119999999999</v>
      </c>
      <c r="L719">
        <v>352.3895</v>
      </c>
      <c r="M719">
        <v>0.55715760000000003</v>
      </c>
      <c r="N719">
        <v>0</v>
      </c>
      <c r="O719">
        <v>-0.83023199999999997</v>
      </c>
      <c r="P719">
        <v>0.46073710000000001</v>
      </c>
      <c r="Q719">
        <v>0.1289835</v>
      </c>
      <c r="R719">
        <v>-0.87811430000000001</v>
      </c>
      <c r="S719">
        <v>-0.1758728</v>
      </c>
      <c r="T719">
        <v>-0.16751160000000001</v>
      </c>
      <c r="U719">
        <v>-3.5520019999999999</v>
      </c>
      <c r="V719">
        <v>0.11338620000000001</v>
      </c>
      <c r="W719">
        <v>0.1406589</v>
      </c>
      <c r="X719">
        <v>0.98354390000000003</v>
      </c>
      <c r="Y719">
        <v>0.59752709999999998</v>
      </c>
      <c r="Z719">
        <v>3.0377270000000001E-2</v>
      </c>
      <c r="AA719">
        <v>0.80127299999999901</v>
      </c>
      <c r="AB719">
        <v>44</v>
      </c>
      <c r="AC719">
        <v>-1.2908999999999899</v>
      </c>
      <c r="AD719">
        <v>-1.0903163777780001</v>
      </c>
      <c r="AE719">
        <v>-22.907299999999999</v>
      </c>
      <c r="AF719">
        <v>13.8055538921527</v>
      </c>
      <c r="AG719">
        <v>-1.0903163777780001</v>
      </c>
      <c r="AH719">
        <v>18.260557164220099</v>
      </c>
      <c r="AI719">
        <v>92.726869455112706</v>
      </c>
      <c r="AJ719">
        <v>52.9095760890023</v>
      </c>
      <c r="AK719">
        <v>22.917898158874301</v>
      </c>
      <c r="AL719">
        <v>81.914024102535393</v>
      </c>
      <c r="AM719">
        <v>83.423783308620401</v>
      </c>
      <c r="AN719">
        <v>0.99999997986342903</v>
      </c>
    </row>
    <row r="720" spans="1:40" x14ac:dyDescent="0.3">
      <c r="A720" t="str">
        <f>"20200111150735914"</f>
        <v>20200111150735914</v>
      </c>
      <c r="B720" t="str">
        <f>"1578726455911855"</f>
        <v>1578726455911855</v>
      </c>
      <c r="C720" t="s">
        <v>40</v>
      </c>
      <c r="D720">
        <v>5.972264</v>
      </c>
      <c r="E720">
        <v>0.72228840000000005</v>
      </c>
      <c r="F720" t="s">
        <v>43</v>
      </c>
      <c r="G720">
        <v>-190.6841</v>
      </c>
      <c r="H720" s="1">
        <v>-2.1040829999999999E-7</v>
      </c>
      <c r="I720">
        <v>329.65530000000001</v>
      </c>
      <c r="J720">
        <v>-189.1942</v>
      </c>
      <c r="K720">
        <v>1.0903259999999999</v>
      </c>
      <c r="L720">
        <v>352.05849999999998</v>
      </c>
      <c r="M720">
        <v>0.54559199999999997</v>
      </c>
      <c r="N720">
        <v>0</v>
      </c>
      <c r="O720">
        <v>-0.83787749999999905</v>
      </c>
      <c r="P720">
        <v>0.4483683</v>
      </c>
      <c r="Q720">
        <v>0.1290655</v>
      </c>
      <c r="R720">
        <v>-0.88448139999999997</v>
      </c>
      <c r="S720">
        <v>-0.19760130000000001</v>
      </c>
      <c r="T720">
        <v>-0.17001839999999999</v>
      </c>
      <c r="U720">
        <v>-3.5450740000000001</v>
      </c>
      <c r="V720">
        <v>0.11354599999999999</v>
      </c>
      <c r="W720">
        <v>0.14074629999999999</v>
      </c>
      <c r="X720">
        <v>0.98351299999999997</v>
      </c>
      <c r="Y720">
        <v>0.59136560000000005</v>
      </c>
      <c r="Z720">
        <v>3.1540899999999997E-2</v>
      </c>
      <c r="AA720">
        <v>0.80578649999999996</v>
      </c>
      <c r="AB720">
        <v>44</v>
      </c>
      <c r="AC720">
        <v>-1.4899</v>
      </c>
      <c r="AD720">
        <v>-1.0903262104083</v>
      </c>
      <c r="AE720">
        <v>-22.403199999999899</v>
      </c>
      <c r="AF720">
        <v>13.441620921898499</v>
      </c>
      <c r="AG720">
        <v>-1.0903262104083</v>
      </c>
      <c r="AH720">
        <v>17.9186149203728</v>
      </c>
      <c r="AI720">
        <v>92.786705343556406</v>
      </c>
      <c r="AJ720">
        <v>53.124659771375597</v>
      </c>
      <c r="AK720">
        <v>22.426385016710402</v>
      </c>
      <c r="AL720">
        <v>81.908966445805703</v>
      </c>
      <c r="AM720">
        <v>83.414391436422093</v>
      </c>
      <c r="AN720">
        <v>1.00000001812434</v>
      </c>
    </row>
    <row r="721" spans="1:40" x14ac:dyDescent="0.3">
      <c r="A721" t="str">
        <f>"20200111150735928"</f>
        <v>20200111150735928</v>
      </c>
      <c r="B721" t="str">
        <f>"1578726455921615"</f>
        <v>1578726455921615</v>
      </c>
      <c r="C721" t="s">
        <v>40</v>
      </c>
      <c r="D721">
        <v>5.9962559999999998</v>
      </c>
      <c r="E721">
        <v>0.69544600000000001</v>
      </c>
      <c r="F721" t="s">
        <v>43</v>
      </c>
      <c r="G721">
        <v>-190.78970000000001</v>
      </c>
      <c r="H721" s="1">
        <v>-4.2999169999999999E-6</v>
      </c>
      <c r="I721">
        <v>329.21069999999997</v>
      </c>
      <c r="J721">
        <v>-189.05420000000001</v>
      </c>
      <c r="K721">
        <v>1.0903320000000001</v>
      </c>
      <c r="L721">
        <v>351.84469999999999</v>
      </c>
      <c r="M721">
        <v>0.53810880000000005</v>
      </c>
      <c r="N721">
        <v>0</v>
      </c>
      <c r="O721">
        <v>-0.84270290000000003</v>
      </c>
      <c r="P721">
        <v>0.44029289999999999</v>
      </c>
      <c r="Q721">
        <v>0.12879579999999999</v>
      </c>
      <c r="R721">
        <v>-0.88856849999999998</v>
      </c>
      <c r="S721">
        <v>-0.24732970000000001</v>
      </c>
      <c r="T721">
        <v>-0.1690217</v>
      </c>
      <c r="U721">
        <v>-3.5418400000000001</v>
      </c>
      <c r="V721">
        <v>0.1137534</v>
      </c>
      <c r="W721">
        <v>0.1404753</v>
      </c>
      <c r="X721">
        <v>0.98352779999999995</v>
      </c>
      <c r="Y721">
        <v>0.59548719999999999</v>
      </c>
      <c r="Z721">
        <v>3.1630610000000003E-2</v>
      </c>
      <c r="AA721">
        <v>0.80274190000000001</v>
      </c>
      <c r="AB721">
        <v>44</v>
      </c>
      <c r="AC721">
        <v>-1.7355</v>
      </c>
      <c r="AD721">
        <v>-1.0903362999169901</v>
      </c>
      <c r="AE721">
        <v>-22.634</v>
      </c>
      <c r="AF721">
        <v>13.6126443322831</v>
      </c>
      <c r="AG721">
        <v>-1.0903362999169901</v>
      </c>
      <c r="AH721">
        <v>18.100728350230099</v>
      </c>
      <c r="AI721">
        <v>92.756223591548405</v>
      </c>
      <c r="AJ721">
        <v>53.055021262209898</v>
      </c>
      <c r="AK721">
        <v>22.674419193729801</v>
      </c>
      <c r="AL721">
        <v>81.924649587863499</v>
      </c>
      <c r="AM721">
        <v>83.402566702479504</v>
      </c>
      <c r="AN721">
        <v>1.0000000396472399</v>
      </c>
    </row>
    <row r="722" spans="1:40" x14ac:dyDescent="0.3">
      <c r="A722" t="str">
        <f>"20200111150735947"</f>
        <v>20200111150735947</v>
      </c>
      <c r="B722" t="str">
        <f>"1578726455942111"</f>
        <v>1578726455942111</v>
      </c>
      <c r="C722" t="s">
        <v>40</v>
      </c>
      <c r="D722">
        <v>5.1819430000000004</v>
      </c>
      <c r="E722">
        <v>0.69791259999999999</v>
      </c>
      <c r="F722" t="s">
        <v>49</v>
      </c>
      <c r="G722">
        <v>0</v>
      </c>
      <c r="H722">
        <v>0</v>
      </c>
      <c r="I722">
        <v>0</v>
      </c>
      <c r="J722">
        <v>-188.8373</v>
      </c>
      <c r="K722">
        <v>1.090341</v>
      </c>
      <c r="L722">
        <v>351.50549999999998</v>
      </c>
      <c r="M722">
        <v>0.52620029999999995</v>
      </c>
      <c r="N722">
        <v>0</v>
      </c>
      <c r="O722">
        <v>-0.85018959999999999</v>
      </c>
      <c r="P722">
        <v>0.4278053</v>
      </c>
      <c r="Q722">
        <v>0.12832769999999999</v>
      </c>
      <c r="R722">
        <v>-0.89471489999999998</v>
      </c>
      <c r="S722">
        <v>-7.0297239999999997E-2</v>
      </c>
      <c r="T722">
        <v>1.1206590000000001</v>
      </c>
      <c r="U722">
        <v>-3.2485659999999998</v>
      </c>
      <c r="V722">
        <v>0.113702</v>
      </c>
      <c r="W722">
        <v>0.1400216</v>
      </c>
      <c r="X722">
        <v>0.98359839999999998</v>
      </c>
      <c r="Y722">
        <v>0.54132590000000003</v>
      </c>
      <c r="Z722">
        <v>-0.2279706</v>
      </c>
      <c r="AA722">
        <v>0.80931799999999998</v>
      </c>
      <c r="AB722">
        <v>44</v>
      </c>
      <c r="AC722">
        <v>-7.0297239999999997E-2</v>
      </c>
      <c r="AD722">
        <v>1.1206590000000001</v>
      </c>
      <c r="AE722">
        <v>-3.2485659999999998</v>
      </c>
      <c r="AF722">
        <v>1.5813231780250401</v>
      </c>
      <c r="AG722">
        <v>1.1206590000000001</v>
      </c>
      <c r="AH722">
        <v>2.4355921182104399</v>
      </c>
      <c r="AI722">
        <v>68.897707785982604</v>
      </c>
      <c r="AJ722">
        <v>57.006103317390497</v>
      </c>
      <c r="AK722">
        <v>3.1126465513978601</v>
      </c>
      <c r="AL722">
        <v>81.950903875609896</v>
      </c>
      <c r="AM722">
        <v>83.405990685206802</v>
      </c>
      <c r="AN722">
        <v>1.0000000028765501</v>
      </c>
    </row>
    <row r="723" spans="1:40" x14ac:dyDescent="0.3">
      <c r="A723" t="str">
        <f>"20200111150735960"</f>
        <v>20200111150735960</v>
      </c>
      <c r="B723" t="str">
        <f>"1578726455951872"</f>
        <v>1578726455951872</v>
      </c>
      <c r="C723" t="s">
        <v>40</v>
      </c>
      <c r="D723">
        <v>5.2443039999999996</v>
      </c>
      <c r="E723">
        <v>0.69639269999999998</v>
      </c>
      <c r="F723" t="s">
        <v>49</v>
      </c>
      <c r="G723">
        <v>0</v>
      </c>
      <c r="H723">
        <v>0</v>
      </c>
      <c r="I723">
        <v>0</v>
      </c>
      <c r="J723">
        <v>-188.70269999999999</v>
      </c>
      <c r="K723">
        <v>1.0903400000000001</v>
      </c>
      <c r="L723">
        <v>351.29059999999998</v>
      </c>
      <c r="M723">
        <v>0.51862989999999998</v>
      </c>
      <c r="N723">
        <v>0</v>
      </c>
      <c r="O723">
        <v>-0.85482849999999999</v>
      </c>
      <c r="P723">
        <v>0.41977799999999998</v>
      </c>
      <c r="Q723">
        <v>0.12756999999999999</v>
      </c>
      <c r="R723">
        <v>-0.89861689999999905</v>
      </c>
      <c r="S723">
        <v>-0.13307189999999999</v>
      </c>
      <c r="T723">
        <v>1.1561900000000001</v>
      </c>
      <c r="U723">
        <v>-3.2508539999999999</v>
      </c>
      <c r="V723">
        <v>0.1137927</v>
      </c>
      <c r="W723">
        <v>0.139267</v>
      </c>
      <c r="X723">
        <v>0.98369499999999999</v>
      </c>
      <c r="Y723">
        <v>0.54915899999999995</v>
      </c>
      <c r="Z723">
        <v>-0.23555119999999999</v>
      </c>
      <c r="AA723">
        <v>0.80183539999999998</v>
      </c>
      <c r="AB723">
        <v>44</v>
      </c>
      <c r="AC723">
        <v>-0.13307189999999999</v>
      </c>
      <c r="AD723">
        <v>1.1561900000000001</v>
      </c>
      <c r="AE723">
        <v>-3.2508539999999999</v>
      </c>
      <c r="AF723">
        <v>1.59818611193781</v>
      </c>
      <c r="AG723">
        <v>1.1561900000000001</v>
      </c>
      <c r="AH723">
        <v>2.40641852073442</v>
      </c>
      <c r="AI723">
        <v>68.186997761305307</v>
      </c>
      <c r="AJ723">
        <v>56.410482497060897</v>
      </c>
      <c r="AK723">
        <v>3.11156299332418</v>
      </c>
      <c r="AL723">
        <v>81.994566786067793</v>
      </c>
      <c r="AM723">
        <v>83.401419363292803</v>
      </c>
      <c r="AN723">
        <v>0.99999996444364403</v>
      </c>
    </row>
    <row r="724" spans="1:40" x14ac:dyDescent="0.3">
      <c r="A724" t="str">
        <f>"20200111150735972"</f>
        <v>20200111150735972</v>
      </c>
      <c r="B724" t="str">
        <f>"1578726455961631"</f>
        <v>1578726455961631</v>
      </c>
      <c r="C724" t="s">
        <v>40</v>
      </c>
      <c r="D724">
        <v>5.2492570000000001</v>
      </c>
      <c r="E724">
        <v>0.69707649999999999</v>
      </c>
      <c r="F724" t="s">
        <v>43</v>
      </c>
      <c r="G724">
        <v>-189.8066</v>
      </c>
      <c r="H724" s="1">
        <v>-4.2073310000000002E-6</v>
      </c>
      <c r="I724">
        <v>329.36020000000002</v>
      </c>
      <c r="J724">
        <v>-188.57320000000001</v>
      </c>
      <c r="K724">
        <v>1.090347</v>
      </c>
      <c r="L724">
        <v>351.07749999999999</v>
      </c>
      <c r="M724">
        <v>0.51112190000000002</v>
      </c>
      <c r="N724">
        <v>0</v>
      </c>
      <c r="O724">
        <v>-0.85933890000000002</v>
      </c>
      <c r="P724">
        <v>0.41196749999999999</v>
      </c>
      <c r="Q724">
        <v>0.12752559999999999</v>
      </c>
      <c r="R724">
        <v>-0.90223059999999999</v>
      </c>
      <c r="S724">
        <v>-0.17335510000000001</v>
      </c>
      <c r="T724">
        <v>-0.17121819999999999</v>
      </c>
      <c r="U724">
        <v>-3.443756</v>
      </c>
      <c r="V724">
        <v>0.1137078</v>
      </c>
      <c r="W724">
        <v>0.13923170000000001</v>
      </c>
      <c r="X724">
        <v>0.98370990000000003</v>
      </c>
      <c r="Y724">
        <v>0.55366819999999894</v>
      </c>
      <c r="Z724">
        <v>3.4969319999999998E-2</v>
      </c>
      <c r="AA724">
        <v>0.83200280000000004</v>
      </c>
      <c r="AB724">
        <v>44</v>
      </c>
      <c r="AC724">
        <v>-1.2333999999999801</v>
      </c>
      <c r="AD724">
        <v>-1.090351207331</v>
      </c>
      <c r="AE724">
        <v>-21.717299999999899</v>
      </c>
      <c r="AF724">
        <v>12.131385008223599</v>
      </c>
      <c r="AG724">
        <v>-1.090351207331</v>
      </c>
      <c r="AH724">
        <v>17.9895273036935</v>
      </c>
      <c r="AI724">
        <v>92.876792926520395</v>
      </c>
      <c r="AJ724">
        <v>56.005920358676597</v>
      </c>
      <c r="AK724">
        <v>21.7251573201074</v>
      </c>
      <c r="AL724">
        <v>81.996609904788102</v>
      </c>
      <c r="AM724">
        <v>83.406398146832998</v>
      </c>
      <c r="AN724">
        <v>1.0000000487118601</v>
      </c>
    </row>
    <row r="725" spans="1:40" x14ac:dyDescent="0.3">
      <c r="A725" t="str">
        <f>"20200111150735986"</f>
        <v>20200111150735986</v>
      </c>
      <c r="B725" t="str">
        <f>"1578726455982127"</f>
        <v>1578726455982127</v>
      </c>
      <c r="C725" t="s">
        <v>40</v>
      </c>
      <c r="D725">
        <v>5.5591350000000004</v>
      </c>
      <c r="E725">
        <v>0.6925133</v>
      </c>
      <c r="F725" t="s">
        <v>43</v>
      </c>
      <c r="G725">
        <v>-189.8271</v>
      </c>
      <c r="H725" s="1">
        <v>-3.3510459999999898E-7</v>
      </c>
      <c r="I725">
        <v>330.3424</v>
      </c>
      <c r="J725">
        <v>-188.44649999999999</v>
      </c>
      <c r="K725">
        <v>1.0903560000000001</v>
      </c>
      <c r="L725">
        <v>350.86610000000002</v>
      </c>
      <c r="M725">
        <v>0.50365300000000002</v>
      </c>
      <c r="N725">
        <v>0</v>
      </c>
      <c r="O725">
        <v>-0.86373750000000005</v>
      </c>
      <c r="P725">
        <v>0.40423120000000001</v>
      </c>
      <c r="Q725">
        <v>0.1271745</v>
      </c>
      <c r="R725">
        <v>-0.90577280000000004</v>
      </c>
      <c r="S725">
        <v>-0.2083893</v>
      </c>
      <c r="T725">
        <v>-0.18119959999999999</v>
      </c>
      <c r="U725">
        <v>-3.445862</v>
      </c>
      <c r="V725">
        <v>0.11360530000000001</v>
      </c>
      <c r="W725">
        <v>0.13889019999999999</v>
      </c>
      <c r="X725">
        <v>0.98377000000000003</v>
      </c>
      <c r="Y725">
        <v>0.55484500000000003</v>
      </c>
      <c r="Z725">
        <v>3.7288019999999998E-2</v>
      </c>
      <c r="AA725">
        <v>0.83111769999999996</v>
      </c>
      <c r="AB725">
        <v>44</v>
      </c>
      <c r="AC725">
        <v>-1.38060000000001</v>
      </c>
      <c r="AD725">
        <v>-1.0903563351045999</v>
      </c>
      <c r="AE725">
        <v>-20.523700000000002</v>
      </c>
      <c r="AF725">
        <v>11.49866985029</v>
      </c>
      <c r="AG725">
        <v>-1.0903563351045999</v>
      </c>
      <c r="AH725">
        <v>16.986498747898899</v>
      </c>
      <c r="AI725">
        <v>93.042741363008204</v>
      </c>
      <c r="AJ725">
        <v>55.904751756491002</v>
      </c>
      <c r="AK725">
        <v>20.541407570462201</v>
      </c>
      <c r="AL725">
        <v>82.016368258234905</v>
      </c>
      <c r="AM725">
        <v>83.412688487543605</v>
      </c>
      <c r="AN725">
        <v>1.0000000323720599</v>
      </c>
    </row>
    <row r="726" spans="1:40" x14ac:dyDescent="0.3">
      <c r="A726" t="str">
        <f>"20200111150736003"</f>
        <v>20200111150736003</v>
      </c>
      <c r="B726" t="str">
        <f>"1578726455991887"</f>
        <v>1578726455991887</v>
      </c>
      <c r="C726" t="s">
        <v>40</v>
      </c>
      <c r="D726">
        <v>5.3044390000000003</v>
      </c>
      <c r="E726">
        <v>0.69308800000000004</v>
      </c>
      <c r="F726" t="s">
        <v>43</v>
      </c>
      <c r="G726">
        <v>-189.72620000000001</v>
      </c>
      <c r="H726" s="1">
        <v>-4.2440840000000001E-6</v>
      </c>
      <c r="I726">
        <v>329.4126</v>
      </c>
      <c r="J726">
        <v>-188.2619</v>
      </c>
      <c r="K726">
        <v>1.0903689999999999</v>
      </c>
      <c r="L726">
        <v>350.55009999999999</v>
      </c>
      <c r="M726">
        <v>0.49246299999999998</v>
      </c>
      <c r="N726">
        <v>0</v>
      </c>
      <c r="O726">
        <v>-0.87016579999999999</v>
      </c>
      <c r="P726">
        <v>0.39286260000000001</v>
      </c>
      <c r="Q726">
        <v>0.12718289999999999</v>
      </c>
      <c r="R726">
        <v>-0.91076000000000001</v>
      </c>
      <c r="S726">
        <v>-0.20446780000000001</v>
      </c>
      <c r="T726">
        <v>-0.17421719999999999</v>
      </c>
      <c r="U726">
        <v>-3.427826</v>
      </c>
      <c r="V726">
        <v>0.11321779999999999</v>
      </c>
      <c r="W726">
        <v>0.13892280000000001</v>
      </c>
      <c r="X726">
        <v>0.98380999999999996</v>
      </c>
      <c r="Y726">
        <v>0.54338180000000003</v>
      </c>
      <c r="Z726">
        <v>3.6728410000000003E-2</v>
      </c>
      <c r="AA726">
        <v>0.83868189999999998</v>
      </c>
      <c r="AB726">
        <v>44</v>
      </c>
      <c r="AC726">
        <v>-1.4642999999999999</v>
      </c>
      <c r="AD726">
        <v>-1.0903732440839999</v>
      </c>
      <c r="AE726">
        <v>-21.1374999999999</v>
      </c>
      <c r="AF726">
        <v>11.654460444900799</v>
      </c>
      <c r="AG726">
        <v>-1.0903732440839999</v>
      </c>
      <c r="AH726">
        <v>17.6279101808123</v>
      </c>
      <c r="AI726">
        <v>92.953712641683097</v>
      </c>
      <c r="AJ726">
        <v>56.529841342077603</v>
      </c>
      <c r="AK726">
        <v>21.160306694751799</v>
      </c>
      <c r="AL726">
        <v>82.014481592111196</v>
      </c>
      <c r="AM726">
        <v>83.435225478170906</v>
      </c>
      <c r="AN726">
        <v>0.99999996534833901</v>
      </c>
    </row>
    <row r="727" spans="1:40" x14ac:dyDescent="0.3">
      <c r="A727" t="str">
        <f>"20200111150736036"</f>
        <v>20200111150736036</v>
      </c>
      <c r="B727" t="str">
        <f>"1578726456031903"</f>
        <v>1578726456031903</v>
      </c>
      <c r="C727" t="s">
        <v>40</v>
      </c>
      <c r="D727">
        <v>5.1236009999999998</v>
      </c>
      <c r="E727">
        <v>0.69845780000000002</v>
      </c>
      <c r="F727" t="s">
        <v>43</v>
      </c>
      <c r="G727">
        <v>-189.76240000000001</v>
      </c>
      <c r="H727" s="1">
        <v>-2.5034460000000001E-7</v>
      </c>
      <c r="I727">
        <v>330.11810000000003</v>
      </c>
      <c r="J727">
        <v>-187.93709999999999</v>
      </c>
      <c r="K727">
        <v>1.0903959999999999</v>
      </c>
      <c r="L727">
        <v>349.96949999999998</v>
      </c>
      <c r="M727">
        <v>0.47182109999999999</v>
      </c>
      <c r="N727">
        <v>0</v>
      </c>
      <c r="O727">
        <v>-0.88152900000000001</v>
      </c>
      <c r="P727">
        <v>0.37159619999999999</v>
      </c>
      <c r="Q727">
        <v>0.1285483</v>
      </c>
      <c r="R727">
        <v>-0.91945209999999999</v>
      </c>
      <c r="S727">
        <v>-0.2517548</v>
      </c>
      <c r="T727">
        <v>-0.1829413</v>
      </c>
      <c r="U727">
        <v>-3.4280699999999902</v>
      </c>
      <c r="V727">
        <v>0.11286060000000001</v>
      </c>
      <c r="W727">
        <v>0.14031099999999999</v>
      </c>
      <c r="X727">
        <v>0.98365409999999998</v>
      </c>
      <c r="Y727">
        <v>0.53507799999999905</v>
      </c>
      <c r="Z727">
        <v>3.9586990000000002E-2</v>
      </c>
      <c r="AA727">
        <v>0.84387459999999903</v>
      </c>
      <c r="AB727">
        <v>44</v>
      </c>
      <c r="AC727">
        <v>-1.8253000000000199</v>
      </c>
      <c r="AD727">
        <v>-1.0903962503446001</v>
      </c>
      <c r="AE727">
        <v>-19.851399999999899</v>
      </c>
      <c r="AF727">
        <v>10.944221384272799</v>
      </c>
      <c r="AG727">
        <v>-1.0903962503446001</v>
      </c>
      <c r="AH727">
        <v>16.591157926259601</v>
      </c>
      <c r="AI727">
        <v>93.140146690693797</v>
      </c>
      <c r="AJ727">
        <v>56.589486924751199</v>
      </c>
      <c r="AK727">
        <v>19.9055637203478</v>
      </c>
      <c r="AL727">
        <v>81.934157455190899</v>
      </c>
      <c r="AM727">
        <v>83.454729068337002</v>
      </c>
      <c r="AN727">
        <v>1.0000000401000799</v>
      </c>
    </row>
    <row r="728" spans="1:40" x14ac:dyDescent="0.3">
      <c r="A728" t="str">
        <f>"20200111150736050"</f>
        <v>20200111150736050</v>
      </c>
      <c r="B728" t="str">
        <f>"1578726456041664"</f>
        <v>1578726456041664</v>
      </c>
      <c r="C728" t="s">
        <v>40</v>
      </c>
      <c r="D728">
        <v>5.2753249999999996</v>
      </c>
      <c r="E728">
        <v>0.69871319999999904</v>
      </c>
      <c r="F728" t="s">
        <v>43</v>
      </c>
      <c r="G728">
        <v>-190.20830000000001</v>
      </c>
      <c r="H728" s="1">
        <v>-4.0414010000000002E-6</v>
      </c>
      <c r="I728">
        <v>328.88060000000002</v>
      </c>
      <c r="J728">
        <v>-187.81020000000001</v>
      </c>
      <c r="K728">
        <v>1.090406</v>
      </c>
      <c r="L728">
        <v>349.73250000000002</v>
      </c>
      <c r="M728">
        <v>0.46337260000000002</v>
      </c>
      <c r="N728">
        <v>0</v>
      </c>
      <c r="O728">
        <v>-0.88599899999999998</v>
      </c>
      <c r="P728">
        <v>0.36283799999999999</v>
      </c>
      <c r="Q728">
        <v>0.12875259999999999</v>
      </c>
      <c r="R728">
        <v>-0.92291460000000003</v>
      </c>
      <c r="S728">
        <v>-0.37017820000000001</v>
      </c>
      <c r="T728">
        <v>-0.17772449999999901</v>
      </c>
      <c r="U728">
        <v>-3.4372859999999998</v>
      </c>
      <c r="V728">
        <v>0.1128031</v>
      </c>
      <c r="W728">
        <v>0.1405197</v>
      </c>
      <c r="X728">
        <v>0.98363080000000003</v>
      </c>
      <c r="Y728">
        <v>0.55551729999999999</v>
      </c>
      <c r="Z728">
        <v>3.8279979999999998E-2</v>
      </c>
      <c r="AA728">
        <v>0.83062340000000001</v>
      </c>
      <c r="AB728">
        <v>44</v>
      </c>
      <c r="AC728">
        <v>-2.3980999999999901</v>
      </c>
      <c r="AD728">
        <v>-1.0904100414010001</v>
      </c>
      <c r="AE728">
        <v>-20.851900000000001</v>
      </c>
      <c r="AF728">
        <v>11.756901915594799</v>
      </c>
      <c r="AG728">
        <v>-1.0904100414010001</v>
      </c>
      <c r="AH728">
        <v>17.3193382882964</v>
      </c>
      <c r="AI728">
        <v>92.981890937359694</v>
      </c>
      <c r="AJ728">
        <v>55.830127453935702</v>
      </c>
      <c r="AK728">
        <v>20.9612312485635</v>
      </c>
      <c r="AL728">
        <v>81.922079343473399</v>
      </c>
      <c r="AM728">
        <v>83.457881205129894</v>
      </c>
      <c r="AN728">
        <v>0.99999993808316801</v>
      </c>
    </row>
    <row r="729" spans="1:40" x14ac:dyDescent="0.3">
      <c r="A729" t="str">
        <f>"20200111150736063"</f>
        <v>20200111150736063</v>
      </c>
      <c r="B729" t="str">
        <f>"1578726456051424"</f>
        <v>1578726456051424</v>
      </c>
      <c r="C729" t="s">
        <v>40</v>
      </c>
      <c r="D729">
        <v>5.2629809999999999</v>
      </c>
      <c r="E729">
        <v>0.69869569999999903</v>
      </c>
      <c r="F729" t="s">
        <v>43</v>
      </c>
      <c r="G729">
        <v>-190.22219999999999</v>
      </c>
      <c r="H729" s="1">
        <v>-4.2111549999999998E-6</v>
      </c>
      <c r="I729">
        <v>329.26760000000002</v>
      </c>
      <c r="J729">
        <v>-187.68790000000001</v>
      </c>
      <c r="K729">
        <v>1.090417</v>
      </c>
      <c r="L729">
        <v>349.50009999999997</v>
      </c>
      <c r="M729">
        <v>0.45506219999999997</v>
      </c>
      <c r="N729">
        <v>0</v>
      </c>
      <c r="O729">
        <v>-0.89029590000000003</v>
      </c>
      <c r="P729">
        <v>0.35452709999999998</v>
      </c>
      <c r="Q729">
        <v>0.12890589999999999</v>
      </c>
      <c r="R729">
        <v>-0.92611790000000005</v>
      </c>
      <c r="S729">
        <v>-0.40487669999999998</v>
      </c>
      <c r="T729">
        <v>-0.1830379</v>
      </c>
      <c r="U729">
        <v>-3.4352719999999999</v>
      </c>
      <c r="V729">
        <v>0.11243649999999999</v>
      </c>
      <c r="W729">
        <v>0.1406925</v>
      </c>
      <c r="X729">
        <v>0.98364810000000003</v>
      </c>
      <c r="Y729">
        <v>0.55606440000000001</v>
      </c>
      <c r="Z729">
        <v>3.9751479999999999E-2</v>
      </c>
      <c r="AA729">
        <v>0.83018799999999904</v>
      </c>
      <c r="AB729">
        <v>44</v>
      </c>
      <c r="AC729">
        <v>-2.5342999999999698</v>
      </c>
      <c r="AD729">
        <v>-1.090421211155</v>
      </c>
      <c r="AE729">
        <v>-20.232499999999899</v>
      </c>
      <c r="AF729">
        <v>11.4323010573187</v>
      </c>
      <c r="AG729">
        <v>-1.090421211155</v>
      </c>
      <c r="AH729">
        <v>16.814022438902398</v>
      </c>
      <c r="AI729">
        <v>93.069807830933399</v>
      </c>
      <c r="AJ729">
        <v>55.787173845803103</v>
      </c>
      <c r="AK729">
        <v>20.3616766612876</v>
      </c>
      <c r="AL729">
        <v>81.912079509842997</v>
      </c>
      <c r="AM729">
        <v>83.479072782988993</v>
      </c>
      <c r="AN729">
        <v>0.99999996536105396</v>
      </c>
    </row>
    <row r="730" spans="1:40" x14ac:dyDescent="0.3">
      <c r="A730" t="str">
        <f>"20200111150736082"</f>
        <v>20200111150736082</v>
      </c>
      <c r="B730" t="str">
        <f>"1578726456071922"</f>
        <v>1578726456071922</v>
      </c>
      <c r="C730" t="s">
        <v>40</v>
      </c>
      <c r="D730">
        <v>5.4184999999999999</v>
      </c>
      <c r="E730">
        <v>0.69828459999999903</v>
      </c>
      <c r="F730" t="s">
        <v>43</v>
      </c>
      <c r="G730">
        <v>-190.21279999999999</v>
      </c>
      <c r="H730" s="1">
        <v>-4.3329560000000003E-6</v>
      </c>
      <c r="I730">
        <v>329.60849999999999</v>
      </c>
      <c r="J730">
        <v>-187.51730000000001</v>
      </c>
      <c r="K730">
        <v>1.0904259999999999</v>
      </c>
      <c r="L730">
        <v>349.166</v>
      </c>
      <c r="M730">
        <v>0.44308700000000001</v>
      </c>
      <c r="N730">
        <v>0</v>
      </c>
      <c r="O730">
        <v>-0.89631589999999906</v>
      </c>
      <c r="P730">
        <v>0.34193179999999901</v>
      </c>
      <c r="Q730">
        <v>0.12899749999999999</v>
      </c>
      <c r="R730">
        <v>-0.93082889999999996</v>
      </c>
      <c r="S730">
        <v>-0.43565369999999998</v>
      </c>
      <c r="T730">
        <v>-0.18814929999999999</v>
      </c>
      <c r="U730">
        <v>-3.4322509999999999</v>
      </c>
      <c r="V730">
        <v>0.11259</v>
      </c>
      <c r="W730">
        <v>0.14077879999999901</v>
      </c>
      <c r="X730">
        <v>0.9836182</v>
      </c>
      <c r="Y730">
        <v>0.5523285</v>
      </c>
      <c r="Z730">
        <v>4.143293E-2</v>
      </c>
      <c r="AA730">
        <v>0.83259629999999996</v>
      </c>
      <c r="AB730">
        <v>44</v>
      </c>
      <c r="AC730">
        <v>-2.69549999999998</v>
      </c>
      <c r="AD730">
        <v>-1.0904303329559999</v>
      </c>
      <c r="AE730">
        <v>-19.557500000000001</v>
      </c>
      <c r="AF730">
        <v>11.0496014129741</v>
      </c>
      <c r="AG730">
        <v>-1.0904303329559999</v>
      </c>
      <c r="AH730">
        <v>16.288050728323999</v>
      </c>
      <c r="AI730">
        <v>93.171028970544199</v>
      </c>
      <c r="AJ730">
        <v>55.847542555063796</v>
      </c>
      <c r="AK730">
        <v>19.7125169936538</v>
      </c>
      <c r="AL730">
        <v>81.9070852222833</v>
      </c>
      <c r="AM730">
        <v>83.470050371061305</v>
      </c>
      <c r="AN730">
        <v>0.99999997100033899</v>
      </c>
    </row>
    <row r="731" spans="1:40" x14ac:dyDescent="0.3">
      <c r="A731" t="str">
        <f>"20200111150736095"</f>
        <v>20200111150736095</v>
      </c>
      <c r="B731" t="str">
        <f>"1578726456091439"</f>
        <v>1578726456091439</v>
      </c>
      <c r="C731" t="s">
        <v>40</v>
      </c>
      <c r="D731">
        <v>5.3362949999999998</v>
      </c>
      <c r="E731">
        <v>0.69734869999999904</v>
      </c>
      <c r="F731" t="s">
        <v>43</v>
      </c>
      <c r="G731">
        <v>-190.14709999999999</v>
      </c>
      <c r="H731" s="1">
        <v>-3.688577E-7</v>
      </c>
      <c r="I731">
        <v>330.35770000000002</v>
      </c>
      <c r="J731">
        <v>-187.4015</v>
      </c>
      <c r="K731">
        <v>1.0904309999999999</v>
      </c>
      <c r="L731">
        <v>348.9323</v>
      </c>
      <c r="M731">
        <v>0.43469410000000003</v>
      </c>
      <c r="N731">
        <v>0</v>
      </c>
      <c r="O731">
        <v>-0.90041610000000005</v>
      </c>
      <c r="P731">
        <v>0.33304630000000002</v>
      </c>
      <c r="Q731">
        <v>0.12893180000000001</v>
      </c>
      <c r="R731">
        <v>-0.93405360000000004</v>
      </c>
      <c r="S731">
        <v>-0.47909550000000001</v>
      </c>
      <c r="T731">
        <v>-0.19865379999999999</v>
      </c>
      <c r="U731">
        <v>-3.4264830000000002</v>
      </c>
      <c r="V731">
        <v>0.112773</v>
      </c>
      <c r="W731">
        <v>0.1407062</v>
      </c>
      <c r="X731">
        <v>0.98360760000000003</v>
      </c>
      <c r="Y731">
        <v>0.55506160000000004</v>
      </c>
      <c r="Z731">
        <v>4.4073910000000001E-2</v>
      </c>
      <c r="AA731">
        <v>0.83064079999999996</v>
      </c>
      <c r="AB731">
        <v>44</v>
      </c>
      <c r="AC731">
        <v>-2.7455999999999898</v>
      </c>
      <c r="AD731">
        <v>-1.0904313688577001</v>
      </c>
      <c r="AE731">
        <v>-18.574599999999901</v>
      </c>
      <c r="AF731">
        <v>10.512535917777999</v>
      </c>
      <c r="AG731">
        <v>-1.0904313688577001</v>
      </c>
      <c r="AH731">
        <v>15.4814265727465</v>
      </c>
      <c r="AI731">
        <v>93.334874795700898</v>
      </c>
      <c r="AJ731">
        <v>55.821855799652504</v>
      </c>
      <c r="AK731">
        <v>18.7450532333228</v>
      </c>
      <c r="AL731">
        <v>81.9112865254273</v>
      </c>
      <c r="AM731">
        <v>83.459458825751099</v>
      </c>
      <c r="AN731">
        <v>0.99999994751259802</v>
      </c>
    </row>
    <row r="732" spans="1:40" x14ac:dyDescent="0.3">
      <c r="A732" t="str">
        <f>"20200111150736115"</f>
        <v>20200111150736115</v>
      </c>
      <c r="B732" t="str">
        <f>"1578726456111935"</f>
        <v>1578726456111935</v>
      </c>
      <c r="C732" t="s">
        <v>40</v>
      </c>
      <c r="D732">
        <v>5.2982170000000002</v>
      </c>
      <c r="E732">
        <v>0.69658959999999903</v>
      </c>
      <c r="F732" t="s">
        <v>43</v>
      </c>
      <c r="G732">
        <v>-190.07550000000001</v>
      </c>
      <c r="H732" s="1">
        <v>-5.4349319999999997E-7</v>
      </c>
      <c r="I732">
        <v>330.80919999999998</v>
      </c>
      <c r="J732">
        <v>-187.23419999999999</v>
      </c>
      <c r="K732">
        <v>1.090438</v>
      </c>
      <c r="L732">
        <v>348.58440000000002</v>
      </c>
      <c r="M732">
        <v>0.42216740000000003</v>
      </c>
      <c r="N732">
        <v>0</v>
      </c>
      <c r="O732">
        <v>-0.90635690000000002</v>
      </c>
      <c r="P732">
        <v>0.31887799999999999</v>
      </c>
      <c r="Q732">
        <v>0.12857009999999999</v>
      </c>
      <c r="R732">
        <v>-0.93903490000000001</v>
      </c>
      <c r="S732">
        <v>-0.50462340000000006</v>
      </c>
      <c r="T732">
        <v>-0.20578050000000001</v>
      </c>
      <c r="U732">
        <v>-3.420105</v>
      </c>
      <c r="V732">
        <v>0.1140176</v>
      </c>
      <c r="W732">
        <v>0.14028689999999999</v>
      </c>
      <c r="X732">
        <v>0.98352410000000001</v>
      </c>
      <c r="Y732">
        <v>0.54978850000000001</v>
      </c>
      <c r="Z732">
        <v>4.6349990000000001E-2</v>
      </c>
      <c r="AA732">
        <v>0.83401700000000001</v>
      </c>
      <c r="AB732">
        <v>44</v>
      </c>
      <c r="AC732">
        <v>-2.8413000000000102</v>
      </c>
      <c r="AD732">
        <v>-1.0904385434932</v>
      </c>
      <c r="AE732">
        <v>-17.775200000000002</v>
      </c>
      <c r="AF732">
        <v>10.043955923395799</v>
      </c>
      <c r="AG732">
        <v>-1.0904385434932</v>
      </c>
      <c r="AH732">
        <v>14.858821755329201</v>
      </c>
      <c r="AI732">
        <v>93.479262668921905</v>
      </c>
      <c r="AJ732">
        <v>55.942914677070199</v>
      </c>
      <c r="AK732">
        <v>17.9681576897827</v>
      </c>
      <c r="AL732">
        <v>81.935552087521899</v>
      </c>
      <c r="AM732">
        <v>83.387354609551807</v>
      </c>
      <c r="AN732">
        <v>1.0000000413510799</v>
      </c>
    </row>
    <row r="733" spans="1:40" x14ac:dyDescent="0.3">
      <c r="A733" t="str">
        <f>"20200111150736138"</f>
        <v>20200111150736138</v>
      </c>
      <c r="B733" t="str">
        <f>"1578726456131455"</f>
        <v>1578726456131455</v>
      </c>
      <c r="C733" t="s">
        <v>40</v>
      </c>
      <c r="D733">
        <v>5.3160259999999999</v>
      </c>
      <c r="E733">
        <v>0.69592919999999903</v>
      </c>
      <c r="F733" t="s">
        <v>43</v>
      </c>
      <c r="G733">
        <v>-190.09119999999999</v>
      </c>
      <c r="H733" s="1">
        <v>-5.7710749999999899E-7</v>
      </c>
      <c r="I733">
        <v>330.87779999999998</v>
      </c>
      <c r="J733">
        <v>-187.04640000000001</v>
      </c>
      <c r="K733">
        <v>1.090452</v>
      </c>
      <c r="L733">
        <v>348.17910000000001</v>
      </c>
      <c r="M733">
        <v>0.40752270000000002</v>
      </c>
      <c r="N733">
        <v>0</v>
      </c>
      <c r="O733">
        <v>-0.91303529999999999</v>
      </c>
      <c r="P733">
        <v>0.30295349999999999</v>
      </c>
      <c r="Q733">
        <v>0.1284971</v>
      </c>
      <c r="R733">
        <v>-0.94430289999999995</v>
      </c>
      <c r="S733">
        <v>-0.55026249999999999</v>
      </c>
      <c r="T733">
        <v>-0.21002180000000001</v>
      </c>
      <c r="U733">
        <v>-3.410339</v>
      </c>
      <c r="V733">
        <v>0.11481520000000001</v>
      </c>
      <c r="W733">
        <v>0.14017739999999901</v>
      </c>
      <c r="X733">
        <v>0.98344690000000001</v>
      </c>
      <c r="Y733">
        <v>0.54757480000000003</v>
      </c>
      <c r="Z733">
        <v>4.804543E-2</v>
      </c>
      <c r="AA733">
        <v>0.83537629999999996</v>
      </c>
      <c r="AB733">
        <v>44</v>
      </c>
      <c r="AC733">
        <v>-3.04479999999998</v>
      </c>
      <c r="AD733">
        <v>-1.0904525771075</v>
      </c>
      <c r="AE733">
        <v>-17.301300000000001</v>
      </c>
      <c r="AF733">
        <v>9.7943782810188598</v>
      </c>
      <c r="AG733">
        <v>-1.0904525771075</v>
      </c>
      <c r="AH733">
        <v>14.502118599821101</v>
      </c>
      <c r="AI733">
        <v>93.565630922439695</v>
      </c>
      <c r="AJ733">
        <v>55.965865016697499</v>
      </c>
      <c r="AK733">
        <v>17.533692612165002</v>
      </c>
      <c r="AL733">
        <v>81.941888409992103</v>
      </c>
      <c r="AM733">
        <v>83.340992385274006</v>
      </c>
      <c r="AN733">
        <v>1.0000000193706999</v>
      </c>
    </row>
    <row r="734" spans="1:40" x14ac:dyDescent="0.3">
      <c r="A734" t="str">
        <f>"20200111150736151"</f>
        <v>20200111150736151</v>
      </c>
      <c r="B734" t="str">
        <f>"1578726456142193"</f>
        <v>1578726456142193</v>
      </c>
      <c r="C734" t="s">
        <v>40</v>
      </c>
      <c r="D734">
        <v>5.3367699999999996</v>
      </c>
      <c r="E734">
        <v>0.69540939999999996</v>
      </c>
      <c r="F734" t="s">
        <v>43</v>
      </c>
      <c r="G734">
        <v>-190.1713</v>
      </c>
      <c r="H734" s="1">
        <v>-4.6332780000000002E-7</v>
      </c>
      <c r="I734">
        <v>330.56290000000001</v>
      </c>
      <c r="J734">
        <v>-186.93289999999999</v>
      </c>
      <c r="K734">
        <v>1.0904609999999999</v>
      </c>
      <c r="L734">
        <v>347.9239</v>
      </c>
      <c r="M734">
        <v>0.39827970000000001</v>
      </c>
      <c r="N734">
        <v>0</v>
      </c>
      <c r="O734">
        <v>-0.91710480000000005</v>
      </c>
      <c r="P734">
        <v>0.29296860000000002</v>
      </c>
      <c r="Q734">
        <v>0.12858810000000001</v>
      </c>
      <c r="R734">
        <v>-0.94743580000000005</v>
      </c>
      <c r="S734">
        <v>-0.60295100000000001</v>
      </c>
      <c r="T734">
        <v>-0.2104009</v>
      </c>
      <c r="U734">
        <v>-3.3990170000000002</v>
      </c>
      <c r="V734">
        <v>0.1152608</v>
      </c>
      <c r="W734">
        <v>0.14024819999999999</v>
      </c>
      <c r="X734">
        <v>0.9833847</v>
      </c>
      <c r="Y734">
        <v>0.5521374</v>
      </c>
      <c r="Z734">
        <v>4.8507519999999998E-2</v>
      </c>
      <c r="AA734">
        <v>0.83234089999999905</v>
      </c>
      <c r="AB734">
        <v>44</v>
      </c>
      <c r="AC734">
        <v>-3.2384000000000102</v>
      </c>
      <c r="AD734">
        <v>-1.0904614633278</v>
      </c>
      <c r="AE734">
        <v>-17.360999999999901</v>
      </c>
      <c r="AF734">
        <v>9.8483822575913091</v>
      </c>
      <c r="AG734">
        <v>-1.0904614633278</v>
      </c>
      <c r="AH734">
        <v>14.5786227703304</v>
      </c>
      <c r="AI734">
        <v>93.546733486224994</v>
      </c>
      <c r="AJ734">
        <v>55.959563500733303</v>
      </c>
      <c r="AK734">
        <v>17.6271376341776</v>
      </c>
      <c r="AL734">
        <v>81.937791554640398</v>
      </c>
      <c r="AM734">
        <v>83.314963099483407</v>
      </c>
      <c r="AN734">
        <v>1.0000000389069801</v>
      </c>
    </row>
    <row r="735" spans="1:40" x14ac:dyDescent="0.3">
      <c r="A735" t="str">
        <f>"20200111150736172"</f>
        <v>20200111150736172</v>
      </c>
      <c r="B735" t="str">
        <f>"1578726456161711"</f>
        <v>1578726456161711</v>
      </c>
      <c r="C735" t="s">
        <v>40</v>
      </c>
      <c r="D735">
        <v>5.349888</v>
      </c>
      <c r="E735">
        <v>0.69439050000000002</v>
      </c>
      <c r="F735" t="s">
        <v>43</v>
      </c>
      <c r="G735">
        <v>-190.23910000000001</v>
      </c>
      <c r="H735" s="1">
        <v>-3.51961099999999E-7</v>
      </c>
      <c r="I735">
        <v>330.26130000000001</v>
      </c>
      <c r="J735">
        <v>-186.77180000000001</v>
      </c>
      <c r="K735">
        <v>1.0904739999999999</v>
      </c>
      <c r="L735">
        <v>347.55079999999998</v>
      </c>
      <c r="M735">
        <v>0.3847236</v>
      </c>
      <c r="N735">
        <v>0</v>
      </c>
      <c r="O735">
        <v>-0.92287390000000002</v>
      </c>
      <c r="P735">
        <v>0.27863290000000002</v>
      </c>
      <c r="Q735">
        <v>0.12855839999999999</v>
      </c>
      <c r="R735">
        <v>-0.95175469999999895</v>
      </c>
      <c r="S735">
        <v>-0.63478089999999998</v>
      </c>
      <c r="T735">
        <v>-0.2093652</v>
      </c>
      <c r="U735">
        <v>-3.3911739999999999</v>
      </c>
      <c r="V735">
        <v>0.11561440000000001</v>
      </c>
      <c r="W735">
        <v>0.14020189999999999</v>
      </c>
      <c r="X735">
        <v>0.98334969999999999</v>
      </c>
      <c r="Y735">
        <v>0.54773950000000005</v>
      </c>
      <c r="Z735">
        <v>4.8960860000000002E-2</v>
      </c>
      <c r="AA735">
        <v>0.83521520000000005</v>
      </c>
      <c r="AB735">
        <v>43</v>
      </c>
      <c r="AC735">
        <v>-3.4672999999999901</v>
      </c>
      <c r="AD735">
        <v>-1.0904743519611</v>
      </c>
      <c r="AE735">
        <v>-17.289499999999901</v>
      </c>
      <c r="AF735">
        <v>9.81545923377859</v>
      </c>
      <c r="AG735">
        <v>-1.0904743519611</v>
      </c>
      <c r="AH735">
        <v>14.5684949192904</v>
      </c>
      <c r="AI735">
        <v>93.552174248601801</v>
      </c>
      <c r="AJ735">
        <v>56.030054285924599</v>
      </c>
      <c r="AK735">
        <v>17.600381203134301</v>
      </c>
      <c r="AL735">
        <v>81.940470078553801</v>
      </c>
      <c r="AM735">
        <v>83.294404550994599</v>
      </c>
      <c r="AN735">
        <v>0.999999947370528</v>
      </c>
    </row>
    <row r="736" spans="1:40" x14ac:dyDescent="0.3">
      <c r="A736" t="str">
        <f>"20200111150736194"</f>
        <v>20200111150736194</v>
      </c>
      <c r="B736" t="str">
        <f>"1578726456191967"</f>
        <v>1578726456191967</v>
      </c>
      <c r="C736" t="s">
        <v>40</v>
      </c>
      <c r="D736">
        <v>5.3537339999999896</v>
      </c>
      <c r="E736">
        <v>0.69228509999999999</v>
      </c>
      <c r="F736" t="s">
        <v>43</v>
      </c>
      <c r="G736">
        <v>-190.32159999999999</v>
      </c>
      <c r="H736" s="1">
        <v>-2.032554E-7</v>
      </c>
      <c r="I736">
        <v>329.86340000000001</v>
      </c>
      <c r="J736">
        <v>-186.6096</v>
      </c>
      <c r="K736">
        <v>1.090482</v>
      </c>
      <c r="L736">
        <v>347.15859999999998</v>
      </c>
      <c r="M736">
        <v>0.37043229999999999</v>
      </c>
      <c r="N736">
        <v>0</v>
      </c>
      <c r="O736">
        <v>-0.92870249999999999</v>
      </c>
      <c r="P736">
        <v>0.26396439999999999</v>
      </c>
      <c r="Q736">
        <v>0.1280713</v>
      </c>
      <c r="R736">
        <v>-0.95599219999999896</v>
      </c>
      <c r="S736">
        <v>-0.67810059999999905</v>
      </c>
      <c r="T736">
        <v>-0.2083082</v>
      </c>
      <c r="U736">
        <v>-3.3787229999999999</v>
      </c>
      <c r="V736">
        <v>0.1155557</v>
      </c>
      <c r="W736">
        <v>0.13971939999999999</v>
      </c>
      <c r="X736">
        <v>0.98342529999999995</v>
      </c>
      <c r="Y736">
        <v>0.54570109999999905</v>
      </c>
      <c r="Z736">
        <v>4.9408729999999998E-2</v>
      </c>
      <c r="AA736">
        <v>0.83652199999999999</v>
      </c>
      <c r="AB736">
        <v>43</v>
      </c>
      <c r="AC736">
        <v>-3.7119999999999802</v>
      </c>
      <c r="AD736">
        <v>-1.0904822032554</v>
      </c>
      <c r="AE736">
        <v>-17.295199999999902</v>
      </c>
      <c r="AF736">
        <v>9.8181684983552593</v>
      </c>
      <c r="AG736">
        <v>-1.0904822032554</v>
      </c>
      <c r="AH736">
        <v>14.633579221504201</v>
      </c>
      <c r="AI736">
        <v>93.5410360934507</v>
      </c>
      <c r="AJ736">
        <v>56.1409891549362</v>
      </c>
      <c r="AK736">
        <v>17.655798620559601</v>
      </c>
      <c r="AL736">
        <v>81.968390337245197</v>
      </c>
      <c r="AM736">
        <v>83.298288691649105</v>
      </c>
      <c r="AN736">
        <v>0.99999997560946896</v>
      </c>
    </row>
    <row r="737" spans="1:40" x14ac:dyDescent="0.3">
      <c r="A737" t="str">
        <f>"20200111150736206"</f>
        <v>20200111150736206</v>
      </c>
      <c r="B737" t="str">
        <f>"1578726456201727"</f>
        <v>1578726456201727</v>
      </c>
      <c r="C737" t="s">
        <v>40</v>
      </c>
      <c r="D737">
        <v>5.3896940000000004</v>
      </c>
      <c r="E737">
        <v>0.69144629999999996</v>
      </c>
      <c r="F737" t="s">
        <v>43</v>
      </c>
      <c r="G737">
        <v>-190.3245</v>
      </c>
      <c r="H737" s="1">
        <v>-1.169713E-7</v>
      </c>
      <c r="I737">
        <v>329.66050000000001</v>
      </c>
      <c r="J737">
        <v>-186.5162</v>
      </c>
      <c r="K737">
        <v>1.0904879999999999</v>
      </c>
      <c r="L737">
        <v>346.92439999999999</v>
      </c>
      <c r="M737">
        <v>0.36187249999999999</v>
      </c>
      <c r="N737">
        <v>0</v>
      </c>
      <c r="O737">
        <v>-0.93207110000000004</v>
      </c>
      <c r="P737">
        <v>0.25544729999999999</v>
      </c>
      <c r="Q737">
        <v>0.12786739999999999</v>
      </c>
      <c r="R737">
        <v>-0.95832989999999996</v>
      </c>
      <c r="S737">
        <v>-0.71405030000000003</v>
      </c>
      <c r="T737">
        <v>-0.20960190000000001</v>
      </c>
      <c r="U737">
        <v>-3.3633120000000001</v>
      </c>
      <c r="V737">
        <v>0.11525729999999999</v>
      </c>
      <c r="W737">
        <v>0.13953009999999999</v>
      </c>
      <c r="X737">
        <v>0.98348720000000001</v>
      </c>
      <c r="Y737">
        <v>0.54729830000000002</v>
      </c>
      <c r="Z737">
        <v>5.0163729999999997E-2</v>
      </c>
      <c r="AA737">
        <v>0.83543289999999903</v>
      </c>
      <c r="AB737">
        <v>43</v>
      </c>
      <c r="AC737">
        <v>-3.8083</v>
      </c>
      <c r="AD737">
        <v>-1.0904881169713001</v>
      </c>
      <c r="AE737">
        <v>-17.2638999999999</v>
      </c>
      <c r="AF737">
        <v>9.76122724858946</v>
      </c>
      <c r="AG737">
        <v>-1.0904881169713001</v>
      </c>
      <c r="AH737">
        <v>14.659434197944501</v>
      </c>
      <c r="AI737">
        <v>93.543090123283406</v>
      </c>
      <c r="AJ737">
        <v>56.341680856765997</v>
      </c>
      <c r="AK737">
        <v>17.645671784767099</v>
      </c>
      <c r="AL737">
        <v>81.979343784586504</v>
      </c>
      <c r="AM737">
        <v>83.315854655323506</v>
      </c>
      <c r="AN737">
        <v>0.99999998328656903</v>
      </c>
    </row>
    <row r="738" spans="1:40" x14ac:dyDescent="0.3">
      <c r="A738" t="str">
        <f>"20200111150736230"</f>
        <v>20200111150736230</v>
      </c>
      <c r="B738" t="str">
        <f>"1578726456221247"</f>
        <v>1578726456221247</v>
      </c>
      <c r="C738" t="s">
        <v>40</v>
      </c>
      <c r="D738">
        <v>5.4158580000000001</v>
      </c>
      <c r="E738">
        <v>0.65633359999999996</v>
      </c>
      <c r="F738" t="s">
        <v>43</v>
      </c>
      <c r="G738">
        <v>-190.35720000000001</v>
      </c>
      <c r="H738" s="1">
        <v>-4.3068379999999998E-6</v>
      </c>
      <c r="I738">
        <v>329.45650000000001</v>
      </c>
      <c r="J738">
        <v>-186.35669999999999</v>
      </c>
      <c r="K738">
        <v>1.0904959999999999</v>
      </c>
      <c r="L738">
        <v>346.50909999999999</v>
      </c>
      <c r="M738">
        <v>0.34665649999999998</v>
      </c>
      <c r="N738">
        <v>0</v>
      </c>
      <c r="O738">
        <v>-0.93783660000000002</v>
      </c>
      <c r="P738">
        <v>0.240731</v>
      </c>
      <c r="Q738">
        <v>0.12798999999999999</v>
      </c>
      <c r="R738">
        <v>-0.96211599999999997</v>
      </c>
      <c r="S738">
        <v>-0.7377319</v>
      </c>
      <c r="T738">
        <v>-0.20944960000000001</v>
      </c>
      <c r="U738">
        <v>-3.3550420000000001</v>
      </c>
      <c r="V738">
        <v>0.1143204</v>
      </c>
      <c r="W738">
        <v>0.13969819999999999</v>
      </c>
      <c r="X738">
        <v>0.98357269999999997</v>
      </c>
      <c r="Y738">
        <v>0.53970750000000001</v>
      </c>
      <c r="Z738">
        <v>5.0902500000000003E-2</v>
      </c>
      <c r="AA738">
        <v>0.84031230000000001</v>
      </c>
      <c r="AB738">
        <v>43</v>
      </c>
      <c r="AC738">
        <v>-4.0005000000000104</v>
      </c>
      <c r="AD738">
        <v>-1.0905003068379999</v>
      </c>
      <c r="AE738">
        <v>-17.052599999999899</v>
      </c>
      <c r="AF738">
        <v>9.6273029528219993</v>
      </c>
      <c r="AG738">
        <v>-1.0905003068379999</v>
      </c>
      <c r="AH738">
        <v>14.5514803517866</v>
      </c>
      <c r="AI738">
        <v>93.576348041509107</v>
      </c>
      <c r="AJ738">
        <v>56.511259409716303</v>
      </c>
      <c r="AK738">
        <v>17.481983110993401</v>
      </c>
      <c r="AL738">
        <v>81.969617224046999</v>
      </c>
      <c r="AM738">
        <v>83.370274036409697</v>
      </c>
      <c r="AN738">
        <v>0.99999999856234401</v>
      </c>
    </row>
    <row r="739" spans="1:40" x14ac:dyDescent="0.3">
      <c r="A739" t="str">
        <f>"20200111150736251"</f>
        <v>20200111150736251</v>
      </c>
      <c r="B739" t="str">
        <f>"1578726456241743"</f>
        <v>1578726456241743</v>
      </c>
      <c r="C739" t="s">
        <v>40</v>
      </c>
      <c r="D739">
        <v>5.3743660000000002</v>
      </c>
      <c r="E739">
        <v>0.64532670000000003</v>
      </c>
      <c r="F739" t="s">
        <v>43</v>
      </c>
      <c r="G739">
        <v>-189.07079999999999</v>
      </c>
      <c r="H739" s="1">
        <v>-4.3191709999999999E-6</v>
      </c>
      <c r="I739">
        <v>329.31670000000003</v>
      </c>
      <c r="J739">
        <v>-186.21379999999999</v>
      </c>
      <c r="K739">
        <v>1.0905049999999901</v>
      </c>
      <c r="L739">
        <v>346.11860000000001</v>
      </c>
      <c r="M739">
        <v>0.33230150000000003</v>
      </c>
      <c r="N739">
        <v>0</v>
      </c>
      <c r="O739">
        <v>-0.94301860000000004</v>
      </c>
      <c r="P739">
        <v>0.22726640000000001</v>
      </c>
      <c r="Q739">
        <v>0.12781480000000001</v>
      </c>
      <c r="R739">
        <v>-0.9654085</v>
      </c>
      <c r="S739">
        <v>-0.51702879999999996</v>
      </c>
      <c r="T739">
        <v>-0.20773739999999999</v>
      </c>
      <c r="U739">
        <v>-3.2751160000000001</v>
      </c>
      <c r="V739">
        <v>0.1130442</v>
      </c>
      <c r="W739">
        <v>0.13958389999999901</v>
      </c>
      <c r="X739">
        <v>0.98373639999999996</v>
      </c>
      <c r="Y739">
        <v>0.47507759999999999</v>
      </c>
      <c r="Z739">
        <v>5.372623E-2</v>
      </c>
      <c r="AA739">
        <v>0.87830219999999903</v>
      </c>
      <c r="AB739">
        <v>43</v>
      </c>
      <c r="AC739">
        <v>-2.85699999999999</v>
      </c>
      <c r="AD739">
        <v>-1.09050931917099</v>
      </c>
      <c r="AE739">
        <v>-16.8018999999999</v>
      </c>
      <c r="AF739">
        <v>8.2449519605326191</v>
      </c>
      <c r="AG739">
        <v>-1.09050931917099</v>
      </c>
      <c r="AH739">
        <v>14.836548307974001</v>
      </c>
      <c r="AI739">
        <v>93.676055773431202</v>
      </c>
      <c r="AJ739">
        <v>60.938239865155602</v>
      </c>
      <c r="AK739">
        <v>17.008574575828899</v>
      </c>
      <c r="AL739">
        <v>81.976230785534995</v>
      </c>
      <c r="AM739">
        <v>83.444717623424907</v>
      </c>
      <c r="AN739">
        <v>0.99999998048890404</v>
      </c>
    </row>
    <row r="740" spans="1:40" x14ac:dyDescent="0.3">
      <c r="A740" t="str">
        <f>"20200111150736268"</f>
        <v>20200111150736268</v>
      </c>
      <c r="B740" t="str">
        <f>"1578726456261263"</f>
        <v>1578726456261263</v>
      </c>
      <c r="C740" t="s">
        <v>40</v>
      </c>
      <c r="D740">
        <v>5.4368400000000001</v>
      </c>
      <c r="E740">
        <v>0.63905819999999902</v>
      </c>
      <c r="F740" t="s">
        <v>43</v>
      </c>
      <c r="G740">
        <v>-188.53059999999999</v>
      </c>
      <c r="H740" s="1">
        <v>-6.3638659999999899E-7</v>
      </c>
      <c r="I740">
        <v>330.36930000000001</v>
      </c>
      <c r="J740">
        <v>-186.10409999999999</v>
      </c>
      <c r="K740">
        <v>1.0905049999999901</v>
      </c>
      <c r="L740">
        <v>345.80549999999999</v>
      </c>
      <c r="M740">
        <v>0.32075700000000001</v>
      </c>
      <c r="N740">
        <v>0</v>
      </c>
      <c r="O740">
        <v>-0.94700770000000001</v>
      </c>
      <c r="P740">
        <v>0.2160292</v>
      </c>
      <c r="Q740">
        <v>0.12753439999999999</v>
      </c>
      <c r="R740">
        <v>-0.96802180000000004</v>
      </c>
      <c r="S740">
        <v>-0.47805789999999998</v>
      </c>
      <c r="T740">
        <v>-0.22501779999999999</v>
      </c>
      <c r="U740">
        <v>-3.2497560000000001</v>
      </c>
      <c r="V740">
        <v>0.1124584</v>
      </c>
      <c r="W740">
        <v>0.13933180000000001</v>
      </c>
      <c r="X740">
        <v>0.98383929999999997</v>
      </c>
      <c r="Y740">
        <v>0.4549222</v>
      </c>
      <c r="Z740">
        <v>5.945835E-2</v>
      </c>
      <c r="AA740">
        <v>0.888544</v>
      </c>
      <c r="AB740">
        <v>43</v>
      </c>
      <c r="AC740">
        <v>-2.4264999999999999</v>
      </c>
      <c r="AD740">
        <v>-1.0905056363865999</v>
      </c>
      <c r="AE740">
        <v>-15.4361999999999</v>
      </c>
      <c r="AF740">
        <v>7.2150985253812401</v>
      </c>
      <c r="AG740">
        <v>-1.0905056363865999</v>
      </c>
      <c r="AH740">
        <v>13.7748097904328</v>
      </c>
      <c r="AI740">
        <v>94.011522445814407</v>
      </c>
      <c r="AJ740">
        <v>62.3549321159648</v>
      </c>
      <c r="AK740">
        <v>15.588208172736</v>
      </c>
      <c r="AL740">
        <v>81.990817793454895</v>
      </c>
      <c r="AM740">
        <v>83.479070209543195</v>
      </c>
      <c r="AN740">
        <v>1.0000000052231399</v>
      </c>
    </row>
    <row r="741" spans="1:40" x14ac:dyDescent="0.3">
      <c r="A741" t="str">
        <f>"20200111150736283"</f>
        <v>20200111150736283</v>
      </c>
      <c r="B741" t="str">
        <f>"1578726456281760"</f>
        <v>1578726456281760</v>
      </c>
      <c r="C741" t="s">
        <v>40</v>
      </c>
      <c r="D741">
        <v>5.4809049999999999</v>
      </c>
      <c r="E741">
        <v>0.63490029999999997</v>
      </c>
      <c r="F741" t="s">
        <v>43</v>
      </c>
      <c r="G741">
        <v>-188.62649999999999</v>
      </c>
      <c r="H741" s="1">
        <v>-3.9622839999999997E-6</v>
      </c>
      <c r="I741">
        <v>328.30099999999999</v>
      </c>
      <c r="J741">
        <v>-186.00409999999999</v>
      </c>
      <c r="K741">
        <v>1.0905100000000001</v>
      </c>
      <c r="L741">
        <v>345.50920000000002</v>
      </c>
      <c r="M741">
        <v>0.30980600000000003</v>
      </c>
      <c r="N741">
        <v>0</v>
      </c>
      <c r="O741">
        <v>-0.95064660000000001</v>
      </c>
      <c r="P741">
        <v>0.2062213</v>
      </c>
      <c r="Q741">
        <v>0.1269701</v>
      </c>
      <c r="R741">
        <v>-0.97023269999999995</v>
      </c>
      <c r="S741">
        <v>-0.46536250000000001</v>
      </c>
      <c r="T741">
        <v>-0.20119419999999999</v>
      </c>
      <c r="U741">
        <v>-3.229492</v>
      </c>
      <c r="V741">
        <v>0.1110541</v>
      </c>
      <c r="W741">
        <v>0.13883499999999999</v>
      </c>
      <c r="X741">
        <v>0.98406899999999997</v>
      </c>
      <c r="Y741">
        <v>0.44203930000000002</v>
      </c>
      <c r="Z741">
        <v>5.4074270000000001E-2</v>
      </c>
      <c r="AA741">
        <v>0.8953643</v>
      </c>
      <c r="AB741">
        <v>43</v>
      </c>
      <c r="AC741">
        <v>-2.6223999999999901</v>
      </c>
      <c r="AD741">
        <v>-1.0905139622840001</v>
      </c>
      <c r="AE741">
        <v>-17.208200000000001</v>
      </c>
      <c r="AF741">
        <v>7.79472604139856</v>
      </c>
      <c r="AG741">
        <v>-1.0905139622840001</v>
      </c>
      <c r="AH741">
        <v>15.4879586483076</v>
      </c>
      <c r="AI741">
        <v>93.598841353581605</v>
      </c>
      <c r="AJ741">
        <v>63.284960799496801</v>
      </c>
      <c r="AK741">
        <v>17.373077961434401</v>
      </c>
      <c r="AL741">
        <v>82.019561534403906</v>
      </c>
      <c r="AM741">
        <v>83.561301147319497</v>
      </c>
      <c r="AN741">
        <v>0.99999998355640396</v>
      </c>
    </row>
    <row r="742" spans="1:40" x14ac:dyDescent="0.3">
      <c r="A742" t="str">
        <f>"20200111150736306"</f>
        <v>20200111150736306</v>
      </c>
      <c r="B742" t="str">
        <f>"1578726456301279"</f>
        <v>1578726456301279</v>
      </c>
      <c r="C742" t="s">
        <v>40</v>
      </c>
      <c r="D742">
        <v>5.4283460000000003</v>
      </c>
      <c r="E742">
        <v>0.6341156</v>
      </c>
      <c r="F742" t="s">
        <v>43</v>
      </c>
      <c r="G742">
        <v>-189.08150000000001</v>
      </c>
      <c r="H742" s="1">
        <v>-2.1303550000000002E-6</v>
      </c>
      <c r="I742">
        <v>324.21890000000002</v>
      </c>
      <c r="J742">
        <v>-185.87260000000001</v>
      </c>
      <c r="K742">
        <v>1.0905149999999999</v>
      </c>
      <c r="L742">
        <v>345.09960000000001</v>
      </c>
      <c r="M742">
        <v>0.29462440000000001</v>
      </c>
      <c r="N742">
        <v>0</v>
      </c>
      <c r="O742">
        <v>-0.95546070000000005</v>
      </c>
      <c r="P742">
        <v>0.19205729999999999</v>
      </c>
      <c r="Q742">
        <v>0.1264103</v>
      </c>
      <c r="R742">
        <v>-0.97320850000000003</v>
      </c>
      <c r="S742">
        <v>-0.46430969999999999</v>
      </c>
      <c r="T742">
        <v>-0.16453619999999999</v>
      </c>
      <c r="U742">
        <v>-3.2122799999999998</v>
      </c>
      <c r="V742">
        <v>0.1097151</v>
      </c>
      <c r="W742">
        <v>0.1383392</v>
      </c>
      <c r="X742">
        <v>0.98428910000000003</v>
      </c>
      <c r="Y742">
        <v>0.42817040000000001</v>
      </c>
      <c r="Z742">
        <v>4.5026570000000002E-2</v>
      </c>
      <c r="AA742">
        <v>0.90257560000000003</v>
      </c>
      <c r="AB742">
        <v>43</v>
      </c>
      <c r="AC742">
        <v>-3.2088999999999999</v>
      </c>
      <c r="AD742">
        <v>-1.0905171303550001</v>
      </c>
      <c r="AE742">
        <v>-20.880699999999901</v>
      </c>
      <c r="AF742">
        <v>9.1947837723563595</v>
      </c>
      <c r="AG742">
        <v>-1.0905171303550001</v>
      </c>
      <c r="AH742">
        <v>18.957522009997199</v>
      </c>
      <c r="AI742">
        <v>92.962850214487304</v>
      </c>
      <c r="AJ742">
        <v>64.125671308829595</v>
      </c>
      <c r="AK742">
        <v>21.097888922627199</v>
      </c>
      <c r="AL742">
        <v>82.048246387628097</v>
      </c>
      <c r="AM742">
        <v>83.639704331406193</v>
      </c>
      <c r="AN742">
        <v>1.0000000849017201</v>
      </c>
    </row>
    <row r="743" spans="1:40" x14ac:dyDescent="0.3">
      <c r="A743" t="str">
        <f>"20200111150736328"</f>
        <v>20200111150736328</v>
      </c>
      <c r="B743" t="str">
        <f>"1578726456321775"</f>
        <v>1578726456321775</v>
      </c>
      <c r="C743" t="s">
        <v>40</v>
      </c>
      <c r="D743">
        <v>5.4533899999999997</v>
      </c>
      <c r="E743">
        <v>0.63138950000000005</v>
      </c>
      <c r="F743" t="s">
        <v>43</v>
      </c>
      <c r="G743">
        <v>-188.98089999999999</v>
      </c>
      <c r="H743" s="1">
        <v>-2.657679E-6</v>
      </c>
      <c r="I743">
        <v>325.40649999999999</v>
      </c>
      <c r="J743">
        <v>-185.74549999999999</v>
      </c>
      <c r="K743">
        <v>1.090525</v>
      </c>
      <c r="L743">
        <v>344.68040000000002</v>
      </c>
      <c r="M743">
        <v>0.27903630000000001</v>
      </c>
      <c r="N743">
        <v>0</v>
      </c>
      <c r="O743">
        <v>-0.96012909999999996</v>
      </c>
      <c r="P743">
        <v>0.17706749999999999</v>
      </c>
      <c r="Q743">
        <v>0.1266285</v>
      </c>
      <c r="R743">
        <v>-0.97601870000000002</v>
      </c>
      <c r="S743">
        <v>-0.50593569999999999</v>
      </c>
      <c r="T743">
        <v>-0.1775032</v>
      </c>
      <c r="U743">
        <v>-3.205444</v>
      </c>
      <c r="V743">
        <v>0.1088331</v>
      </c>
      <c r="W743">
        <v>0.13859839999999901</v>
      </c>
      <c r="X743">
        <v>0.98435039999999996</v>
      </c>
      <c r="Y743">
        <v>0.42516120000000002</v>
      </c>
      <c r="Z743">
        <v>4.9045940000000003E-2</v>
      </c>
      <c r="AA743">
        <v>0.90378789999999998</v>
      </c>
      <c r="AB743">
        <v>43</v>
      </c>
      <c r="AC743">
        <v>-3.2353999999999901</v>
      </c>
      <c r="AD743">
        <v>-1.090527657679</v>
      </c>
      <c r="AE743">
        <v>-19.273900000000001</v>
      </c>
      <c r="AF743">
        <v>8.4594141773189904</v>
      </c>
      <c r="AG743">
        <v>-1.090527657679</v>
      </c>
      <c r="AH743">
        <v>17.550552916890599</v>
      </c>
      <c r="AI743">
        <v>93.203706037563094</v>
      </c>
      <c r="AJ743">
        <v>64.265806996482496</v>
      </c>
      <c r="AK743">
        <v>19.5134017148258</v>
      </c>
      <c r="AL743">
        <v>82.033249666413198</v>
      </c>
      <c r="AM743">
        <v>83.690810501556996</v>
      </c>
      <c r="AN743">
        <v>0.99999993505916196</v>
      </c>
    </row>
    <row r="744" spans="1:40" x14ac:dyDescent="0.3">
      <c r="A744" t="str">
        <f>"20200111150736352"</f>
        <v>20200111150736352</v>
      </c>
      <c r="B744" t="str">
        <f>"1578726456341298"</f>
        <v>1578726456341298</v>
      </c>
      <c r="C744" t="s">
        <v>40</v>
      </c>
      <c r="D744">
        <v>5.4349869999999996</v>
      </c>
      <c r="E744">
        <v>0.62856469999999998</v>
      </c>
      <c r="F744" t="s">
        <v>43</v>
      </c>
      <c r="G744">
        <v>-188.74539999999999</v>
      </c>
      <c r="H744" s="1">
        <v>-3.2647240000000001E-6</v>
      </c>
      <c r="I744">
        <v>326.7242</v>
      </c>
      <c r="J744">
        <v>-185.62280000000001</v>
      </c>
      <c r="K744">
        <v>1.090543</v>
      </c>
      <c r="L744">
        <v>344.25060000000002</v>
      </c>
      <c r="M744">
        <v>0.26300010000000001</v>
      </c>
      <c r="N744">
        <v>0</v>
      </c>
      <c r="O744">
        <v>-0.96464499999999997</v>
      </c>
      <c r="P744">
        <v>0.1611612</v>
      </c>
      <c r="Q744">
        <v>0.12766150000000001</v>
      </c>
      <c r="R744">
        <v>-0.97863659999999997</v>
      </c>
      <c r="S744">
        <v>-0.53390499999999996</v>
      </c>
      <c r="T744">
        <v>-0.1940837</v>
      </c>
      <c r="U744">
        <v>-3.1957089999999999</v>
      </c>
      <c r="V744">
        <v>0.10846</v>
      </c>
      <c r="W744">
        <v>0.1396462</v>
      </c>
      <c r="X744">
        <v>0.9842436</v>
      </c>
      <c r="Y744">
        <v>0.41815229999999998</v>
      </c>
      <c r="Z744">
        <v>5.4243930000000003E-2</v>
      </c>
      <c r="AA744">
        <v>0.90675589999999995</v>
      </c>
      <c r="AB744">
        <v>43</v>
      </c>
      <c r="AC744">
        <v>-3.1225999999999701</v>
      </c>
      <c r="AD744">
        <v>-1.0905462647239901</v>
      </c>
      <c r="AE744">
        <v>-17.526399999999999</v>
      </c>
      <c r="AF744">
        <v>7.59425637333434</v>
      </c>
      <c r="AG744">
        <v>-1.0905462647239901</v>
      </c>
      <c r="AH744">
        <v>16.027705314170799</v>
      </c>
      <c r="AI744">
        <v>93.518588662269707</v>
      </c>
      <c r="AJ744">
        <v>64.647443609554699</v>
      </c>
      <c r="AK744">
        <v>17.769337597595801</v>
      </c>
      <c r="AL744">
        <v>81.972626501352494</v>
      </c>
      <c r="AM744">
        <v>83.711589223368406</v>
      </c>
      <c r="AN744">
        <v>1.0000000484576901</v>
      </c>
    </row>
    <row r="745" spans="1:40" x14ac:dyDescent="0.3">
      <c r="A745" t="str">
        <f>"20200111150736373"</f>
        <v>20200111150736373</v>
      </c>
      <c r="B745" t="str">
        <f>"1578726456361791"</f>
        <v>1578726456361791</v>
      </c>
      <c r="C745" t="s">
        <v>40</v>
      </c>
      <c r="D745">
        <v>5.4483180000000004</v>
      </c>
      <c r="E745">
        <v>0.62577769999999899</v>
      </c>
      <c r="F745" t="s">
        <v>43</v>
      </c>
      <c r="G745">
        <v>-188.62530000000001</v>
      </c>
      <c r="H745" s="1">
        <v>-3.5257360000000001E-6</v>
      </c>
      <c r="I745">
        <v>327.28300000000002</v>
      </c>
      <c r="J745">
        <v>-185.51220000000001</v>
      </c>
      <c r="K745">
        <v>1.090554</v>
      </c>
      <c r="L745">
        <v>343.83749999999998</v>
      </c>
      <c r="M745">
        <v>0.2475348</v>
      </c>
      <c r="N745">
        <v>0</v>
      </c>
      <c r="O745">
        <v>-0.9687287</v>
      </c>
      <c r="P745">
        <v>0.14630679999999999</v>
      </c>
      <c r="Q745">
        <v>0.12830039999999901</v>
      </c>
      <c r="R745">
        <v>-0.98088399999999998</v>
      </c>
      <c r="S745">
        <v>-0.56359859999999995</v>
      </c>
      <c r="T745">
        <v>-0.20470630000000001</v>
      </c>
      <c r="U745">
        <v>-3.1849980000000002</v>
      </c>
      <c r="V745">
        <v>0.10764120000000001</v>
      </c>
      <c r="W745">
        <v>0.14032229999999901</v>
      </c>
      <c r="X745">
        <v>0.98423729999999998</v>
      </c>
      <c r="Y745">
        <v>0.41228369999999998</v>
      </c>
      <c r="Z745">
        <v>5.7823310000000003E-2</v>
      </c>
      <c r="AA745">
        <v>0.90921870000000005</v>
      </c>
      <c r="AB745">
        <v>43</v>
      </c>
      <c r="AC745">
        <v>-3.1131000000000002</v>
      </c>
      <c r="AD745">
        <v>-1.0905575257359901</v>
      </c>
      <c r="AE745">
        <v>-16.554499999999901</v>
      </c>
      <c r="AF745">
        <v>7.08490366422203</v>
      </c>
      <c r="AG745">
        <v>-1.0905575257359901</v>
      </c>
      <c r="AH745">
        <v>15.2047111940877</v>
      </c>
      <c r="AI745">
        <v>93.719756628644802</v>
      </c>
      <c r="AJ745">
        <v>65.016003310884898</v>
      </c>
      <c r="AK745">
        <v>16.809771507782699</v>
      </c>
      <c r="AL745">
        <v>81.933503374350195</v>
      </c>
      <c r="AM745">
        <v>83.758646793649802</v>
      </c>
      <c r="AN745">
        <v>1.0000000192630001</v>
      </c>
    </row>
    <row r="746" spans="1:40" x14ac:dyDescent="0.3">
      <c r="A746" t="str">
        <f>"20200111150736388"</f>
        <v>20200111150736388</v>
      </c>
      <c r="B746" t="str">
        <f>"1578726456381312"</f>
        <v>1578726456381312</v>
      </c>
      <c r="C746" t="s">
        <v>40</v>
      </c>
      <c r="D746">
        <v>5.4236589999999998</v>
      </c>
      <c r="E746">
        <v>0.6227568</v>
      </c>
      <c r="F746" t="s">
        <v>43</v>
      </c>
      <c r="G746">
        <v>-188.5718</v>
      </c>
      <c r="H746" s="1">
        <v>-3.5805740000000002E-6</v>
      </c>
      <c r="I746">
        <v>327.38869999999997</v>
      </c>
      <c r="J746">
        <v>-185.44220000000001</v>
      </c>
      <c r="K746">
        <v>1.09056</v>
      </c>
      <c r="L746">
        <v>343.56060000000002</v>
      </c>
      <c r="M746">
        <v>0.23713980000000001</v>
      </c>
      <c r="N746">
        <v>0</v>
      </c>
      <c r="O746">
        <v>-0.97132580000000002</v>
      </c>
      <c r="P746">
        <v>0.1363036</v>
      </c>
      <c r="Q746">
        <v>0.12826389999999999</v>
      </c>
      <c r="R746">
        <v>-0.98232870000000005</v>
      </c>
      <c r="S746">
        <v>-0.5903931</v>
      </c>
      <c r="T746">
        <v>-0.2104366</v>
      </c>
      <c r="U746">
        <v>-3.1740110000000001</v>
      </c>
      <c r="V746">
        <v>0.10712149999999999</v>
      </c>
      <c r="W746">
        <v>0.14030960000000001</v>
      </c>
      <c r="X746">
        <v>0.98429580000000005</v>
      </c>
      <c r="Y746">
        <v>0.41046909999999998</v>
      </c>
      <c r="Z746">
        <v>5.9876390000000002E-2</v>
      </c>
      <c r="AA746">
        <v>0.90990660000000001</v>
      </c>
      <c r="AB746">
        <v>43</v>
      </c>
      <c r="AC746">
        <v>-3.12959999999998</v>
      </c>
      <c r="AD746">
        <v>-1.0905635805739999</v>
      </c>
      <c r="AE746">
        <v>-16.171900000000001</v>
      </c>
      <c r="AF746">
        <v>6.8458543216134498</v>
      </c>
      <c r="AG746">
        <v>-1.0905635805739999</v>
      </c>
      <c r="AH746">
        <v>14.9028827944983</v>
      </c>
      <c r="AI746">
        <v>93.804429466287004</v>
      </c>
      <c r="AJ746">
        <v>65.327632522711994</v>
      </c>
      <c r="AK746">
        <v>16.436269829331099</v>
      </c>
      <c r="AL746">
        <v>81.934238232460402</v>
      </c>
      <c r="AM746">
        <v>83.788910695797995</v>
      </c>
      <c r="AN746">
        <v>1.0000000107560201</v>
      </c>
    </row>
    <row r="747" spans="1:40" x14ac:dyDescent="0.3">
      <c r="A747" t="str">
        <f>"20200111150736407"</f>
        <v>20200111150736407</v>
      </c>
      <c r="B747" t="str">
        <f>"1578726456401807"</f>
        <v>1578726456401807</v>
      </c>
      <c r="C747" t="s">
        <v>40</v>
      </c>
      <c r="D747">
        <v>5.4583560000000002</v>
      </c>
      <c r="E747">
        <v>0.59927839999999999</v>
      </c>
      <c r="F747" t="s">
        <v>43</v>
      </c>
      <c r="G747">
        <v>-188.45079999999999</v>
      </c>
      <c r="H747" s="1">
        <v>-3.7231E-6</v>
      </c>
      <c r="I747">
        <v>327.67079999999999</v>
      </c>
      <c r="J747">
        <v>-185.3586</v>
      </c>
      <c r="K747">
        <v>1.0905739999999999</v>
      </c>
      <c r="L747">
        <v>343.21280000000002</v>
      </c>
      <c r="M747">
        <v>0.2240549</v>
      </c>
      <c r="N747">
        <v>0</v>
      </c>
      <c r="O747">
        <v>-0.97442740000000005</v>
      </c>
      <c r="P747">
        <v>0.12443360000000001</v>
      </c>
      <c r="Q747">
        <v>0.12808900000000001</v>
      </c>
      <c r="R747">
        <v>-0.98392579999999996</v>
      </c>
      <c r="S747">
        <v>-0.59936519999999904</v>
      </c>
      <c r="T747">
        <v>-0.21726029999999999</v>
      </c>
      <c r="U747">
        <v>-3.165527</v>
      </c>
      <c r="V747">
        <v>0.10576099999999999</v>
      </c>
      <c r="W747">
        <v>0.14019909999999999</v>
      </c>
      <c r="X747">
        <v>0.98445859999999996</v>
      </c>
      <c r="Y747">
        <v>0.40108729999999998</v>
      </c>
      <c r="Z747">
        <v>6.2415480000000002E-2</v>
      </c>
      <c r="AA747">
        <v>0.91391100000000003</v>
      </c>
      <c r="AB747">
        <v>43</v>
      </c>
      <c r="AC747">
        <v>-3.0921999999999898</v>
      </c>
      <c r="AD747">
        <v>-1.0905777231</v>
      </c>
      <c r="AE747">
        <v>-15.542</v>
      </c>
      <c r="AF747">
        <v>6.4657062246147703</v>
      </c>
      <c r="AG747">
        <v>-1.0905777231</v>
      </c>
      <c r="AH747">
        <v>14.385693648203601</v>
      </c>
      <c r="AI747">
        <v>93.955522778938303</v>
      </c>
      <c r="AJ747">
        <v>65.798279779328794</v>
      </c>
      <c r="AK747">
        <v>15.8095824895254</v>
      </c>
      <c r="AL747">
        <v>81.940632176585595</v>
      </c>
      <c r="AM747">
        <v>83.868196327838405</v>
      </c>
      <c r="AN747">
        <v>0.99999995593788404</v>
      </c>
    </row>
    <row r="748" spans="1:40" x14ac:dyDescent="0.3">
      <c r="A748" t="str">
        <f>"20200111150736433"</f>
        <v>20200111150736433</v>
      </c>
      <c r="B748" t="str">
        <f>"1578726456421453"</f>
        <v>1578726456421453</v>
      </c>
      <c r="C748" t="s">
        <v>40</v>
      </c>
      <c r="D748">
        <v>5.4864889999999997</v>
      </c>
      <c r="E748">
        <v>0.59559640000000003</v>
      </c>
      <c r="F748" t="s">
        <v>43</v>
      </c>
      <c r="G748">
        <v>-187.2587</v>
      </c>
      <c r="H748" s="1">
        <v>-8.711204E-7</v>
      </c>
      <c r="I748">
        <v>330.06450000000001</v>
      </c>
      <c r="J748">
        <v>-185.25020000000001</v>
      </c>
      <c r="K748">
        <v>1.090587</v>
      </c>
      <c r="L748">
        <v>342.72629999999998</v>
      </c>
      <c r="M748">
        <v>0.20569209999999999</v>
      </c>
      <c r="N748">
        <v>0</v>
      </c>
      <c r="O748">
        <v>-0.97846809999999995</v>
      </c>
      <c r="P748">
        <v>0.1069913</v>
      </c>
      <c r="Q748">
        <v>0.12826569999999901</v>
      </c>
      <c r="R748">
        <v>-0.98595180000000004</v>
      </c>
      <c r="S748">
        <v>-0.45379639999999999</v>
      </c>
      <c r="T748">
        <v>-0.2604687</v>
      </c>
      <c r="U748">
        <v>-3.1402890000000001</v>
      </c>
      <c r="V748">
        <v>0.1046811</v>
      </c>
      <c r="W748">
        <v>0.14042479999999999</v>
      </c>
      <c r="X748">
        <v>0.98454189999999997</v>
      </c>
      <c r="Y748">
        <v>0.34311439999999999</v>
      </c>
      <c r="Z748">
        <v>7.7089260000000007E-2</v>
      </c>
      <c r="AA748">
        <v>0.93612490000000004</v>
      </c>
      <c r="AB748">
        <v>43</v>
      </c>
      <c r="AC748">
        <v>-2.00849999999999</v>
      </c>
      <c r="AD748">
        <v>-1.0905878711204</v>
      </c>
      <c r="AE748">
        <v>-12.6617999999999</v>
      </c>
      <c r="AF748">
        <v>4.5375138886696096</v>
      </c>
      <c r="AG748">
        <v>-1.0905878711204</v>
      </c>
      <c r="AH748">
        <v>11.8917210659144</v>
      </c>
      <c r="AI748">
        <v>94.897377261300704</v>
      </c>
      <c r="AJ748">
        <v>69.114688587321893</v>
      </c>
      <c r="AK748">
        <v>12.774640664379399</v>
      </c>
      <c r="AL748">
        <v>81.927571710647996</v>
      </c>
      <c r="AM748">
        <v>83.930846645708897</v>
      </c>
      <c r="AN748">
        <v>1.0000000050039299</v>
      </c>
    </row>
    <row r="749" spans="1:40" x14ac:dyDescent="0.3">
      <c r="A749" t="str">
        <f>"20200111150736455"</f>
        <v>20200111150736455</v>
      </c>
      <c r="B749" t="str">
        <f>"1578726456451710"</f>
        <v>1578726456451710</v>
      </c>
      <c r="C749" t="s">
        <v>40</v>
      </c>
      <c r="D749">
        <v>5.4615119999999999</v>
      </c>
      <c r="E749">
        <v>0.59250019999999903</v>
      </c>
      <c r="F749" t="s">
        <v>43</v>
      </c>
      <c r="G749">
        <v>-187.18870000000001</v>
      </c>
      <c r="H749" s="1">
        <v>-9.0060850000000003E-7</v>
      </c>
      <c r="I749">
        <v>330.09649999999999</v>
      </c>
      <c r="J749">
        <v>-185.16300000000001</v>
      </c>
      <c r="K749">
        <v>1.0906020000000001</v>
      </c>
      <c r="L749">
        <v>342.30040000000002</v>
      </c>
      <c r="M749">
        <v>0.1895616</v>
      </c>
      <c r="N749">
        <v>0</v>
      </c>
      <c r="O749">
        <v>-0.98172099999999995</v>
      </c>
      <c r="P749">
        <v>9.238673E-2</v>
      </c>
      <c r="Q749">
        <v>0.12979779999999999</v>
      </c>
      <c r="R749">
        <v>-0.98722710000000002</v>
      </c>
      <c r="S749">
        <v>-0.48042299999999899</v>
      </c>
      <c r="T749">
        <v>-0.27027649999999998</v>
      </c>
      <c r="U749">
        <v>-3.1300050000000001</v>
      </c>
      <c r="V749">
        <v>0.1030784</v>
      </c>
      <c r="W749">
        <v>0.14202979999999901</v>
      </c>
      <c r="X749">
        <v>0.98448080000000004</v>
      </c>
      <c r="Y749">
        <v>0.33583190000000002</v>
      </c>
      <c r="Z749">
        <v>8.0711450000000004E-2</v>
      </c>
      <c r="AA749">
        <v>0.93845749999999994</v>
      </c>
      <c r="AB749">
        <v>43</v>
      </c>
      <c r="AC749">
        <v>-2.02570000000002</v>
      </c>
      <c r="AD749">
        <v>-1.0906029006084901</v>
      </c>
      <c r="AE749">
        <v>-12.203900000000001</v>
      </c>
      <c r="AF749">
        <v>4.26950502426575</v>
      </c>
      <c r="AG749">
        <v>-1.0906029006084901</v>
      </c>
      <c r="AH749">
        <v>11.5090651625242</v>
      </c>
      <c r="AI749">
        <v>95.077059388582896</v>
      </c>
      <c r="AJ749">
        <v>69.646713485162707</v>
      </c>
      <c r="AK749">
        <v>12.3238252484476</v>
      </c>
      <c r="AL749">
        <v>81.834681179455799</v>
      </c>
      <c r="AM749">
        <v>84.022721189531396</v>
      </c>
      <c r="AN749">
        <v>1.0000000331016099</v>
      </c>
    </row>
    <row r="750" spans="1:40" x14ac:dyDescent="0.3">
      <c r="A750" t="str">
        <f>"20200111150736478"</f>
        <v>20200111150736478</v>
      </c>
      <c r="B750" t="str">
        <f>"1578726456471229"</f>
        <v>1578726456471229</v>
      </c>
      <c r="C750" t="s">
        <v>40</v>
      </c>
      <c r="D750">
        <v>5.4420210000000004</v>
      </c>
      <c r="E750">
        <v>0.59090050000000005</v>
      </c>
      <c r="F750" t="s">
        <v>43</v>
      </c>
      <c r="G750">
        <v>-187.20529999999999</v>
      </c>
      <c r="H750" s="1">
        <v>-4.7738690000000004E-6</v>
      </c>
      <c r="I750">
        <v>329.60520000000002</v>
      </c>
      <c r="J750">
        <v>-185.08449999999999</v>
      </c>
      <c r="K750">
        <v>1.090611</v>
      </c>
      <c r="L750">
        <v>341.88249999999999</v>
      </c>
      <c r="M750">
        <v>0.1736808</v>
      </c>
      <c r="N750">
        <v>0</v>
      </c>
      <c r="O750">
        <v>-0.98465440000000004</v>
      </c>
      <c r="P750">
        <v>7.81863E-2</v>
      </c>
      <c r="Q750">
        <v>0.12988419999999901</v>
      </c>
      <c r="R750">
        <v>-0.98844140000000003</v>
      </c>
      <c r="S750">
        <v>-0.5020905</v>
      </c>
      <c r="T750">
        <v>-0.26812049999999998</v>
      </c>
      <c r="U750">
        <v>-3.1210629999999999</v>
      </c>
      <c r="V750">
        <v>0.10132670000000001</v>
      </c>
      <c r="W750">
        <v>0.1421973</v>
      </c>
      <c r="X750">
        <v>0.98463840000000002</v>
      </c>
      <c r="Y750">
        <v>0.327372099999999</v>
      </c>
      <c r="Z750">
        <v>8.0757200000000001E-2</v>
      </c>
      <c r="AA750">
        <v>0.94143810000000006</v>
      </c>
      <c r="AB750">
        <v>42</v>
      </c>
      <c r="AC750">
        <v>-2.1208</v>
      </c>
      <c r="AD750">
        <v>-1.0906157738689899</v>
      </c>
      <c r="AE750">
        <v>-12.277299999999901</v>
      </c>
      <c r="AF750">
        <v>4.1891010985501502</v>
      </c>
      <c r="AG750">
        <v>-1.0906157738689899</v>
      </c>
      <c r="AH750">
        <v>11.6331208135403</v>
      </c>
      <c r="AI750">
        <v>95.040797773548306</v>
      </c>
      <c r="AJ750">
        <v>70.195989270433699</v>
      </c>
      <c r="AK750">
        <v>12.4123934292509</v>
      </c>
      <c r="AL750">
        <v>81.824985257355195</v>
      </c>
      <c r="AM750">
        <v>84.124515313645801</v>
      </c>
      <c r="AN750">
        <v>0.99999997550736897</v>
      </c>
    </row>
    <row r="751" spans="1:40" x14ac:dyDescent="0.3">
      <c r="A751" t="str">
        <f>"20200111150736500"</f>
        <v>20200111150736500</v>
      </c>
      <c r="B751" t="str">
        <f>"1578726456491725"</f>
        <v>1578726456491725</v>
      </c>
      <c r="C751" t="s">
        <v>40</v>
      </c>
      <c r="D751">
        <v>5.4883610000000003</v>
      </c>
      <c r="E751">
        <v>0.58984389999999998</v>
      </c>
      <c r="F751" t="s">
        <v>43</v>
      </c>
      <c r="G751">
        <v>-187.2833</v>
      </c>
      <c r="H751" s="1">
        <v>-4.5312069999999999E-6</v>
      </c>
      <c r="I751">
        <v>329.0718</v>
      </c>
      <c r="J751">
        <v>-185.01300000000001</v>
      </c>
      <c r="K751">
        <v>1.090611</v>
      </c>
      <c r="L751">
        <v>341.46370000000002</v>
      </c>
      <c r="M751">
        <v>0.15772059999999999</v>
      </c>
      <c r="N751">
        <v>0</v>
      </c>
      <c r="O751">
        <v>-0.98733660000000001</v>
      </c>
      <c r="P751">
        <v>6.3718150000000001E-2</v>
      </c>
      <c r="Q751">
        <v>0.1292826</v>
      </c>
      <c r="R751">
        <v>-0.98955820000000005</v>
      </c>
      <c r="S751">
        <v>-0.53416439999999998</v>
      </c>
      <c r="T751">
        <v>-0.26494869999999998</v>
      </c>
      <c r="U751">
        <v>-3.112152</v>
      </c>
      <c r="V751">
        <v>9.9774489999999993E-2</v>
      </c>
      <c r="W751">
        <v>0.14166870000000001</v>
      </c>
      <c r="X751">
        <v>0.98487309999999995</v>
      </c>
      <c r="Y751">
        <v>0.32194780000000001</v>
      </c>
      <c r="Z751">
        <v>8.0384629999999999E-2</v>
      </c>
      <c r="AA751">
        <v>0.94333869999999997</v>
      </c>
      <c r="AB751">
        <v>42</v>
      </c>
      <c r="AC751">
        <v>-2.27029999999999</v>
      </c>
      <c r="AD751">
        <v>-1.0906155312070001</v>
      </c>
      <c r="AE751">
        <v>-12.3919</v>
      </c>
      <c r="AF751">
        <v>4.1654014410595197</v>
      </c>
      <c r="AG751">
        <v>-1.0906155312070001</v>
      </c>
      <c r="AH751">
        <v>11.790270198252299</v>
      </c>
      <c r="AI751">
        <v>94.984624161441403</v>
      </c>
      <c r="AJ751">
        <v>70.542121909398404</v>
      </c>
      <c r="AK751">
        <v>12.551911517768399</v>
      </c>
      <c r="AL751">
        <v>81.8555817264712</v>
      </c>
      <c r="AM751">
        <v>84.215275184737607</v>
      </c>
      <c r="AN751">
        <v>0.99999999625903002</v>
      </c>
    </row>
    <row r="752" spans="1:40" x14ac:dyDescent="0.3">
      <c r="A752" t="str">
        <f>"20200111150736522"</f>
        <v>20200111150736522</v>
      </c>
      <c r="B752" t="str">
        <f>"1578726456511245"</f>
        <v>1578726456511245</v>
      </c>
      <c r="C752" t="s">
        <v>40</v>
      </c>
      <c r="D752">
        <v>5.516089</v>
      </c>
      <c r="E752">
        <v>0.57581340000000003</v>
      </c>
      <c r="F752" t="s">
        <v>43</v>
      </c>
      <c r="G752">
        <v>-187.34729999999999</v>
      </c>
      <c r="H752" s="1">
        <v>-4.3913090000000002E-6</v>
      </c>
      <c r="I752">
        <v>328.7722</v>
      </c>
      <c r="J752">
        <v>-184.947</v>
      </c>
      <c r="K752">
        <v>1.0906199999999999</v>
      </c>
      <c r="L752">
        <v>341.0308</v>
      </c>
      <c r="M752">
        <v>0.1411695</v>
      </c>
      <c r="N752">
        <v>0</v>
      </c>
      <c r="O752">
        <v>-0.98983869999999896</v>
      </c>
      <c r="P752">
        <v>4.952819E-2</v>
      </c>
      <c r="Q752">
        <v>0.12851000000000001</v>
      </c>
      <c r="R752">
        <v>-0.99047079999999998</v>
      </c>
      <c r="S752">
        <v>-0.57078549999999995</v>
      </c>
      <c r="T752">
        <v>-0.26667030000000003</v>
      </c>
      <c r="U752">
        <v>-3.1032410000000001</v>
      </c>
      <c r="V752">
        <v>9.737643E-2</v>
      </c>
      <c r="W752">
        <v>0.14100879999999999</v>
      </c>
      <c r="X752">
        <v>0.98520779999999997</v>
      </c>
      <c r="Y752">
        <v>0.31732640000000001</v>
      </c>
      <c r="Z752">
        <v>8.1434240000000005E-2</v>
      </c>
      <c r="AA752">
        <v>0.94481340000000003</v>
      </c>
      <c r="AB752">
        <v>42</v>
      </c>
      <c r="AC752">
        <v>-2.4002999999999801</v>
      </c>
      <c r="AD752">
        <v>-1.0906243913089999</v>
      </c>
      <c r="AE752">
        <v>-12.258599999999999</v>
      </c>
      <c r="AF752">
        <v>4.0759755030636997</v>
      </c>
      <c r="AG752">
        <v>-1.0906243913089999</v>
      </c>
      <c r="AH752">
        <v>11.7076531700817</v>
      </c>
      <c r="AI752">
        <v>95.0276914985931</v>
      </c>
      <c r="AJ752">
        <v>70.8046295927237</v>
      </c>
      <c r="AK752">
        <v>12.444765189244</v>
      </c>
      <c r="AL752">
        <v>81.893774894858794</v>
      </c>
      <c r="AM752">
        <v>84.355306351597903</v>
      </c>
      <c r="AN752">
        <v>1.00000002998891</v>
      </c>
    </row>
    <row r="753" spans="1:40" x14ac:dyDescent="0.3">
      <c r="A753" t="str">
        <f>"20200111150736542"</f>
        <v>20200111150736542</v>
      </c>
      <c r="B753" t="str">
        <f>"1578726456531741"</f>
        <v>1578726456531741</v>
      </c>
      <c r="C753" t="s">
        <v>40</v>
      </c>
      <c r="D753">
        <v>5.5371449999999998</v>
      </c>
      <c r="E753">
        <v>0.57299630000000001</v>
      </c>
      <c r="F753" t="s">
        <v>43</v>
      </c>
      <c r="G753">
        <v>-187.0239</v>
      </c>
      <c r="H753" s="1">
        <v>-4.2393329999999997E-6</v>
      </c>
      <c r="I753">
        <v>328.2842</v>
      </c>
      <c r="J753">
        <v>-184.89400000000001</v>
      </c>
      <c r="K753">
        <v>1.0906359999999999</v>
      </c>
      <c r="L753">
        <v>340.64319999999998</v>
      </c>
      <c r="M753">
        <v>0.1263068</v>
      </c>
      <c r="N753">
        <v>0</v>
      </c>
      <c r="O753">
        <v>-0.99184490000000003</v>
      </c>
      <c r="P753">
        <v>3.7566259999999997E-2</v>
      </c>
      <c r="Q753">
        <v>0.1289575</v>
      </c>
      <c r="R753">
        <v>-0.99093810000000004</v>
      </c>
      <c r="S753">
        <v>-0.50320429999999905</v>
      </c>
      <c r="T753">
        <v>-0.26424309999999901</v>
      </c>
      <c r="U753">
        <v>-3.0883180000000001</v>
      </c>
      <c r="V753">
        <v>9.4500959999999995E-2</v>
      </c>
      <c r="W753">
        <v>0.141591299999999</v>
      </c>
      <c r="X753">
        <v>0.98540419999999995</v>
      </c>
      <c r="Y753">
        <v>0.28365570000000001</v>
      </c>
      <c r="Z753">
        <v>8.1935259999999996E-2</v>
      </c>
      <c r="AA753">
        <v>0.95541929999999997</v>
      </c>
      <c r="AB753">
        <v>42</v>
      </c>
      <c r="AC753">
        <v>-2.1298999999999899</v>
      </c>
      <c r="AD753">
        <v>-1.0906402393329999</v>
      </c>
      <c r="AE753">
        <v>-12.358999999999901</v>
      </c>
      <c r="AF753">
        <v>3.64651146332249</v>
      </c>
      <c r="AG753">
        <v>-1.0906402393329999</v>
      </c>
      <c r="AH753">
        <v>11.9009258154205</v>
      </c>
      <c r="AI753">
        <v>95.007603094676199</v>
      </c>
      <c r="AJ753">
        <v>72.9646371960349</v>
      </c>
      <c r="AK753">
        <v>12.494741984048201</v>
      </c>
      <c r="AL753">
        <v>81.860061465695296</v>
      </c>
      <c r="AM753">
        <v>84.522046695847607</v>
      </c>
      <c r="AN753">
        <v>0.99999998252712496</v>
      </c>
    </row>
    <row r="754" spans="1:40" x14ac:dyDescent="0.3">
      <c r="A754" t="str">
        <f>"20200111150736566"</f>
        <v>20200111150736566</v>
      </c>
      <c r="B754" t="str">
        <f>"1578726456561997"</f>
        <v>1578726456561997</v>
      </c>
      <c r="C754" t="s">
        <v>40</v>
      </c>
      <c r="D754">
        <v>5.5481420000000004</v>
      </c>
      <c r="E754">
        <v>0.57056929999999995</v>
      </c>
      <c r="F754" t="s">
        <v>43</v>
      </c>
      <c r="G754">
        <v>-186.8903</v>
      </c>
      <c r="H754" s="1">
        <v>-4.4831999999999997E-6</v>
      </c>
      <c r="I754">
        <v>328.79739999999998</v>
      </c>
      <c r="J754">
        <v>-184.8416</v>
      </c>
      <c r="K754">
        <v>1.090649</v>
      </c>
      <c r="L754">
        <v>340.2063</v>
      </c>
      <c r="M754">
        <v>0.109503</v>
      </c>
      <c r="N754">
        <v>0</v>
      </c>
      <c r="O754">
        <v>-0.99384050000000002</v>
      </c>
      <c r="P754">
        <v>2.3934319999999999E-2</v>
      </c>
      <c r="Q754">
        <v>0.1298253</v>
      </c>
      <c r="R754">
        <v>-0.99124809999999997</v>
      </c>
      <c r="S754">
        <v>-0.51974489999999995</v>
      </c>
      <c r="T754">
        <v>-0.2839546</v>
      </c>
      <c r="U754">
        <v>-3.0841059999999998</v>
      </c>
      <c r="V754">
        <v>9.1396939999999996E-2</v>
      </c>
      <c r="W754">
        <v>0.142602799999999</v>
      </c>
      <c r="X754">
        <v>0.98555110000000001</v>
      </c>
      <c r="Y754">
        <v>0.27251249999999999</v>
      </c>
      <c r="Z754">
        <v>8.849841E-2</v>
      </c>
      <c r="AA754">
        <v>0.95807359999999997</v>
      </c>
      <c r="AB754">
        <v>42</v>
      </c>
      <c r="AC754">
        <v>-2.04869999999999</v>
      </c>
      <c r="AD754">
        <v>-1.0906534832000001</v>
      </c>
      <c r="AE754">
        <v>-11.408899999999999</v>
      </c>
      <c r="AF754">
        <v>3.2570312146566498</v>
      </c>
      <c r="AG754">
        <v>-1.0906534832000001</v>
      </c>
      <c r="AH754">
        <v>11.0183525619086</v>
      </c>
      <c r="AI754">
        <v>95.422540206545705</v>
      </c>
      <c r="AJ754">
        <v>73.532291012574305</v>
      </c>
      <c r="AK754">
        <v>11.541311473666299</v>
      </c>
      <c r="AL754">
        <v>81.801512525600003</v>
      </c>
      <c r="AM754">
        <v>84.701721777612093</v>
      </c>
      <c r="AN754">
        <v>0.99999996496020604</v>
      </c>
    </row>
    <row r="755" spans="1:40" x14ac:dyDescent="0.3">
      <c r="A755" t="str">
        <f>"20200111150736586"</f>
        <v>20200111150736586</v>
      </c>
      <c r="B755" t="str">
        <f>"1578726456581517"</f>
        <v>1578726456581517</v>
      </c>
      <c r="C755" t="s">
        <v>40</v>
      </c>
      <c r="D755">
        <v>5.5272620000000003</v>
      </c>
      <c r="E755">
        <v>0.56739269999999997</v>
      </c>
      <c r="F755" t="s">
        <v>43</v>
      </c>
      <c r="G755">
        <v>-186.90969999999999</v>
      </c>
      <c r="H755" s="1">
        <v>-4.3411849999999998E-6</v>
      </c>
      <c r="I755">
        <v>328.4744</v>
      </c>
      <c r="J755">
        <v>-184.80070000000001</v>
      </c>
      <c r="K755">
        <v>1.090662</v>
      </c>
      <c r="L755">
        <v>339.81119999999999</v>
      </c>
      <c r="M755">
        <v>9.4259259999999997E-2</v>
      </c>
      <c r="N755">
        <v>0</v>
      </c>
      <c r="O755">
        <v>-0.99540220000000001</v>
      </c>
      <c r="P755">
        <v>1.5186440000000001E-2</v>
      </c>
      <c r="Q755">
        <v>0.1310192</v>
      </c>
      <c r="R755">
        <v>-0.99126389999999998</v>
      </c>
      <c r="S755">
        <v>-0.542404199999999</v>
      </c>
      <c r="T755">
        <v>-0.28605750000000002</v>
      </c>
      <c r="U755">
        <v>-3.0770569999999999</v>
      </c>
      <c r="V755">
        <v>8.5017200000000001E-2</v>
      </c>
      <c r="W755">
        <v>0.14409449999999999</v>
      </c>
      <c r="X755">
        <v>0.98590509999999998</v>
      </c>
      <c r="Y755">
        <v>0.2649572</v>
      </c>
      <c r="Z755">
        <v>8.9605669999999998E-2</v>
      </c>
      <c r="AA755">
        <v>0.96008780000000005</v>
      </c>
      <c r="AB755">
        <v>42</v>
      </c>
      <c r="AC755">
        <v>-2.10899999999998</v>
      </c>
      <c r="AD755">
        <v>-1.0906663411849999</v>
      </c>
      <c r="AE755">
        <v>-11.336799999999901</v>
      </c>
      <c r="AF755">
        <v>3.1402677892972202</v>
      </c>
      <c r="AG755">
        <v>-1.0906663411849999</v>
      </c>
      <c r="AH755">
        <v>10.9891799432867</v>
      </c>
      <c r="AI755">
        <v>95.451185480936005</v>
      </c>
      <c r="AJ755">
        <v>74.0521838785548</v>
      </c>
      <c r="AK755">
        <v>11.480980388548099</v>
      </c>
      <c r="AL755">
        <v>81.715152851644206</v>
      </c>
      <c r="AM755">
        <v>85.071425920124497</v>
      </c>
      <c r="AN755">
        <v>1.00000000771604</v>
      </c>
    </row>
    <row r="756" spans="1:40" x14ac:dyDescent="0.3">
      <c r="A756" t="str">
        <f>"20200111150736609"</f>
        <v>20200111150736609</v>
      </c>
      <c r="B756" t="str">
        <f>"1578726456602013"</f>
        <v>1578726456602013</v>
      </c>
      <c r="C756" t="s">
        <v>40</v>
      </c>
      <c r="D756">
        <v>5.4594690000000003</v>
      </c>
      <c r="E756">
        <v>0.56577819999999901</v>
      </c>
      <c r="F756" t="s">
        <v>43</v>
      </c>
      <c r="G756">
        <v>-186.8937</v>
      </c>
      <c r="H756" s="1">
        <v>-4.1340609999999999E-6</v>
      </c>
      <c r="I756">
        <v>327.98500000000001</v>
      </c>
      <c r="J756">
        <v>-184.76339999999999</v>
      </c>
      <c r="K756">
        <v>1.090668</v>
      </c>
      <c r="L756">
        <v>339.3843</v>
      </c>
      <c r="M756">
        <v>7.7747079999999996E-2</v>
      </c>
      <c r="N756">
        <v>0</v>
      </c>
      <c r="O756">
        <v>-0.99682769999999998</v>
      </c>
      <c r="P756">
        <v>3.4277449999999998E-3</v>
      </c>
      <c r="Q756">
        <v>0.13048390000000001</v>
      </c>
      <c r="R756">
        <v>-0.99144460000000001</v>
      </c>
      <c r="S756">
        <v>-0.54373169999999904</v>
      </c>
      <c r="T756">
        <v>-0.28333580000000003</v>
      </c>
      <c r="U756">
        <v>-3.072235</v>
      </c>
      <c r="V756">
        <v>8.0340969999999998E-2</v>
      </c>
      <c r="W756">
        <v>0.14377879999999901</v>
      </c>
      <c r="X756">
        <v>0.98634330000000003</v>
      </c>
      <c r="Y756">
        <v>0.2496119</v>
      </c>
      <c r="Z756">
        <v>8.9274800000000001E-2</v>
      </c>
      <c r="AA756">
        <v>0.96422189999999997</v>
      </c>
      <c r="AB756">
        <v>42</v>
      </c>
      <c r="AC756">
        <v>-2.1303000000000001</v>
      </c>
      <c r="AD756">
        <v>-1.0906721340609999</v>
      </c>
      <c r="AE756">
        <v>-11.399299999999901</v>
      </c>
      <c r="AF756">
        <v>2.9838470556153398</v>
      </c>
      <c r="AG756">
        <v>-1.0906721340609999</v>
      </c>
      <c r="AH756">
        <v>11.1009433242416</v>
      </c>
      <c r="AI756">
        <v>95.420144568790903</v>
      </c>
      <c r="AJ756">
        <v>74.954943894890206</v>
      </c>
      <c r="AK756">
        <v>11.546594807273101</v>
      </c>
      <c r="AL756">
        <v>81.733431902393207</v>
      </c>
      <c r="AM756">
        <v>85.343346849693006</v>
      </c>
      <c r="AN756">
        <v>1.0000000601224299</v>
      </c>
    </row>
    <row r="757" spans="1:40" x14ac:dyDescent="0.3">
      <c r="A757" t="str">
        <f>"20200111150736632"</f>
        <v>20200111150736632</v>
      </c>
      <c r="B757" t="str">
        <f>"1578726456621533"</f>
        <v>1578726456621533</v>
      </c>
      <c r="C757" t="s">
        <v>40</v>
      </c>
      <c r="D757">
        <v>5.5730779999999998</v>
      </c>
      <c r="E757">
        <v>0.56340829999999997</v>
      </c>
      <c r="F757" t="s">
        <v>43</v>
      </c>
      <c r="G757">
        <v>-186.99799999999999</v>
      </c>
      <c r="H757" s="1">
        <v>-3.8373230000000001E-6</v>
      </c>
      <c r="I757">
        <v>327.33640000000003</v>
      </c>
      <c r="J757">
        <v>-184.7328</v>
      </c>
      <c r="K757">
        <v>1.0906690000000001</v>
      </c>
      <c r="L757">
        <v>338.95170000000002</v>
      </c>
      <c r="M757">
        <v>6.0954510000000003E-2</v>
      </c>
      <c r="N757">
        <v>0</v>
      </c>
      <c r="O757">
        <v>-0.99799530000000003</v>
      </c>
      <c r="P757">
        <v>-8.0418069999999998E-3</v>
      </c>
      <c r="Q757">
        <v>0.13009780000000001</v>
      </c>
      <c r="R757">
        <v>-0.99146849999999997</v>
      </c>
      <c r="S757">
        <v>-0.56835939999999996</v>
      </c>
      <c r="T757">
        <v>-0.27740900000000002</v>
      </c>
      <c r="U757">
        <v>-3.064362</v>
      </c>
      <c r="V757">
        <v>7.5121069999999998E-2</v>
      </c>
      <c r="W757">
        <v>0.14363719999999999</v>
      </c>
      <c r="X757">
        <v>0.98677519999999996</v>
      </c>
      <c r="Y757">
        <v>0.2412561</v>
      </c>
      <c r="Z757">
        <v>8.7831610000000004E-2</v>
      </c>
      <c r="AA757">
        <v>0.96647870000000002</v>
      </c>
      <c r="AB757">
        <v>42</v>
      </c>
      <c r="AC757">
        <v>-2.2651999999999899</v>
      </c>
      <c r="AD757">
        <v>-1.0906728373229999</v>
      </c>
      <c r="AE757">
        <v>-11.6152999999999</v>
      </c>
      <c r="AF757">
        <v>2.9440869541772199</v>
      </c>
      <c r="AG757">
        <v>-1.0906728373229999</v>
      </c>
      <c r="AH757">
        <v>11.3591159807232</v>
      </c>
      <c r="AI757">
        <v>95.310172930415305</v>
      </c>
      <c r="AJ757">
        <v>75.469652388320895</v>
      </c>
      <c r="AK757">
        <v>11.7850214719937</v>
      </c>
      <c r="AL757">
        <v>81.741630061436993</v>
      </c>
      <c r="AM757">
        <v>85.646592772682595</v>
      </c>
      <c r="AN757">
        <v>1.0000000578584101</v>
      </c>
    </row>
    <row r="758" spans="1:40" x14ac:dyDescent="0.3">
      <c r="A758" t="str">
        <f>"20200111150736654"</f>
        <v>20200111150736654</v>
      </c>
      <c r="B758" t="str">
        <f>"1578726456651789"</f>
        <v>1578726456651789</v>
      </c>
      <c r="C758" t="s">
        <v>40</v>
      </c>
      <c r="D758">
        <v>5.4699960000000001</v>
      </c>
      <c r="E758">
        <v>0.56002879999999999</v>
      </c>
      <c r="F758" t="s">
        <v>43</v>
      </c>
      <c r="G758">
        <v>-187.0308</v>
      </c>
      <c r="H758" s="1">
        <v>-3.6743589999999998E-6</v>
      </c>
      <c r="I758">
        <v>326.9701</v>
      </c>
      <c r="J758">
        <v>-184.7099</v>
      </c>
      <c r="K758">
        <v>1.0906720000000001</v>
      </c>
      <c r="L758">
        <v>338.52609999999999</v>
      </c>
      <c r="M758">
        <v>4.4394879999999998E-2</v>
      </c>
      <c r="N758">
        <v>0</v>
      </c>
      <c r="O758">
        <v>-0.99886909999999896</v>
      </c>
      <c r="P758">
        <v>-1.9958500000000001E-2</v>
      </c>
      <c r="Q758">
        <v>0.13017580000000001</v>
      </c>
      <c r="R758">
        <v>-0.99129009999999995</v>
      </c>
      <c r="S758">
        <v>-0.58644099999999999</v>
      </c>
      <c r="T758">
        <v>-0.27833269999999999</v>
      </c>
      <c r="U758">
        <v>-3.057617</v>
      </c>
      <c r="V758">
        <v>7.0610339999999994E-2</v>
      </c>
      <c r="W758">
        <v>0.1439251</v>
      </c>
      <c r="X758">
        <v>0.9870662</v>
      </c>
      <c r="Y758">
        <v>0.2310421</v>
      </c>
      <c r="Z758">
        <v>8.8493279999999994E-2</v>
      </c>
      <c r="AA758">
        <v>0.96891099999999997</v>
      </c>
      <c r="AB758">
        <v>42</v>
      </c>
      <c r="AC758">
        <v>-2.3208999999999902</v>
      </c>
      <c r="AD758">
        <v>-1.09067567435899</v>
      </c>
      <c r="AE758">
        <v>-11.5559999999999</v>
      </c>
      <c r="AF758">
        <v>2.8076718226522801</v>
      </c>
      <c r="AG758">
        <v>-1.09067567435899</v>
      </c>
      <c r="AH758">
        <v>11.3444152347314</v>
      </c>
      <c r="AI758">
        <v>95.331758983126406</v>
      </c>
      <c r="AJ758">
        <v>76.098986875786807</v>
      </c>
      <c r="AK758">
        <v>11.737476368809499</v>
      </c>
      <c r="AL758">
        <v>81.724960670298998</v>
      </c>
      <c r="AM758">
        <v>85.908284006884799</v>
      </c>
      <c r="AN758">
        <v>0.99999996885368203</v>
      </c>
    </row>
    <row r="759" spans="1:40" x14ac:dyDescent="0.3">
      <c r="A759" t="str">
        <f>"20200111150736676"</f>
        <v>20200111150736676</v>
      </c>
      <c r="B759" t="str">
        <f>"1578726456671309"</f>
        <v>1578726456671309</v>
      </c>
      <c r="C759" t="s">
        <v>40</v>
      </c>
      <c r="D759">
        <v>5.4820840000000004</v>
      </c>
      <c r="E759">
        <v>0.55835269999999904</v>
      </c>
      <c r="F759" t="s">
        <v>43</v>
      </c>
      <c r="G759">
        <v>-186.99889999999999</v>
      </c>
      <c r="H759" s="1">
        <v>-3.604293E-6</v>
      </c>
      <c r="I759">
        <v>326.79360000000003</v>
      </c>
      <c r="J759">
        <v>-184.69470000000001</v>
      </c>
      <c r="K759">
        <v>1.0906769999999999</v>
      </c>
      <c r="L759">
        <v>338.11610000000002</v>
      </c>
      <c r="M759">
        <v>2.8401369999999999E-2</v>
      </c>
      <c r="N759">
        <v>0</v>
      </c>
      <c r="O759">
        <v>-0.9994516</v>
      </c>
      <c r="P759">
        <v>-3.0652720000000001E-2</v>
      </c>
      <c r="Q759">
        <v>0.13041510000000001</v>
      </c>
      <c r="R759">
        <v>-0.99098549999999996</v>
      </c>
      <c r="S759">
        <v>-0.5953522</v>
      </c>
      <c r="T759">
        <v>-0.28368330000000003</v>
      </c>
      <c r="U759">
        <v>-3.0516049999999999</v>
      </c>
      <c r="V759">
        <v>6.5460379999999999E-2</v>
      </c>
      <c r="W759">
        <v>0.14440359999999999</v>
      </c>
      <c r="X759">
        <v>0.98735130000000004</v>
      </c>
      <c r="Y759">
        <v>0.218499</v>
      </c>
      <c r="Z759">
        <v>9.0541800000000006E-2</v>
      </c>
      <c r="AA759">
        <v>0.97162769999999998</v>
      </c>
      <c r="AB759">
        <v>42</v>
      </c>
      <c r="AC759">
        <v>-2.3041999999999798</v>
      </c>
      <c r="AD759">
        <v>-1.090680604293</v>
      </c>
      <c r="AE759">
        <v>-11.3224999999999</v>
      </c>
      <c r="AF759">
        <v>2.6017096267389599</v>
      </c>
      <c r="AG759">
        <v>-1.090680604293</v>
      </c>
      <c r="AH759">
        <v>11.153103029557</v>
      </c>
      <c r="AI759">
        <v>95.440147643916006</v>
      </c>
      <c r="AJ759">
        <v>76.8692959299146</v>
      </c>
      <c r="AK759">
        <v>11.504355016704</v>
      </c>
      <c r="AL759">
        <v>81.697255693013901</v>
      </c>
      <c r="AM759">
        <v>86.2068995908636</v>
      </c>
      <c r="AN759">
        <v>1.0000000253271899</v>
      </c>
    </row>
    <row r="760" spans="1:40" x14ac:dyDescent="0.3">
      <c r="A760" t="str">
        <f>"20200111150736698"</f>
        <v>20200111150736698</v>
      </c>
      <c r="B760" t="str">
        <f>"1578726456691805"</f>
        <v>1578726456691805</v>
      </c>
      <c r="C760" t="s">
        <v>40</v>
      </c>
      <c r="D760">
        <v>5.4912850000000004</v>
      </c>
      <c r="E760">
        <v>0.55733659999999996</v>
      </c>
      <c r="F760" t="s">
        <v>43</v>
      </c>
      <c r="G760">
        <v>-187.03890000000001</v>
      </c>
      <c r="H760" s="1">
        <v>-3.45626E-6</v>
      </c>
      <c r="I760">
        <v>326.46499999999997</v>
      </c>
      <c r="J760">
        <v>-184.6858</v>
      </c>
      <c r="K760">
        <v>1.090673</v>
      </c>
      <c r="L760">
        <v>337.69639999999998</v>
      </c>
      <c r="M760">
        <v>1.198805E-2</v>
      </c>
      <c r="N760">
        <v>0</v>
      </c>
      <c r="O760">
        <v>-0.99978330000000004</v>
      </c>
      <c r="P760">
        <v>-4.1352939999999998E-2</v>
      </c>
      <c r="Q760">
        <v>0.12898959999999901</v>
      </c>
      <c r="R760">
        <v>-0.99078330000000003</v>
      </c>
      <c r="S760">
        <v>-0.61283869999999996</v>
      </c>
      <c r="T760">
        <v>-0.28513169999999999</v>
      </c>
      <c r="U760">
        <v>-3.0458980000000002</v>
      </c>
      <c r="V760">
        <v>5.9837099999999997E-2</v>
      </c>
      <c r="W760">
        <v>0.143239899999999</v>
      </c>
      <c r="X760">
        <v>0.98787740000000002</v>
      </c>
      <c r="Y760">
        <v>0.20816460000000001</v>
      </c>
      <c r="Z760">
        <v>9.1266420000000001E-2</v>
      </c>
      <c r="AA760">
        <v>0.97382639999999998</v>
      </c>
      <c r="AB760">
        <v>42</v>
      </c>
      <c r="AC760">
        <v>-2.3531000000000102</v>
      </c>
      <c r="AD760">
        <v>-1.09067645626</v>
      </c>
      <c r="AE760">
        <v>-11.231400000000001</v>
      </c>
      <c r="AF760">
        <v>2.4653218818080198</v>
      </c>
      <c r="AG760">
        <v>-1.09067645626</v>
      </c>
      <c r="AH760">
        <v>11.1020862123141</v>
      </c>
      <c r="AI760">
        <v>95.478173373204797</v>
      </c>
      <c r="AJ760">
        <v>77.480086157764703</v>
      </c>
      <c r="AK760">
        <v>11.424697167926</v>
      </c>
      <c r="AL760">
        <v>81.764630652395198</v>
      </c>
      <c r="AM760">
        <v>86.533750374773106</v>
      </c>
      <c r="AN760">
        <v>0.99999995245958795</v>
      </c>
    </row>
    <row r="761" spans="1:40" x14ac:dyDescent="0.3">
      <c r="A761" t="str">
        <f>"20200111150736722"</f>
        <v>20200111150736722</v>
      </c>
      <c r="B761" t="str">
        <f>"1578726456711325"</f>
        <v>1578726456711325</v>
      </c>
      <c r="C761" t="s">
        <v>40</v>
      </c>
      <c r="D761">
        <v>5.5030190000000001</v>
      </c>
      <c r="E761">
        <v>0.55653319999999995</v>
      </c>
      <c r="F761" t="s">
        <v>43</v>
      </c>
      <c r="G761">
        <v>-187.09989999999999</v>
      </c>
      <c r="H761" s="1">
        <v>-3.3271209999999998E-6</v>
      </c>
      <c r="I761">
        <v>326.1893</v>
      </c>
      <c r="J761">
        <v>-184.68459999999999</v>
      </c>
      <c r="K761">
        <v>1.090676</v>
      </c>
      <c r="L761">
        <v>337.24290000000002</v>
      </c>
      <c r="M761">
        <v>-5.7724839999999996E-3</v>
      </c>
      <c r="N761">
        <v>0</v>
      </c>
      <c r="O761">
        <v>-0.99983869999999997</v>
      </c>
      <c r="P761">
        <v>-5.428086E-2</v>
      </c>
      <c r="Q761">
        <v>0.1258891</v>
      </c>
      <c r="R761">
        <v>-0.9905581</v>
      </c>
      <c r="S761">
        <v>-0.63751219999999997</v>
      </c>
      <c r="T761">
        <v>-0.28802230000000001</v>
      </c>
      <c r="U761">
        <v>-3.0387569999999999</v>
      </c>
      <c r="V761">
        <v>5.502721E-2</v>
      </c>
      <c r="W761">
        <v>0.1403625</v>
      </c>
      <c r="X761">
        <v>0.9885699</v>
      </c>
      <c r="Y761">
        <v>0.19879169999999999</v>
      </c>
      <c r="Z761">
        <v>9.2419070000000006E-2</v>
      </c>
      <c r="AA761">
        <v>0.9756745</v>
      </c>
      <c r="AB761">
        <v>42</v>
      </c>
      <c r="AC761">
        <v>-2.4152999999999998</v>
      </c>
      <c r="AD761">
        <v>-1.090679327121</v>
      </c>
      <c r="AE761">
        <v>-11.053599999999999</v>
      </c>
      <c r="AF761">
        <v>2.3297942645629801</v>
      </c>
      <c r="AG761">
        <v>-1.090679327121</v>
      </c>
      <c r="AH761">
        <v>10.965463930115501</v>
      </c>
      <c r="AI761">
        <v>95.556998710193</v>
      </c>
      <c r="AJ761">
        <v>78.004934572668802</v>
      </c>
      <c r="AK761">
        <v>11.2631666023576</v>
      </c>
      <c r="AL761">
        <v>81.931177198307196</v>
      </c>
      <c r="AM761">
        <v>86.814007111250604</v>
      </c>
      <c r="AN761">
        <v>1.0000000362163199</v>
      </c>
    </row>
    <row r="762" spans="1:40" x14ac:dyDescent="0.3">
      <c r="A762" t="str">
        <f>"20200111150736745"</f>
        <v>20200111150736745</v>
      </c>
      <c r="B762" t="str">
        <f>"1578726456742091"</f>
        <v>1578726456742091</v>
      </c>
      <c r="C762" t="s">
        <v>40</v>
      </c>
      <c r="D762">
        <v>6.4380639999999998</v>
      </c>
      <c r="E762">
        <v>0.5557898</v>
      </c>
      <c r="F762" t="s">
        <v>43</v>
      </c>
      <c r="G762">
        <v>-187.13319999999999</v>
      </c>
      <c r="H762" s="1">
        <v>-3.3273560000000002E-6</v>
      </c>
      <c r="I762">
        <v>326.20359999999999</v>
      </c>
      <c r="J762">
        <v>-184.6909</v>
      </c>
      <c r="K762">
        <v>1.0906800000000001</v>
      </c>
      <c r="L762">
        <v>336.81689999999998</v>
      </c>
      <c r="M762">
        <v>-2.2479329999999999E-2</v>
      </c>
      <c r="N762">
        <v>0</v>
      </c>
      <c r="O762">
        <v>-0.99960289999999996</v>
      </c>
      <c r="P762">
        <v>-6.7627149999999997E-2</v>
      </c>
      <c r="Q762">
        <v>0.12296020000000001</v>
      </c>
      <c r="R762">
        <v>-0.99010450000000005</v>
      </c>
      <c r="S762">
        <v>-0.67202759999999995</v>
      </c>
      <c r="T762">
        <v>-0.29934260000000001</v>
      </c>
      <c r="U762">
        <v>-3.0298159999999998</v>
      </c>
      <c r="V762">
        <v>5.1679389999999999E-2</v>
      </c>
      <c r="W762">
        <v>0.1375844</v>
      </c>
      <c r="X762">
        <v>0.98914089999999999</v>
      </c>
      <c r="Y762">
        <v>0.1935347</v>
      </c>
      <c r="Z762">
        <v>9.6196439999999994E-2</v>
      </c>
      <c r="AA762">
        <v>0.97636599999999996</v>
      </c>
      <c r="AB762">
        <v>41</v>
      </c>
      <c r="AC762">
        <v>-2.4422999999999799</v>
      </c>
      <c r="AD762">
        <v>-1.0906833273559999</v>
      </c>
      <c r="AE762">
        <v>-10.613299999999899</v>
      </c>
      <c r="AF762">
        <v>2.1811916912940399</v>
      </c>
      <c r="AG762">
        <v>-1.0906833273559999</v>
      </c>
      <c r="AH762">
        <v>10.559616926776201</v>
      </c>
      <c r="AI762">
        <v>95.775979656552593</v>
      </c>
      <c r="AJ762">
        <v>78.329137976491594</v>
      </c>
      <c r="AK762">
        <v>10.837559547933299</v>
      </c>
      <c r="AL762">
        <v>82.091909889394799</v>
      </c>
      <c r="AM762">
        <v>87.009201527026804</v>
      </c>
      <c r="AN762">
        <v>0.99999997326347001</v>
      </c>
    </row>
    <row r="763" spans="1:40" x14ac:dyDescent="0.3">
      <c r="A763" t="str">
        <f>"20200111150736766"</f>
        <v>20200111150736766</v>
      </c>
      <c r="B763" t="str">
        <f>"1578726456761610"</f>
        <v>1578726456761610</v>
      </c>
      <c r="C763" t="s">
        <v>40</v>
      </c>
      <c r="D763">
        <v>6.8809740000000001</v>
      </c>
      <c r="E763">
        <v>0.55518230000000002</v>
      </c>
      <c r="F763" t="s">
        <v>41</v>
      </c>
      <c r="G763">
        <v>-184.9212</v>
      </c>
      <c r="H763">
        <v>0.99042240000000004</v>
      </c>
      <c r="I763">
        <v>335.83319999999998</v>
      </c>
      <c r="J763">
        <v>-184.703</v>
      </c>
      <c r="K763">
        <v>1.090687</v>
      </c>
      <c r="L763">
        <v>336.4239</v>
      </c>
      <c r="M763">
        <v>-3.7902829999999998E-2</v>
      </c>
      <c r="N763">
        <v>0</v>
      </c>
      <c r="O763">
        <v>-0.99913719999999995</v>
      </c>
      <c r="P763">
        <v>-7.9232520000000001E-2</v>
      </c>
      <c r="Q763">
        <v>0.121326</v>
      </c>
      <c r="R763">
        <v>-0.98944560000000004</v>
      </c>
      <c r="S763">
        <v>-0.70675659999999996</v>
      </c>
      <c r="T763">
        <v>-0.30760379999999998</v>
      </c>
      <c r="U763">
        <v>-3.0198969999999998</v>
      </c>
      <c r="V763">
        <v>4.7919129999999997E-2</v>
      </c>
      <c r="W763">
        <v>0.13611500000000001</v>
      </c>
      <c r="X763">
        <v>0.98953349999999995</v>
      </c>
      <c r="Y763">
        <v>0.18968299999999999</v>
      </c>
      <c r="Z763">
        <v>9.8983340000000003E-2</v>
      </c>
      <c r="AA763">
        <v>0.97684320000000002</v>
      </c>
      <c r="AB763">
        <v>41</v>
      </c>
      <c r="AC763">
        <v>-0.21819999999999501</v>
      </c>
      <c r="AD763">
        <v>-0.1002646</v>
      </c>
      <c r="AE763">
        <v>-0.59070000000002598</v>
      </c>
      <c r="AF763">
        <v>0.190813252726444</v>
      </c>
      <c r="AG763">
        <v>-0.1002646</v>
      </c>
      <c r="AH763">
        <v>0.58374788218501805</v>
      </c>
      <c r="AI763">
        <v>99.272274630379002</v>
      </c>
      <c r="AJ763">
        <v>71.898666766712495</v>
      </c>
      <c r="AK763">
        <v>0.62227347475583406</v>
      </c>
      <c r="AL763">
        <v>82.176900460097201</v>
      </c>
      <c r="AM763">
        <v>87.227561536114607</v>
      </c>
      <c r="AN763">
        <v>1.0000000419335999</v>
      </c>
    </row>
    <row r="764" spans="1:40" x14ac:dyDescent="0.3">
      <c r="A764" t="str">
        <f>"20200111150736788"</f>
        <v>20200111150736788</v>
      </c>
      <c r="B764" t="str">
        <f>"1578726456782106"</f>
        <v>1578726456782106</v>
      </c>
      <c r="C764" t="s">
        <v>40</v>
      </c>
      <c r="D764">
        <v>5.4936870000000004</v>
      </c>
      <c r="E764">
        <v>0.56362319999999999</v>
      </c>
      <c r="F764" t="s">
        <v>41</v>
      </c>
      <c r="G764">
        <v>-184.93819999999999</v>
      </c>
      <c r="H764">
        <v>0.99105989999999999</v>
      </c>
      <c r="I764">
        <v>335.46260000000001</v>
      </c>
      <c r="J764">
        <v>-184.72319999999999</v>
      </c>
      <c r="K764">
        <v>1.0907070000000001</v>
      </c>
      <c r="L764">
        <v>335.9957</v>
      </c>
      <c r="M764">
        <v>-5.470995E-2</v>
      </c>
      <c r="N764">
        <v>0</v>
      </c>
      <c r="O764">
        <v>-0.99835810000000003</v>
      </c>
      <c r="P764">
        <v>-9.1441800000000004E-2</v>
      </c>
      <c r="Q764">
        <v>0.1198116</v>
      </c>
      <c r="R764">
        <v>-0.98857680000000003</v>
      </c>
      <c r="S764">
        <v>-0.73678589999999999</v>
      </c>
      <c r="T764">
        <v>-0.312027</v>
      </c>
      <c r="U764">
        <v>-3.0112610000000002</v>
      </c>
      <c r="V764">
        <v>4.3390020000000001E-2</v>
      </c>
      <c r="W764">
        <v>0.13479449999999901</v>
      </c>
      <c r="X764">
        <v>0.98992309999999994</v>
      </c>
      <c r="Y764">
        <v>0.18295719999999999</v>
      </c>
      <c r="Z764">
        <v>0.1005026</v>
      </c>
      <c r="AA764">
        <v>0.97797029999999996</v>
      </c>
      <c r="AB764">
        <v>41</v>
      </c>
      <c r="AC764">
        <v>-0.21500000000000299</v>
      </c>
      <c r="AD764">
        <v>-9.9647099999999794E-2</v>
      </c>
      <c r="AE764">
        <v>-0.53309999999999003</v>
      </c>
      <c r="AF764">
        <v>0.180095727818115</v>
      </c>
      <c r="AG764">
        <v>-9.9647099999999794E-2</v>
      </c>
      <c r="AH764">
        <v>0.52819283088689295</v>
      </c>
      <c r="AI764">
        <v>100.124168258287</v>
      </c>
      <c r="AJ764">
        <v>71.172375576923798</v>
      </c>
      <c r="AK764">
        <v>0.566878895635617</v>
      </c>
      <c r="AL764">
        <v>82.253262989083197</v>
      </c>
      <c r="AM764">
        <v>87.490234584613006</v>
      </c>
      <c r="AN764">
        <v>0.99999999748973001</v>
      </c>
    </row>
    <row r="765" spans="1:40" x14ac:dyDescent="0.3">
      <c r="A765" t="str">
        <f>"20200111150736811"</f>
        <v>20200111150736811</v>
      </c>
      <c r="B765" t="str">
        <f>"1578726456801626"</f>
        <v>1578726456801626</v>
      </c>
      <c r="C765" t="s">
        <v>40</v>
      </c>
      <c r="D765">
        <v>5.6845689999999998</v>
      </c>
      <c r="E765">
        <v>0.52136839999999995</v>
      </c>
      <c r="F765" t="s">
        <v>52</v>
      </c>
      <c r="G765">
        <v>-246.17760000000001</v>
      </c>
      <c r="H765">
        <v>72.896919999999994</v>
      </c>
      <c r="I765">
        <v>97.150040000000004</v>
      </c>
      <c r="J765">
        <v>-184.75020000000001</v>
      </c>
      <c r="K765">
        <v>1.090732</v>
      </c>
      <c r="L765">
        <v>335.5736</v>
      </c>
      <c r="M765">
        <v>-7.1263510000000002E-2</v>
      </c>
      <c r="N765">
        <v>0</v>
      </c>
      <c r="O765">
        <v>-0.99731369999999997</v>
      </c>
      <c r="P765">
        <v>-0.1042365</v>
      </c>
      <c r="Q765">
        <v>0.1182091</v>
      </c>
      <c r="R765">
        <v>-0.98750289999999996</v>
      </c>
      <c r="S765">
        <v>-0.73645019999999894</v>
      </c>
      <c r="T765">
        <v>0.86050059999999995</v>
      </c>
      <c r="U765">
        <v>-2.862244</v>
      </c>
      <c r="V765">
        <v>3.968534E-2</v>
      </c>
      <c r="W765">
        <v>0.1333443</v>
      </c>
      <c r="X765">
        <v>0.99027489999999996</v>
      </c>
      <c r="Y765">
        <v>0.16950860000000001</v>
      </c>
      <c r="Z765">
        <v>-0.28060269999999998</v>
      </c>
      <c r="AA765">
        <v>0.94473750000000001</v>
      </c>
      <c r="AB765">
        <v>41</v>
      </c>
      <c r="AC765">
        <v>-61.427399999999999</v>
      </c>
      <c r="AD765">
        <v>71.806187999999906</v>
      </c>
      <c r="AE765">
        <v>-238.42356000000001</v>
      </c>
      <c r="AF765">
        <v>40.8068953083026</v>
      </c>
      <c r="AG765">
        <v>71.806187999999906</v>
      </c>
      <c r="AH765">
        <v>223.20964004023801</v>
      </c>
      <c r="AI765">
        <v>72.439841265199803</v>
      </c>
      <c r="AJ765">
        <v>79.639672490571101</v>
      </c>
      <c r="AK765">
        <v>237.99973686264201</v>
      </c>
      <c r="AL765">
        <v>82.337110357780503</v>
      </c>
      <c r="AM765">
        <v>87.705095412276194</v>
      </c>
      <c r="AN765">
        <v>1.0000000030617</v>
      </c>
    </row>
    <row r="766" spans="1:40" x14ac:dyDescent="0.3">
      <c r="A766" t="str">
        <f>"20200111150736833"</f>
        <v>20200111150736833</v>
      </c>
      <c r="B766" t="str">
        <f>"1578726456822124"</f>
        <v>1578726456822124</v>
      </c>
      <c r="C766" t="s">
        <v>40</v>
      </c>
      <c r="D766">
        <v>5.1854649999999998</v>
      </c>
      <c r="E766">
        <v>0.53048289999999998</v>
      </c>
      <c r="F766" t="s">
        <v>41</v>
      </c>
      <c r="G766">
        <v>-184.90520000000001</v>
      </c>
      <c r="H766">
        <v>0.97703799999999996</v>
      </c>
      <c r="I766">
        <v>334.72230000000002</v>
      </c>
      <c r="J766">
        <v>-184.78319999999999</v>
      </c>
      <c r="K766">
        <v>1.0907720000000001</v>
      </c>
      <c r="L766">
        <v>335.16419999999999</v>
      </c>
      <c r="M766">
        <v>-8.7288389999999993E-2</v>
      </c>
      <c r="N766">
        <v>0</v>
      </c>
      <c r="O766">
        <v>-0.99603949999999997</v>
      </c>
      <c r="P766">
        <v>-0.1169996</v>
      </c>
      <c r="Q766">
        <v>0.11757629999999999</v>
      </c>
      <c r="R766">
        <v>-0.98614780000000002</v>
      </c>
      <c r="S766">
        <v>-0.55113219999999996</v>
      </c>
      <c r="T766">
        <v>-0.40444859999999999</v>
      </c>
      <c r="U766">
        <v>-3.0282290000000001</v>
      </c>
      <c r="V766">
        <v>3.6517809999999998E-2</v>
      </c>
      <c r="W766">
        <v>0.13283249999999999</v>
      </c>
      <c r="X766">
        <v>0.9904655</v>
      </c>
      <c r="Y766">
        <v>9.0952240000000004E-2</v>
      </c>
      <c r="Z766">
        <v>0.13030839999999999</v>
      </c>
      <c r="AA766">
        <v>0.98729290000000003</v>
      </c>
      <c r="AB766">
        <v>41</v>
      </c>
      <c r="AC766">
        <v>-0.122000000000014</v>
      </c>
      <c r="AD766">
        <v>-0.113733999999999</v>
      </c>
      <c r="AE766">
        <v>-0.44189999999997498</v>
      </c>
      <c r="AF766">
        <v>7.8146020834600899E-2</v>
      </c>
      <c r="AG766">
        <v>-0.113733999999999</v>
      </c>
      <c r="AH766">
        <v>0.42472170762233802</v>
      </c>
      <c r="AI766">
        <v>104.754603931527</v>
      </c>
      <c r="AJ766">
        <v>79.574553355390506</v>
      </c>
      <c r="AK766">
        <v>0.44657670366233398</v>
      </c>
      <c r="AL766">
        <v>82.366697248981197</v>
      </c>
      <c r="AM766">
        <v>87.888498791400593</v>
      </c>
      <c r="AN766">
        <v>0.99999996509684697</v>
      </c>
    </row>
    <row r="767" spans="1:40" x14ac:dyDescent="0.3">
      <c r="A767" t="str">
        <f>"20200111150736856"</f>
        <v>20200111150736856</v>
      </c>
      <c r="B767" t="str">
        <f>"1578726456851401"</f>
        <v>1578726456851401</v>
      </c>
      <c r="C767" t="s">
        <v>40</v>
      </c>
      <c r="D767">
        <v>5.1161940000000001</v>
      </c>
      <c r="E767">
        <v>0.54610119999999995</v>
      </c>
      <c r="F767" t="s">
        <v>41</v>
      </c>
      <c r="G767">
        <v>-184.96260000000001</v>
      </c>
      <c r="H767">
        <v>0.99343630000000005</v>
      </c>
      <c r="I767">
        <v>334.34519999999998</v>
      </c>
      <c r="J767">
        <v>-184.8235</v>
      </c>
      <c r="K767">
        <v>1.090829</v>
      </c>
      <c r="L767">
        <v>334.74889999999999</v>
      </c>
      <c r="M767">
        <v>-0.10348640000000001</v>
      </c>
      <c r="N767">
        <v>0</v>
      </c>
      <c r="O767">
        <v>-0.99448780000000003</v>
      </c>
      <c r="P767">
        <v>-0.12915170000000001</v>
      </c>
      <c r="Q767">
        <v>0.1170089</v>
      </c>
      <c r="R767">
        <v>-0.98469739999999994</v>
      </c>
      <c r="S767">
        <v>-0.6583099</v>
      </c>
      <c r="T767">
        <v>-0.35717589999999999</v>
      </c>
      <c r="U767">
        <v>-3.006561</v>
      </c>
      <c r="V767">
        <v>3.2555920000000002E-2</v>
      </c>
      <c r="W767">
        <v>0.13241510000000001</v>
      </c>
      <c r="X767">
        <v>0.99065950000000003</v>
      </c>
      <c r="Y767">
        <v>0.11020340000000001</v>
      </c>
      <c r="Z767">
        <v>0.1153226</v>
      </c>
      <c r="AA767">
        <v>0.98719599999999996</v>
      </c>
      <c r="AB767">
        <v>41</v>
      </c>
      <c r="AC767">
        <v>-0.13910000000001299</v>
      </c>
      <c r="AD767">
        <v>-9.7392699999999804E-2</v>
      </c>
      <c r="AE767">
        <v>-0.40370000000001399</v>
      </c>
      <c r="AF767">
        <v>9.1793949933845195E-2</v>
      </c>
      <c r="AG767">
        <v>-9.7392699999999804E-2</v>
      </c>
      <c r="AH767">
        <v>0.395360232305008</v>
      </c>
      <c r="AI767">
        <v>103.493371737225</v>
      </c>
      <c r="AJ767">
        <v>76.928771278929304</v>
      </c>
      <c r="AK767">
        <v>0.41739810798087801</v>
      </c>
      <c r="AL767">
        <v>82.390825500054603</v>
      </c>
      <c r="AM767">
        <v>88.117773307158103</v>
      </c>
      <c r="AN767">
        <v>0.99999994578765095</v>
      </c>
    </row>
    <row r="768" spans="1:40" x14ac:dyDescent="0.3">
      <c r="A768" t="str">
        <f>"20200111150736877"</f>
        <v>20200111150736877</v>
      </c>
      <c r="B768" t="str">
        <f>"1578726456871898"</f>
        <v>1578726456871898</v>
      </c>
      <c r="C768" t="s">
        <v>40</v>
      </c>
      <c r="D768">
        <v>5.4600939999999998</v>
      </c>
      <c r="E768">
        <v>0.55093709999999996</v>
      </c>
      <c r="F768" t="s">
        <v>41</v>
      </c>
      <c r="G768">
        <v>-185.03649999999999</v>
      </c>
      <c r="H768">
        <v>1.011787</v>
      </c>
      <c r="I768">
        <v>333.96980000000002</v>
      </c>
      <c r="J768">
        <v>-184.86949999999999</v>
      </c>
      <c r="K768">
        <v>1.0908850000000001</v>
      </c>
      <c r="L768">
        <v>334.34370000000001</v>
      </c>
      <c r="M768">
        <v>-0.119211999999999</v>
      </c>
      <c r="N768">
        <v>0</v>
      </c>
      <c r="O768">
        <v>-0.992726</v>
      </c>
      <c r="P768">
        <v>-0.14052799999999999</v>
      </c>
      <c r="Q768">
        <v>0.1163396</v>
      </c>
      <c r="R768">
        <v>-0.98321760000000002</v>
      </c>
      <c r="S768">
        <v>-0.81358339999999996</v>
      </c>
      <c r="T768">
        <v>-0.30195559999999899</v>
      </c>
      <c r="U768">
        <v>-2.9758</v>
      </c>
      <c r="V768">
        <v>2.8262039999999999E-2</v>
      </c>
      <c r="W768">
        <v>0.1319032</v>
      </c>
      <c r="X768">
        <v>0.99085959999999995</v>
      </c>
      <c r="Y768">
        <v>0.14556769999999999</v>
      </c>
      <c r="Z768">
        <v>9.7573160000000006E-2</v>
      </c>
      <c r="AA768">
        <v>0.98452499999999998</v>
      </c>
      <c r="AB768">
        <v>41</v>
      </c>
      <c r="AC768">
        <v>-0.16700000000000101</v>
      </c>
      <c r="AD768">
        <v>-7.9098000000000099E-2</v>
      </c>
      <c r="AE768">
        <v>-0.37389999999999102</v>
      </c>
      <c r="AF768">
        <v>0.11686871386307</v>
      </c>
      <c r="AG768">
        <v>-7.9098000000000099E-2</v>
      </c>
      <c r="AH768">
        <v>0.37707549765745701</v>
      </c>
      <c r="AI768">
        <v>101.329996012349</v>
      </c>
      <c r="AJ768">
        <v>72.779986600793094</v>
      </c>
      <c r="AK768">
        <v>0.40261733794960602</v>
      </c>
      <c r="AL768">
        <v>82.420414953185798</v>
      </c>
      <c r="AM768">
        <v>88.366209801905299</v>
      </c>
      <c r="AN768">
        <v>0.99999997199367996</v>
      </c>
    </row>
    <row r="769" spans="1:40" x14ac:dyDescent="0.3">
      <c r="A769" t="str">
        <f>"20200111150736901"</f>
        <v>20200111150736901</v>
      </c>
      <c r="B769" t="str">
        <f>"1578726456891418"</f>
        <v>1578726456891418</v>
      </c>
      <c r="C769" t="s">
        <v>40</v>
      </c>
      <c r="D769">
        <v>5.4124280000000002</v>
      </c>
      <c r="E769">
        <v>0.55454519999999996</v>
      </c>
      <c r="F769" t="s">
        <v>41</v>
      </c>
      <c r="G769">
        <v>-185.09379999999999</v>
      </c>
      <c r="H769">
        <v>1.029474</v>
      </c>
      <c r="I769">
        <v>333.59100000000001</v>
      </c>
      <c r="J769">
        <v>-184.92689999999999</v>
      </c>
      <c r="K769">
        <v>1.0909660000000001</v>
      </c>
      <c r="L769">
        <v>333.9051</v>
      </c>
      <c r="M769">
        <v>-0.13609779999999999</v>
      </c>
      <c r="N769">
        <v>0</v>
      </c>
      <c r="O769">
        <v>-0.99055329999999997</v>
      </c>
      <c r="P769">
        <v>-0.1532191</v>
      </c>
      <c r="Q769">
        <v>0.11525920000000001</v>
      </c>
      <c r="R769">
        <v>-0.98144759999999998</v>
      </c>
      <c r="S769">
        <v>-0.88003539999999902</v>
      </c>
      <c r="T769">
        <v>-0.24083080000000001</v>
      </c>
      <c r="U769">
        <v>-2.9539179999999998</v>
      </c>
      <c r="V769">
        <v>2.4086340000000001E-2</v>
      </c>
      <c r="W769">
        <v>0.13096070000000001</v>
      </c>
      <c r="X769">
        <v>0.9910949</v>
      </c>
      <c r="Y769">
        <v>0.15153620000000001</v>
      </c>
      <c r="Z769">
        <v>7.7984510000000007E-2</v>
      </c>
      <c r="AA769">
        <v>0.98537059999999999</v>
      </c>
      <c r="AB769">
        <v>41</v>
      </c>
      <c r="AC769">
        <v>-0.16689999999999799</v>
      </c>
      <c r="AD769">
        <v>-6.1491999999999797E-2</v>
      </c>
      <c r="AE769">
        <v>-0.31409999999999599</v>
      </c>
      <c r="AF769">
        <v>0.119034577504453</v>
      </c>
      <c r="AG769">
        <v>-6.1491999999999797E-2</v>
      </c>
      <c r="AH769">
        <v>0.32420468395774399</v>
      </c>
      <c r="AI769">
        <v>100.095639984836</v>
      </c>
      <c r="AJ769">
        <v>69.838848971064607</v>
      </c>
      <c r="AK769">
        <v>0.35079791020729401</v>
      </c>
      <c r="AL769">
        <v>82.474888830096106</v>
      </c>
      <c r="AM769">
        <v>88.607828547898194</v>
      </c>
      <c r="AN769">
        <v>0.99999997876254698</v>
      </c>
    </row>
    <row r="770" spans="1:40" x14ac:dyDescent="0.3">
      <c r="A770" t="str">
        <f>"20200111150736923"</f>
        <v>20200111150736923</v>
      </c>
      <c r="B770" t="str">
        <f>"1578726456911913"</f>
        <v>1578726456911913</v>
      </c>
      <c r="C770" t="s">
        <v>40</v>
      </c>
      <c r="D770">
        <v>5.4474109999999998</v>
      </c>
      <c r="E770">
        <v>0.55221229999999999</v>
      </c>
      <c r="F770" t="s">
        <v>41</v>
      </c>
      <c r="G770">
        <v>-185.25630000000001</v>
      </c>
      <c r="H770">
        <v>1.0014829999999999</v>
      </c>
      <c r="I770">
        <v>332.88199999999898</v>
      </c>
      <c r="J770">
        <v>-184.98820000000001</v>
      </c>
      <c r="K770">
        <v>1.091083</v>
      </c>
      <c r="L770">
        <v>333.49250000000001</v>
      </c>
      <c r="M770">
        <v>-0.15180949999999999</v>
      </c>
      <c r="N770">
        <v>0</v>
      </c>
      <c r="O770">
        <v>-0.98826860000000005</v>
      </c>
      <c r="P770">
        <v>-0.16613410000000001</v>
      </c>
      <c r="Q770">
        <v>0.1140748</v>
      </c>
      <c r="R770">
        <v>-0.97948290000000005</v>
      </c>
      <c r="S770">
        <v>-0.94631960000000004</v>
      </c>
      <c r="T770">
        <v>-0.25711679999999998</v>
      </c>
      <c r="U770">
        <v>-2.9391780000000001</v>
      </c>
      <c r="V770">
        <v>2.1284520000000001E-2</v>
      </c>
      <c r="W770">
        <v>0.12984209999999999</v>
      </c>
      <c r="X770">
        <v>0.99130620000000003</v>
      </c>
      <c r="Y770">
        <v>0.1573292</v>
      </c>
      <c r="Z770">
        <v>8.3022739999999998E-2</v>
      </c>
      <c r="AA770">
        <v>0.98405019999999999</v>
      </c>
      <c r="AB770">
        <v>41</v>
      </c>
      <c r="AC770">
        <v>-0.268100000000004</v>
      </c>
      <c r="AD770">
        <v>-8.9600000000000096E-2</v>
      </c>
      <c r="AE770">
        <v>-0.610500000000058</v>
      </c>
      <c r="AF770">
        <v>0.16924304179364399</v>
      </c>
      <c r="AG770">
        <v>-8.9600000000000096E-2</v>
      </c>
      <c r="AH770">
        <v>0.632702931337915</v>
      </c>
      <c r="AI770">
        <v>97.789983398264198</v>
      </c>
      <c r="AJ770">
        <v>75.024437388382793</v>
      </c>
      <c r="AK770">
        <v>0.66104793057625999</v>
      </c>
      <c r="AL770">
        <v>82.539531961485494</v>
      </c>
      <c r="AM770">
        <v>88.769980644278107</v>
      </c>
      <c r="AN770">
        <v>0.99999999194124001</v>
      </c>
    </row>
    <row r="771" spans="1:40" x14ac:dyDescent="0.3">
      <c r="A771" t="str">
        <f>"20200111150736946"</f>
        <v>20200111150736946</v>
      </c>
      <c r="B771" t="str">
        <f>"1578726456942169"</f>
        <v>1578726456942169</v>
      </c>
      <c r="C771" t="s">
        <v>40</v>
      </c>
      <c r="D771">
        <v>4.4150530000000003</v>
      </c>
      <c r="E771">
        <v>0.55411239999999995</v>
      </c>
      <c r="F771" t="s">
        <v>41</v>
      </c>
      <c r="G771">
        <v>-185.30930000000001</v>
      </c>
      <c r="H771">
        <v>1.0036430000000001</v>
      </c>
      <c r="I771">
        <v>332.51690000000002</v>
      </c>
      <c r="J771">
        <v>-185.05510000000001</v>
      </c>
      <c r="K771">
        <v>1.09121</v>
      </c>
      <c r="L771">
        <v>333.08629999999999</v>
      </c>
      <c r="M771">
        <v>-0.1670981</v>
      </c>
      <c r="N771">
        <v>0</v>
      </c>
      <c r="O771">
        <v>-0.98580000000000001</v>
      </c>
      <c r="P771">
        <v>-0.17965709999999999</v>
      </c>
      <c r="Q771">
        <v>0.11226369999999999</v>
      </c>
      <c r="R771">
        <v>-0.97730249999999996</v>
      </c>
      <c r="S771">
        <v>-0.96444700000000005</v>
      </c>
      <c r="T771">
        <v>-0.26265450000000001</v>
      </c>
      <c r="U771">
        <v>-2.92984</v>
      </c>
      <c r="V771">
        <v>1.9467600000000002E-2</v>
      </c>
      <c r="W771">
        <v>0.1280434</v>
      </c>
      <c r="X771">
        <v>0.9915775</v>
      </c>
      <c r="Y771">
        <v>0.1483997</v>
      </c>
      <c r="Z771">
        <v>8.4717039999999993E-2</v>
      </c>
      <c r="AA771">
        <v>0.9852921</v>
      </c>
      <c r="AB771">
        <v>41</v>
      </c>
      <c r="AC771">
        <v>-0.25419999999999698</v>
      </c>
      <c r="AD771">
        <v>-8.7566999999999895E-2</v>
      </c>
      <c r="AE771">
        <v>-0.56939999999997304</v>
      </c>
      <c r="AF771">
        <v>0.152459631388071</v>
      </c>
      <c r="AG771">
        <v>-8.7566999999999895E-2</v>
      </c>
      <c r="AH771">
        <v>0.59219600536568195</v>
      </c>
      <c r="AI771">
        <v>98.149287343490499</v>
      </c>
      <c r="AJ771">
        <v>75.562833183328195</v>
      </c>
      <c r="AK771">
        <v>0.617744305892865</v>
      </c>
      <c r="AL771">
        <v>82.643457662813503</v>
      </c>
      <c r="AM771">
        <v>88.875258830014701</v>
      </c>
      <c r="AN771">
        <v>1.00000001911978</v>
      </c>
    </row>
    <row r="772" spans="1:40" x14ac:dyDescent="0.3">
      <c r="A772" t="str">
        <f>"20200111150736967"</f>
        <v>20200111150736967</v>
      </c>
      <c r="B772" t="str">
        <f>"1578726456961689"</f>
        <v>1578726456961689</v>
      </c>
      <c r="C772" t="s">
        <v>40</v>
      </c>
      <c r="D772">
        <v>5.4365180000000004</v>
      </c>
      <c r="E772">
        <v>0.5548303</v>
      </c>
      <c r="F772" t="s">
        <v>41</v>
      </c>
      <c r="G772">
        <v>-185.38059999999999</v>
      </c>
      <c r="H772">
        <v>1.00506299999999</v>
      </c>
      <c r="I772">
        <v>332.15440000000001</v>
      </c>
      <c r="J772">
        <v>-185.12690000000001</v>
      </c>
      <c r="K772">
        <v>1.0913649999999999</v>
      </c>
      <c r="L772">
        <v>332.68900000000002</v>
      </c>
      <c r="M772">
        <v>-0.181835</v>
      </c>
      <c r="N772">
        <v>0</v>
      </c>
      <c r="O772">
        <v>-0.9831896</v>
      </c>
      <c r="P772">
        <v>-0.19187460000000001</v>
      </c>
      <c r="Q772">
        <v>0.1097902</v>
      </c>
      <c r="R772">
        <v>-0.97525890000000004</v>
      </c>
      <c r="S772">
        <v>-1.0174099999999999</v>
      </c>
      <c r="T772">
        <v>-0.26929120000000001</v>
      </c>
      <c r="U772">
        <v>-2.9135740000000001</v>
      </c>
      <c r="V772">
        <v>1.6817840000000001E-2</v>
      </c>
      <c r="W772">
        <v>0.12561359999999999</v>
      </c>
      <c r="X772">
        <v>0.9919367</v>
      </c>
      <c r="Y772">
        <v>0.151226</v>
      </c>
      <c r="Z772">
        <v>8.6689440000000006E-2</v>
      </c>
      <c r="AA772">
        <v>0.98469059999999997</v>
      </c>
      <c r="AB772">
        <v>41</v>
      </c>
      <c r="AC772">
        <v>-0.25369999999998</v>
      </c>
      <c r="AD772">
        <v>-8.6302000000000101E-2</v>
      </c>
      <c r="AE772">
        <v>-0.53460000000001096</v>
      </c>
      <c r="AF772">
        <v>0.14907618927028801</v>
      </c>
      <c r="AG772">
        <v>-8.6302000000000101E-2</v>
      </c>
      <c r="AH772">
        <v>0.55991357053201596</v>
      </c>
      <c r="AI772">
        <v>98.471675139324105</v>
      </c>
      <c r="AJ772">
        <v>75.090949767045601</v>
      </c>
      <c r="AK772">
        <v>0.58581136202472295</v>
      </c>
      <c r="AL772">
        <v>82.783808342449802</v>
      </c>
      <c r="AM772">
        <v>89.028668927990296</v>
      </c>
      <c r="AN772">
        <v>1.00000001652705</v>
      </c>
    </row>
    <row r="773" spans="1:40" x14ac:dyDescent="0.3">
      <c r="A773" t="str">
        <f>"20200111150736990"</f>
        <v>20200111150736990</v>
      </c>
      <c r="B773" t="str">
        <f>"1578726456982186"</f>
        <v>1578726456982186</v>
      </c>
      <c r="C773" t="s">
        <v>40</v>
      </c>
      <c r="D773">
        <v>5.4009320000000001</v>
      </c>
      <c r="E773">
        <v>0.55500130000000003</v>
      </c>
      <c r="F773" t="s">
        <v>41</v>
      </c>
      <c r="G773">
        <v>-185.4538</v>
      </c>
      <c r="H773">
        <v>1.007741</v>
      </c>
      <c r="I773">
        <v>331.79230000000001</v>
      </c>
      <c r="J773">
        <v>-185.20939999999999</v>
      </c>
      <c r="K773">
        <v>1.0915820000000001</v>
      </c>
      <c r="L773">
        <v>332.26920000000001</v>
      </c>
      <c r="M773">
        <v>-0.19709989999999999</v>
      </c>
      <c r="N773">
        <v>0</v>
      </c>
      <c r="O773">
        <v>-0.98024540000000004</v>
      </c>
      <c r="P773">
        <v>-0.20406650000000001</v>
      </c>
      <c r="Q773">
        <v>0.1075686</v>
      </c>
      <c r="R773">
        <v>-0.97302940000000004</v>
      </c>
      <c r="S773">
        <v>-1.056686</v>
      </c>
      <c r="T773">
        <v>-0.270229</v>
      </c>
      <c r="U773">
        <v>-2.8986209999999999</v>
      </c>
      <c r="V773">
        <v>1.359058E-2</v>
      </c>
      <c r="W773">
        <v>0.12344720000000001</v>
      </c>
      <c r="X773">
        <v>0.99225810000000003</v>
      </c>
      <c r="Y773">
        <v>0.14925939999999999</v>
      </c>
      <c r="Z773">
        <v>8.6841959999999996E-2</v>
      </c>
      <c r="AA773">
        <v>0.9849772</v>
      </c>
      <c r="AB773">
        <v>41</v>
      </c>
      <c r="AC773">
        <v>-0.244400000000013</v>
      </c>
      <c r="AD773">
        <v>-8.3840999999999999E-2</v>
      </c>
      <c r="AE773">
        <v>-0.47689999999999999</v>
      </c>
      <c r="AF773">
        <v>0.142115973749665</v>
      </c>
      <c r="AG773">
        <v>-8.3840999999999999E-2</v>
      </c>
      <c r="AH773">
        <v>0.50339769948425594</v>
      </c>
      <c r="AI773">
        <v>99.106210403416497</v>
      </c>
      <c r="AJ773">
        <v>74.234909663699</v>
      </c>
      <c r="AK773">
        <v>0.52975041965236502</v>
      </c>
      <c r="AL773">
        <v>82.908907810336999</v>
      </c>
      <c r="AM773">
        <v>89.215290671177598</v>
      </c>
      <c r="AN773">
        <v>1.00000002603409</v>
      </c>
    </row>
    <row r="774" spans="1:40" x14ac:dyDescent="0.3">
      <c r="A774" t="str">
        <f>"20200111150737012"</f>
        <v>20200111150737012</v>
      </c>
      <c r="B774" t="str">
        <f>"1578726457001707"</f>
        <v>1578726457001707</v>
      </c>
      <c r="C774" t="s">
        <v>40</v>
      </c>
      <c r="D774">
        <v>5.3715729999999997</v>
      </c>
      <c r="E774">
        <v>0.55510429999999999</v>
      </c>
      <c r="F774" t="s">
        <v>41</v>
      </c>
      <c r="G774">
        <v>-185.52719999999999</v>
      </c>
      <c r="H774">
        <v>1.010527</v>
      </c>
      <c r="I774">
        <v>331.43049999999999</v>
      </c>
      <c r="J774">
        <v>-185.29400000000001</v>
      </c>
      <c r="K774">
        <v>1.0918399999999999</v>
      </c>
      <c r="L774">
        <v>331.87090000000001</v>
      </c>
      <c r="M774">
        <v>-0.21121390000000001</v>
      </c>
      <c r="N774">
        <v>0</v>
      </c>
      <c r="O774">
        <v>-0.97730309999999998</v>
      </c>
      <c r="P774">
        <v>-0.2143852</v>
      </c>
      <c r="Q774">
        <v>0.1066375</v>
      </c>
      <c r="R774">
        <v>-0.97091070000000002</v>
      </c>
      <c r="S774">
        <v>-1.092484</v>
      </c>
      <c r="T774">
        <v>-0.27874460000000001</v>
      </c>
      <c r="U774">
        <v>-2.8848569999999998</v>
      </c>
      <c r="V774">
        <v>9.6674350000000003E-3</v>
      </c>
      <c r="W774">
        <v>0.1225912</v>
      </c>
      <c r="X774">
        <v>0.99241020000000002</v>
      </c>
      <c r="Y774">
        <v>0.1471634</v>
      </c>
      <c r="Z774">
        <v>8.9381080000000002E-2</v>
      </c>
      <c r="AA774">
        <v>0.98506550000000004</v>
      </c>
      <c r="AB774">
        <v>41</v>
      </c>
      <c r="AC774">
        <v>-0.23319999999998201</v>
      </c>
      <c r="AD774">
        <v>-8.1312999999999899E-2</v>
      </c>
      <c r="AE774">
        <v>-0.44040000000001001</v>
      </c>
      <c r="AF774">
        <v>0.13140783448520699</v>
      </c>
      <c r="AG774">
        <v>-8.1312999999999899E-2</v>
      </c>
      <c r="AH774">
        <v>0.467282291532436</v>
      </c>
      <c r="AI774">
        <v>99.509597350882999</v>
      </c>
      <c r="AJ774">
        <v>74.293101813938193</v>
      </c>
      <c r="AK774">
        <v>0.49217127396151</v>
      </c>
      <c r="AL774">
        <v>82.958328433895403</v>
      </c>
      <c r="AM774">
        <v>89.441878263178396</v>
      </c>
      <c r="AN774">
        <v>1.0000000333404699</v>
      </c>
    </row>
    <row r="775" spans="1:40" x14ac:dyDescent="0.3">
      <c r="A775" t="str">
        <f>"20200111150737035"</f>
        <v>20200111150737035</v>
      </c>
      <c r="B775" t="str">
        <f>"1578726457031962"</f>
        <v>1578726457031962</v>
      </c>
      <c r="C775" t="s">
        <v>40</v>
      </c>
      <c r="D775">
        <v>5.3935510000000004</v>
      </c>
      <c r="E775">
        <v>0.55461450000000001</v>
      </c>
      <c r="F775" t="s">
        <v>41</v>
      </c>
      <c r="G775">
        <v>-185.60650000000001</v>
      </c>
      <c r="H775">
        <v>1.0125770000000001</v>
      </c>
      <c r="I775">
        <v>331.07069999999999</v>
      </c>
      <c r="J775">
        <v>-185.3887</v>
      </c>
      <c r="K775">
        <v>1.0921909999999999</v>
      </c>
      <c r="L775">
        <v>331.4547</v>
      </c>
      <c r="M775">
        <v>-0.2254891</v>
      </c>
      <c r="N775">
        <v>0</v>
      </c>
      <c r="O775">
        <v>-0.97411040000000004</v>
      </c>
      <c r="P775">
        <v>-0.22345719999999999</v>
      </c>
      <c r="Q775">
        <v>0.1061276</v>
      </c>
      <c r="R775">
        <v>-0.96891919999999998</v>
      </c>
      <c r="S775">
        <v>-1.1220699999999999</v>
      </c>
      <c r="T775">
        <v>-0.28454180000000001</v>
      </c>
      <c r="U775">
        <v>-2.8733520000000001</v>
      </c>
      <c r="V775">
        <v>4.2817970000000004E-3</v>
      </c>
      <c r="W775">
        <v>0.1221922</v>
      </c>
      <c r="X775">
        <v>0.99249719999999997</v>
      </c>
      <c r="Y775">
        <v>0.14277290000000001</v>
      </c>
      <c r="Z775">
        <v>9.0987020000000002E-2</v>
      </c>
      <c r="AA775">
        <v>0.98556440000000001</v>
      </c>
      <c r="AB775">
        <v>41</v>
      </c>
      <c r="AC775">
        <v>-0.21780000000001101</v>
      </c>
      <c r="AD775">
        <v>-7.9613999999999796E-2</v>
      </c>
      <c r="AE775">
        <v>-0.384000000000014</v>
      </c>
      <c r="AF775">
        <v>0.121634146062072</v>
      </c>
      <c r="AG775">
        <v>-7.9613999999999796E-2</v>
      </c>
      <c r="AH775">
        <v>0.40989492372824199</v>
      </c>
      <c r="AI775">
        <v>100.547952303386</v>
      </c>
      <c r="AJ775">
        <v>73.472023352519798</v>
      </c>
      <c r="AK775">
        <v>0.43491045398154199</v>
      </c>
      <c r="AL775">
        <v>82.981362245323893</v>
      </c>
      <c r="AM775">
        <v>89.752818068578406</v>
      </c>
      <c r="AN775">
        <v>0.99999997976711397</v>
      </c>
    </row>
    <row r="776" spans="1:40" x14ac:dyDescent="0.3">
      <c r="A776" t="str">
        <f>"20200111150737059"</f>
        <v>20200111150737059</v>
      </c>
      <c r="B776" t="str">
        <f>"1578726457051481"</f>
        <v>1578726457051481</v>
      </c>
      <c r="C776" t="s">
        <v>40</v>
      </c>
      <c r="D776">
        <v>5.4225750000000001</v>
      </c>
      <c r="E776">
        <v>0.55416100000000001</v>
      </c>
      <c r="F776" t="s">
        <v>41</v>
      </c>
      <c r="G776">
        <v>-185.68610000000001</v>
      </c>
      <c r="H776">
        <v>1.0165740000000001</v>
      </c>
      <c r="I776">
        <v>330.71010000000001</v>
      </c>
      <c r="J776">
        <v>-185.48650000000001</v>
      </c>
      <c r="K776">
        <v>1.0926260000000001</v>
      </c>
      <c r="L776">
        <v>331.05160000000001</v>
      </c>
      <c r="M776">
        <v>-0.23874329999999999</v>
      </c>
      <c r="N776">
        <v>0</v>
      </c>
      <c r="O776">
        <v>-0.97094910000000001</v>
      </c>
      <c r="P776">
        <v>-0.23022300000000001</v>
      </c>
      <c r="Q776">
        <v>0.10584789999999999</v>
      </c>
      <c r="R776">
        <v>-0.96736429999999995</v>
      </c>
      <c r="S776">
        <v>-1.143295</v>
      </c>
      <c r="T776">
        <v>-0.29082590000000003</v>
      </c>
      <c r="U776">
        <v>-2.8643800000000001</v>
      </c>
      <c r="V776">
        <v>-2.464623E-3</v>
      </c>
      <c r="W776">
        <v>0.12205920000000001</v>
      </c>
      <c r="X776">
        <v>0.9925197</v>
      </c>
      <c r="Y776">
        <v>0.1365799</v>
      </c>
      <c r="Z776">
        <v>9.2719090000000004E-2</v>
      </c>
      <c r="AA776">
        <v>0.98628039999999995</v>
      </c>
      <c r="AB776">
        <v>41</v>
      </c>
      <c r="AC776">
        <v>-0.199600000000003</v>
      </c>
      <c r="AD776">
        <v>-7.6051999999999995E-2</v>
      </c>
      <c r="AE776">
        <v>-0.34149999999999597</v>
      </c>
      <c r="AF776">
        <v>0.108282326703126</v>
      </c>
      <c r="AG776">
        <v>-7.6051999999999995E-2</v>
      </c>
      <c r="AH776">
        <v>0.365760514576561</v>
      </c>
      <c r="AI776">
        <v>101.27548976536301</v>
      </c>
      <c r="AJ776">
        <v>73.508766953116506</v>
      </c>
      <c r="AK776">
        <v>0.38895979612750903</v>
      </c>
      <c r="AL776">
        <v>82.989039766518204</v>
      </c>
      <c r="AM776">
        <v>90.142276476467202</v>
      </c>
      <c r="AN776">
        <v>0.99999993877962901</v>
      </c>
    </row>
    <row r="777" spans="1:40" x14ac:dyDescent="0.3">
      <c r="A777" t="str">
        <f>"20200111150737080"</f>
        <v>20200111150737080</v>
      </c>
      <c r="B777" t="str">
        <f>"1578726457071977"</f>
        <v>1578726457071977</v>
      </c>
      <c r="C777" t="s">
        <v>40</v>
      </c>
      <c r="D777">
        <v>5.4322509999999999</v>
      </c>
      <c r="E777">
        <v>0.5537415</v>
      </c>
      <c r="F777" t="s">
        <v>41</v>
      </c>
      <c r="G777">
        <v>-185.7704</v>
      </c>
      <c r="H777">
        <v>1.020586</v>
      </c>
      <c r="I777">
        <v>330.35120000000001</v>
      </c>
      <c r="J777">
        <v>-185.58619999999999</v>
      </c>
      <c r="K777">
        <v>1.0931580000000001</v>
      </c>
      <c r="L777">
        <v>330.66329999999999</v>
      </c>
      <c r="M777">
        <v>-0.25084070000000003</v>
      </c>
      <c r="N777">
        <v>0</v>
      </c>
      <c r="O777">
        <v>-0.96789650000000005</v>
      </c>
      <c r="P777">
        <v>-0.23575409999999999</v>
      </c>
      <c r="Q777">
        <v>0.10635890000000001</v>
      </c>
      <c r="R777">
        <v>-0.96597480000000002</v>
      </c>
      <c r="S777">
        <v>-1.158401</v>
      </c>
      <c r="T777">
        <v>-0.2937881</v>
      </c>
      <c r="U777">
        <v>-2.8576969999999999</v>
      </c>
      <c r="V777">
        <v>-9.2987460000000001E-3</v>
      </c>
      <c r="W777">
        <v>0.12269480000000001</v>
      </c>
      <c r="X777">
        <v>0.99240090000000003</v>
      </c>
      <c r="Y777">
        <v>0.12946869999999999</v>
      </c>
      <c r="Z777">
        <v>9.337666E-2</v>
      </c>
      <c r="AA777">
        <v>0.98717710000000003</v>
      </c>
      <c r="AB777">
        <v>41</v>
      </c>
      <c r="AC777">
        <v>-0.184200000000004</v>
      </c>
      <c r="AD777">
        <v>-7.2571999999999998E-2</v>
      </c>
      <c r="AE777">
        <v>-0.312099999999986</v>
      </c>
      <c r="AF777">
        <v>9.6155978313680196E-2</v>
      </c>
      <c r="AG777">
        <v>-7.2571999999999998E-2</v>
      </c>
      <c r="AH777">
        <v>0.334900027201809</v>
      </c>
      <c r="AI777">
        <v>101.765492553618</v>
      </c>
      <c r="AJ777">
        <v>73.980250680221602</v>
      </c>
      <c r="AK777">
        <v>0.355908268475506</v>
      </c>
      <c r="AL777">
        <v>82.9523472991971</v>
      </c>
      <c r="AM777">
        <v>90.536842831805799</v>
      </c>
      <c r="AN777">
        <v>1.00000001347251</v>
      </c>
    </row>
    <row r="778" spans="1:40" x14ac:dyDescent="0.3">
      <c r="A778" t="str">
        <f>"20200111150737102"</f>
        <v>20200111150737102</v>
      </c>
      <c r="B778" t="str">
        <f>"1578726457091498"</f>
        <v>1578726457091498</v>
      </c>
      <c r="C778" t="s">
        <v>40</v>
      </c>
      <c r="D778">
        <v>5.4591419999999999</v>
      </c>
      <c r="E778">
        <v>0.55313859999999904</v>
      </c>
      <c r="F778" t="s">
        <v>41</v>
      </c>
      <c r="G778">
        <v>-185.99459999999999</v>
      </c>
      <c r="H778">
        <v>0.9899966</v>
      </c>
      <c r="I778">
        <v>329.66840000000002</v>
      </c>
      <c r="J778">
        <v>-185.69200000000001</v>
      </c>
      <c r="K778">
        <v>1.093799</v>
      </c>
      <c r="L778">
        <v>330.2724</v>
      </c>
      <c r="M778">
        <v>-0.26222709999999999</v>
      </c>
      <c r="N778">
        <v>0</v>
      </c>
      <c r="O778">
        <v>-0.96487630000000002</v>
      </c>
      <c r="P778">
        <v>-0.24346999999999999</v>
      </c>
      <c r="Q778">
        <v>0.1084683</v>
      </c>
      <c r="R778">
        <v>-0.96382429999999997</v>
      </c>
      <c r="S778">
        <v>-1.1708529999999999</v>
      </c>
      <c r="T778">
        <v>-0.29579879999999997</v>
      </c>
      <c r="U778">
        <v>-2.8524780000000001</v>
      </c>
      <c r="V778">
        <v>-1.3105550000000001E-2</v>
      </c>
      <c r="W778">
        <v>0.1247796</v>
      </c>
      <c r="X778">
        <v>0.99209789999999998</v>
      </c>
      <c r="Y778">
        <v>0.1220895</v>
      </c>
      <c r="Z778">
        <v>9.3703720000000004E-2</v>
      </c>
      <c r="AA778">
        <v>0.98808589999999996</v>
      </c>
      <c r="AB778">
        <v>41</v>
      </c>
      <c r="AC778">
        <v>-0.30259999999998399</v>
      </c>
      <c r="AD778">
        <v>-0.103802399999999</v>
      </c>
      <c r="AE778">
        <v>-0.60399999999998499</v>
      </c>
      <c r="AF778">
        <v>0.13052160531819601</v>
      </c>
      <c r="AG778">
        <v>-0.103802399999999</v>
      </c>
      <c r="AH778">
        <v>0.64694422481166802</v>
      </c>
      <c r="AI778">
        <v>98.938330343840093</v>
      </c>
      <c r="AJ778">
        <v>78.593637147059894</v>
      </c>
      <c r="AK778">
        <v>0.66809255176043503</v>
      </c>
      <c r="AL778">
        <v>82.831971667682694</v>
      </c>
      <c r="AM778">
        <v>90.756829573210496</v>
      </c>
      <c r="AN778">
        <v>0.99999997360068504</v>
      </c>
    </row>
    <row r="779" spans="1:40" x14ac:dyDescent="0.3">
      <c r="A779" t="str">
        <f>"20200111150737127"</f>
        <v>20200111150737127</v>
      </c>
      <c r="B779" t="str">
        <f>"1578726457121754"</f>
        <v>1578726457121754</v>
      </c>
      <c r="C779" t="s">
        <v>40</v>
      </c>
      <c r="D779">
        <v>5.481808</v>
      </c>
      <c r="E779">
        <v>0.55221540000000002</v>
      </c>
      <c r="F779" t="s">
        <v>41</v>
      </c>
      <c r="G779">
        <v>-186.09270000000001</v>
      </c>
      <c r="H779">
        <v>0.99509420000000004</v>
      </c>
      <c r="I779">
        <v>329.3141</v>
      </c>
      <c r="J779">
        <v>-185.816</v>
      </c>
      <c r="K779">
        <v>1.0945720000000001</v>
      </c>
      <c r="L779">
        <v>329.83539999999999</v>
      </c>
      <c r="M779">
        <v>-0.27407140000000002</v>
      </c>
      <c r="N779">
        <v>0</v>
      </c>
      <c r="O779">
        <v>-0.96158180000000004</v>
      </c>
      <c r="P779">
        <v>-0.2483658</v>
      </c>
      <c r="Q779">
        <v>0.1108803</v>
      </c>
      <c r="R779">
        <v>-0.96229949999999997</v>
      </c>
      <c r="S779">
        <v>-1.189087</v>
      </c>
      <c r="T779">
        <v>-0.29302349999999999</v>
      </c>
      <c r="U779">
        <v>-2.845215</v>
      </c>
      <c r="V779">
        <v>-2.0336179999999999E-2</v>
      </c>
      <c r="W779">
        <v>0.12725359999999999</v>
      </c>
      <c r="X779">
        <v>0.99166169999999998</v>
      </c>
      <c r="Y779">
        <v>0.116214</v>
      </c>
      <c r="Z779">
        <v>9.2505089999999998E-2</v>
      </c>
      <c r="AA779">
        <v>0.98890699999999998</v>
      </c>
      <c r="AB779">
        <v>41</v>
      </c>
      <c r="AC779">
        <v>-0.27670000000003298</v>
      </c>
      <c r="AD779">
        <v>-9.9477799999999894E-2</v>
      </c>
      <c r="AE779">
        <v>-0.52129999999999599</v>
      </c>
      <c r="AF779">
        <v>0.119807588474548</v>
      </c>
      <c r="AG779">
        <v>-9.9477799999999894E-2</v>
      </c>
      <c r="AH779">
        <v>0.56123403233781799</v>
      </c>
      <c r="AI779">
        <v>99.834085529287293</v>
      </c>
      <c r="AJ779">
        <v>77.949841807188207</v>
      </c>
      <c r="AK779">
        <v>0.58243740436470404</v>
      </c>
      <c r="AL779">
        <v>82.689082845342597</v>
      </c>
      <c r="AM779">
        <v>91.174809907881794</v>
      </c>
      <c r="AN779">
        <v>0.99999998308842097</v>
      </c>
    </row>
    <row r="780" spans="1:40" x14ac:dyDescent="0.3">
      <c r="A780" t="str">
        <f>"20200111150737149"</f>
        <v>20200111150737149</v>
      </c>
      <c r="B780" t="str">
        <f>"1578726457142250"</f>
        <v>1578726457142250</v>
      </c>
      <c r="C780" t="s">
        <v>40</v>
      </c>
      <c r="D780">
        <v>5.5198169999999998</v>
      </c>
      <c r="E780">
        <v>0.55146770000000001</v>
      </c>
      <c r="F780" t="s">
        <v>41</v>
      </c>
      <c r="G780">
        <v>-186.18639999999999</v>
      </c>
      <c r="H780">
        <v>1.004934</v>
      </c>
      <c r="I780">
        <v>328.95639999999997</v>
      </c>
      <c r="J780">
        <v>-185.92590000000001</v>
      </c>
      <c r="K780">
        <v>1.0952930000000001</v>
      </c>
      <c r="L780">
        <v>329.46339999999998</v>
      </c>
      <c r="M780">
        <v>-0.28336460000000002</v>
      </c>
      <c r="N780">
        <v>0</v>
      </c>
      <c r="O780">
        <v>-0.95888660000000003</v>
      </c>
      <c r="P780">
        <v>-0.25056410000000001</v>
      </c>
      <c r="Q780">
        <v>0.114707</v>
      </c>
      <c r="R780">
        <v>-0.96128069999999999</v>
      </c>
      <c r="S780">
        <v>-1.197144</v>
      </c>
      <c r="T780">
        <v>-0.28977920000000001</v>
      </c>
      <c r="U780">
        <v>-2.8419189999999999</v>
      </c>
      <c r="V780">
        <v>-2.7631360000000001E-2</v>
      </c>
      <c r="W780">
        <v>0.13115209999999999</v>
      </c>
      <c r="X780">
        <v>0.99097710000000006</v>
      </c>
      <c r="Y780">
        <v>0.1094363</v>
      </c>
      <c r="Z780">
        <v>9.1195680000000001E-2</v>
      </c>
      <c r="AA780">
        <v>0.9898015</v>
      </c>
      <c r="AB780">
        <v>41</v>
      </c>
      <c r="AC780">
        <v>-0.26049999999997903</v>
      </c>
      <c r="AD780">
        <v>-9.0358999999999995E-2</v>
      </c>
      <c r="AE780">
        <v>-0.507000000000005</v>
      </c>
      <c r="AF780">
        <v>0.103535129416658</v>
      </c>
      <c r="AG780">
        <v>-9.0358999999999995E-2</v>
      </c>
      <c r="AH780">
        <v>0.546311045333845</v>
      </c>
      <c r="AI780">
        <v>99.230213511478794</v>
      </c>
      <c r="AJ780">
        <v>79.268755140518195</v>
      </c>
      <c r="AK780">
        <v>0.563329415314061</v>
      </c>
      <c r="AL780">
        <v>82.4638270865115</v>
      </c>
      <c r="AM780">
        <v>91.597161247157999</v>
      </c>
      <c r="AN780">
        <v>0.99999998905713405</v>
      </c>
    </row>
    <row r="781" spans="1:40" x14ac:dyDescent="0.3">
      <c r="A781" t="str">
        <f>"20200111150737169"</f>
        <v>20200111150737169</v>
      </c>
      <c r="B781" t="str">
        <f>"1578726457161769"</f>
        <v>1578726457161769</v>
      </c>
      <c r="C781" t="s">
        <v>40</v>
      </c>
      <c r="D781">
        <v>5.1965450000000004</v>
      </c>
      <c r="E781">
        <v>0.55146770000000001</v>
      </c>
      <c r="F781" t="s">
        <v>41</v>
      </c>
      <c r="G781">
        <v>-186.2885</v>
      </c>
      <c r="H781">
        <v>1.010318</v>
      </c>
      <c r="I781">
        <v>328.6037</v>
      </c>
      <c r="J781">
        <v>-186.03880000000001</v>
      </c>
      <c r="K781">
        <v>1.0960890000000001</v>
      </c>
      <c r="L781">
        <v>329.09370000000001</v>
      </c>
      <c r="M781">
        <v>-0.29175970000000001</v>
      </c>
      <c r="N781">
        <v>0</v>
      </c>
      <c r="O781">
        <v>-0.95636770000000004</v>
      </c>
      <c r="P781">
        <v>-0.25165270000000001</v>
      </c>
      <c r="Q781">
        <v>0.1184123</v>
      </c>
      <c r="R781">
        <v>-0.96054680000000003</v>
      </c>
      <c r="S781">
        <v>-1.1982269999999999</v>
      </c>
      <c r="T781">
        <v>-0.2809815</v>
      </c>
      <c r="U781">
        <v>-2.842041</v>
      </c>
      <c r="V781">
        <v>-3.5196739999999997E-2</v>
      </c>
      <c r="W781">
        <v>0.1349117</v>
      </c>
      <c r="X781">
        <v>0.99023229999999995</v>
      </c>
      <c r="Y781">
        <v>0.10113270000000001</v>
      </c>
      <c r="Z781">
        <v>8.8136740000000005E-2</v>
      </c>
      <c r="AA781">
        <v>0.99096119999999999</v>
      </c>
      <c r="AB781">
        <v>41</v>
      </c>
      <c r="AC781">
        <v>-0.24969999999999001</v>
      </c>
      <c r="AD781">
        <v>-8.5770999999999806E-2</v>
      </c>
      <c r="AE781">
        <v>-0.49000000000000898</v>
      </c>
      <c r="AF781">
        <v>9.3577975878883404E-2</v>
      </c>
      <c r="AG781">
        <v>-8.5770999999999806E-2</v>
      </c>
      <c r="AH781">
        <v>0.52867745262658405</v>
      </c>
      <c r="AI781">
        <v>99.076513668817796</v>
      </c>
      <c r="AJ781">
        <v>79.962388722884896</v>
      </c>
      <c r="AK781">
        <v>0.54370336666818897</v>
      </c>
      <c r="AL781">
        <v>82.246485982287297</v>
      </c>
      <c r="AM781">
        <v>92.035659763684194</v>
      </c>
      <c r="AN781">
        <v>0.999999992633403</v>
      </c>
    </row>
    <row r="782" spans="1:40" x14ac:dyDescent="0.3">
      <c r="A782" t="str">
        <f>"20200111150737193"</f>
        <v>20200111150737193</v>
      </c>
      <c r="B782" t="str">
        <f>"1578726457181290"</f>
        <v>1578726457181290</v>
      </c>
      <c r="C782" t="s">
        <v>40</v>
      </c>
      <c r="D782">
        <v>5.1807280000000002</v>
      </c>
      <c r="E782">
        <v>0.55146770000000001</v>
      </c>
      <c r="F782" t="s">
        <v>41</v>
      </c>
      <c r="G782">
        <v>-186.39449999999999</v>
      </c>
      <c r="H782">
        <v>1.0160419999999999</v>
      </c>
      <c r="I782">
        <v>328.25240000000002</v>
      </c>
      <c r="J782">
        <v>-186.1671</v>
      </c>
      <c r="K782">
        <v>1.0970799999999901</v>
      </c>
      <c r="L782">
        <v>328.68619999999999</v>
      </c>
      <c r="M782">
        <v>-0.29993540000000002</v>
      </c>
      <c r="N782">
        <v>0</v>
      </c>
      <c r="O782">
        <v>-0.95383759999999995</v>
      </c>
      <c r="P782">
        <v>-0.25172620000000001</v>
      </c>
      <c r="Q782">
        <v>0.1194678</v>
      </c>
      <c r="R782">
        <v>-0.96039680000000005</v>
      </c>
      <c r="S782">
        <v>-1.201141</v>
      </c>
      <c r="T782">
        <v>-0.27044010000000002</v>
      </c>
      <c r="U782">
        <v>-2.841888</v>
      </c>
      <c r="V782">
        <v>-4.3849449999999998E-2</v>
      </c>
      <c r="W782">
        <v>0.13599449999999999</v>
      </c>
      <c r="X782">
        <v>0.98973869999999997</v>
      </c>
      <c r="Y782">
        <v>9.3619620000000001E-2</v>
      </c>
      <c r="Z782">
        <v>8.4544060000000004E-2</v>
      </c>
      <c r="AA782">
        <v>0.99201189999999995</v>
      </c>
      <c r="AB782">
        <v>40</v>
      </c>
      <c r="AC782">
        <v>-0.227399999999988</v>
      </c>
      <c r="AD782">
        <v>-8.1037999999999694E-2</v>
      </c>
      <c r="AE782">
        <v>-0.43379999999996199</v>
      </c>
      <c r="AF782">
        <v>8.4487903818794202E-2</v>
      </c>
      <c r="AG782">
        <v>-8.1037999999999694E-2</v>
      </c>
      <c r="AH782">
        <v>0.46919183702110601</v>
      </c>
      <c r="AI782">
        <v>99.647172574745497</v>
      </c>
      <c r="AJ782">
        <v>79.792078833448898</v>
      </c>
      <c r="AK782">
        <v>0.483576615711444</v>
      </c>
      <c r="AL782">
        <v>82.183868965549195</v>
      </c>
      <c r="AM782">
        <v>92.536777169577704</v>
      </c>
      <c r="AN782">
        <v>0.99999998628662101</v>
      </c>
    </row>
    <row r="783" spans="1:40" x14ac:dyDescent="0.3">
      <c r="A783" t="str">
        <f>"20200111150737214"</f>
        <v>20200111150737214</v>
      </c>
      <c r="B783" t="str">
        <f>"1578726457211546"</f>
        <v>1578726457211546</v>
      </c>
      <c r="C783" t="s">
        <v>40</v>
      </c>
      <c r="D783">
        <v>5.569598</v>
      </c>
      <c r="E783">
        <v>0.44197760000000003</v>
      </c>
      <c r="F783" t="s">
        <v>41</v>
      </c>
      <c r="G783">
        <v>-186.49930000000001</v>
      </c>
      <c r="H783">
        <v>1.023137</v>
      </c>
      <c r="I783">
        <v>327.90050000000002</v>
      </c>
      <c r="J783">
        <v>-186.2852</v>
      </c>
      <c r="K783">
        <v>1.098088</v>
      </c>
      <c r="L783">
        <v>328.32080000000002</v>
      </c>
      <c r="M783">
        <v>-0.30621670000000001</v>
      </c>
      <c r="N783">
        <v>0</v>
      </c>
      <c r="O783">
        <v>-0.95184150000000001</v>
      </c>
      <c r="P783">
        <v>-0.2485764</v>
      </c>
      <c r="Q783">
        <v>0.1196728</v>
      </c>
      <c r="R783">
        <v>-0.96119120000000002</v>
      </c>
      <c r="S783">
        <v>-1.2008970000000001</v>
      </c>
      <c r="T783">
        <v>-0.26756999999999997</v>
      </c>
      <c r="U783">
        <v>-2.8422239999999999</v>
      </c>
      <c r="V783">
        <v>-5.393862E-2</v>
      </c>
      <c r="W783">
        <v>0.1362411</v>
      </c>
      <c r="X783">
        <v>0.98920629999999998</v>
      </c>
      <c r="Y783">
        <v>8.6977120000000005E-2</v>
      </c>
      <c r="Z783">
        <v>8.3412299999999995E-2</v>
      </c>
      <c r="AA783">
        <v>0.99271209999999999</v>
      </c>
      <c r="AB783">
        <v>40</v>
      </c>
      <c r="AC783">
        <v>-0.21410000000000201</v>
      </c>
      <c r="AD783">
        <v>-7.4950999999999698E-2</v>
      </c>
      <c r="AE783">
        <v>-0.42029999999999701</v>
      </c>
      <c r="AF783">
        <v>7.3245616566311594E-2</v>
      </c>
      <c r="AG783">
        <v>-7.4950999999999698E-2</v>
      </c>
      <c r="AH783">
        <v>0.454205137862844</v>
      </c>
      <c r="AI783">
        <v>99.252831908046204</v>
      </c>
      <c r="AJ783">
        <v>80.839285281230403</v>
      </c>
      <c r="AK783">
        <v>0.46613826275921999</v>
      </c>
      <c r="AL783">
        <v>82.169607651038604</v>
      </c>
      <c r="AM783">
        <v>93.121085936535394</v>
      </c>
      <c r="AN783">
        <v>1.0000000580082</v>
      </c>
    </row>
    <row r="784" spans="1:40" x14ac:dyDescent="0.3">
      <c r="A784" t="str">
        <f>"20200111150737236"</f>
        <v>20200111150737236</v>
      </c>
      <c r="B784" t="str">
        <f>"1578726457232043"</f>
        <v>1578726457232043</v>
      </c>
      <c r="C784" t="s">
        <v>40</v>
      </c>
      <c r="D784">
        <v>5.6017939999999999</v>
      </c>
      <c r="E784">
        <v>0.44840459999999899</v>
      </c>
      <c r="F784" t="s">
        <v>52</v>
      </c>
      <c r="G784">
        <v>-211.5341</v>
      </c>
      <c r="H784">
        <v>83.101569999999995</v>
      </c>
      <c r="I784">
        <v>41.546019999999999</v>
      </c>
      <c r="J784">
        <v>-186.4134</v>
      </c>
      <c r="K784">
        <v>1.099291</v>
      </c>
      <c r="L784">
        <v>327.93189999999998</v>
      </c>
      <c r="M784">
        <v>-0.3117567</v>
      </c>
      <c r="N784">
        <v>0</v>
      </c>
      <c r="O784">
        <v>-0.95004310000000003</v>
      </c>
      <c r="P784">
        <v>-0.24554339999999999</v>
      </c>
      <c r="Q784">
        <v>0.1210717</v>
      </c>
      <c r="R784">
        <v>-0.96179539999999997</v>
      </c>
      <c r="S784">
        <v>-0.25964359999999997</v>
      </c>
      <c r="T784">
        <v>0.84327030000000003</v>
      </c>
      <c r="U784">
        <v>-2.9490050000000001</v>
      </c>
      <c r="V784">
        <v>-6.3127050000000004E-2</v>
      </c>
      <c r="W784">
        <v>0.1375797</v>
      </c>
      <c r="X784">
        <v>0.98847700000000005</v>
      </c>
      <c r="Y784">
        <v>-0.2300439</v>
      </c>
      <c r="Z784">
        <v>-0.25065510000000002</v>
      </c>
      <c r="AA784">
        <v>0.94034669999999998</v>
      </c>
      <c r="AB784">
        <v>40</v>
      </c>
      <c r="AC784">
        <v>-25.120699999999999</v>
      </c>
      <c r="AD784">
        <v>82.002279000000001</v>
      </c>
      <c r="AE784">
        <v>-286.38587999999999</v>
      </c>
      <c r="AF784">
        <v>-60.5018278762346</v>
      </c>
      <c r="AG784">
        <v>82.002279000000001</v>
      </c>
      <c r="AH784">
        <v>258.879242489077</v>
      </c>
      <c r="AI784">
        <v>72.857764404600701</v>
      </c>
      <c r="AJ784">
        <v>103.154311432198</v>
      </c>
      <c r="AK784">
        <v>278.21449841673899</v>
      </c>
      <c r="AL784">
        <v>82.092181889534103</v>
      </c>
      <c r="AM784">
        <v>93.654114735632305</v>
      </c>
      <c r="AN784">
        <v>0.99999998891139597</v>
      </c>
    </row>
    <row r="785" spans="1:40" x14ac:dyDescent="0.3">
      <c r="A785" t="str">
        <f>"20200111150737258"</f>
        <v>20200111150737258</v>
      </c>
      <c r="B785" t="str">
        <f>"1578726457251564"</f>
        <v>1578726457251564</v>
      </c>
      <c r="C785" t="s">
        <v>40</v>
      </c>
      <c r="D785">
        <v>5.5468120000000001</v>
      </c>
      <c r="E785">
        <v>0.46530090000000002</v>
      </c>
      <c r="F785" t="s">
        <v>52</v>
      </c>
      <c r="G785">
        <v>-212.24950000000001</v>
      </c>
      <c r="H785">
        <v>73.385509999999996</v>
      </c>
      <c r="I785">
        <v>75.519159999999999</v>
      </c>
      <c r="J785">
        <v>-186.53919999999999</v>
      </c>
      <c r="K785">
        <v>1.100598</v>
      </c>
      <c r="L785">
        <v>327.5557</v>
      </c>
      <c r="M785">
        <v>-0.31588579999999999</v>
      </c>
      <c r="N785">
        <v>0</v>
      </c>
      <c r="O785">
        <v>-0.94867979999999996</v>
      </c>
      <c r="P785">
        <v>-0.241981</v>
      </c>
      <c r="Q785">
        <v>0.1230489</v>
      </c>
      <c r="R785">
        <v>-0.96244689999999999</v>
      </c>
      <c r="S785">
        <v>-0.30058289999999999</v>
      </c>
      <c r="T785">
        <v>0.84099049999999997</v>
      </c>
      <c r="U785">
        <v>-2.9366150000000002</v>
      </c>
      <c r="V785">
        <v>-7.1390899999999993E-2</v>
      </c>
      <c r="W785">
        <v>0.13942660000000001</v>
      </c>
      <c r="X785">
        <v>0.98765559999999997</v>
      </c>
      <c r="Y785">
        <v>-0.22094610000000001</v>
      </c>
      <c r="Z785">
        <v>-0.25061129999999998</v>
      </c>
      <c r="AA785">
        <v>0.94253739999999997</v>
      </c>
      <c r="AB785">
        <v>40</v>
      </c>
      <c r="AC785">
        <v>-25.7103</v>
      </c>
      <c r="AD785">
        <v>72.284911999999906</v>
      </c>
      <c r="AE785">
        <v>-252.03654</v>
      </c>
      <c r="AF785">
        <v>-51.072328294158801</v>
      </c>
      <c r="AG785">
        <v>72.284911999999906</v>
      </c>
      <c r="AH785">
        <v>228.63786174574</v>
      </c>
      <c r="AI785">
        <v>72.852367732549595</v>
      </c>
      <c r="AJ785">
        <v>102.59181598957601</v>
      </c>
      <c r="AK785">
        <v>245.17088539200199</v>
      </c>
      <c r="AL785">
        <v>81.985332658183907</v>
      </c>
      <c r="AM785">
        <v>94.134331438925898</v>
      </c>
      <c r="AN785">
        <v>1.00000001080086</v>
      </c>
    </row>
    <row r="786" spans="1:40" x14ac:dyDescent="0.3">
      <c r="A786" t="str">
        <f>"20200111150737281"</f>
        <v>20200111150737281</v>
      </c>
      <c r="B786" t="str">
        <f>"1578726457272058"</f>
        <v>1578726457272058</v>
      </c>
      <c r="C786" t="s">
        <v>40</v>
      </c>
      <c r="D786">
        <v>5.5445060000000002</v>
      </c>
      <c r="E786">
        <v>0.46460190000000001</v>
      </c>
      <c r="F786" t="s">
        <v>43</v>
      </c>
      <c r="G786">
        <v>-188.5505</v>
      </c>
      <c r="H786" s="1">
        <v>-3.0574510000000001E-6</v>
      </c>
      <c r="I786">
        <v>315.55529999999999</v>
      </c>
      <c r="J786">
        <v>-186.6739</v>
      </c>
      <c r="K786">
        <v>1.1021049999999999</v>
      </c>
      <c r="L786">
        <v>327.15710000000001</v>
      </c>
      <c r="M786">
        <v>-0.31887320000000002</v>
      </c>
      <c r="N786">
        <v>0</v>
      </c>
      <c r="O786">
        <v>-0.94768149999999995</v>
      </c>
      <c r="P786">
        <v>-0.2375428</v>
      </c>
      <c r="Q786">
        <v>0.12474200000000001</v>
      </c>
      <c r="R786">
        <v>-0.96333440000000004</v>
      </c>
      <c r="S786">
        <v>-0.50698849999999995</v>
      </c>
      <c r="T786">
        <v>-0.27743810000000002</v>
      </c>
      <c r="U786">
        <v>-3.025055</v>
      </c>
      <c r="V786">
        <v>-7.9447840000000006E-2</v>
      </c>
      <c r="W786">
        <v>0.14091579999999901</v>
      </c>
      <c r="X786">
        <v>0.98682859999999994</v>
      </c>
      <c r="Y786">
        <v>-0.15845590000000001</v>
      </c>
      <c r="Z786">
        <v>8.3103239999999995E-2</v>
      </c>
      <c r="AA786">
        <v>0.98386260000000003</v>
      </c>
      <c r="AB786">
        <v>40</v>
      </c>
      <c r="AC786">
        <v>-1.8765999999999901</v>
      </c>
      <c r="AD786">
        <v>-1.1021080574509901</v>
      </c>
      <c r="AE786">
        <v>-11.601800000000001</v>
      </c>
      <c r="AF786">
        <v>-1.9045466360091201</v>
      </c>
      <c r="AG786">
        <v>-1.1021080574509901</v>
      </c>
      <c r="AH786">
        <v>11.4934103393252</v>
      </c>
      <c r="AI786">
        <v>95.404121444668405</v>
      </c>
      <c r="AJ786">
        <v>99.408854370350497</v>
      </c>
      <c r="AK786">
        <v>11.702154557479499</v>
      </c>
      <c r="AL786">
        <v>81.899156523407001</v>
      </c>
      <c r="AM786">
        <v>94.602855272131094</v>
      </c>
      <c r="AN786">
        <v>0.99999995387413099</v>
      </c>
    </row>
    <row r="787" spans="1:40" x14ac:dyDescent="0.3">
      <c r="A787" t="str">
        <f>"20200111150737303"</f>
        <v>20200111150737303</v>
      </c>
      <c r="B787" t="str">
        <f>"1578726457291577"</f>
        <v>1578726457291577</v>
      </c>
      <c r="C787" t="s">
        <v>40</v>
      </c>
      <c r="D787">
        <v>5.6263069999999997</v>
      </c>
      <c r="E787">
        <v>0.46415099999999998</v>
      </c>
      <c r="F787" t="s">
        <v>43</v>
      </c>
      <c r="G787">
        <v>-188.68960000000001</v>
      </c>
      <c r="H787" s="1">
        <v>-2.598579E-6</v>
      </c>
      <c r="I787">
        <v>314.63670000000002</v>
      </c>
      <c r="J787">
        <v>-186.79750000000001</v>
      </c>
      <c r="K787">
        <v>1.103542</v>
      </c>
      <c r="L787">
        <v>326.79309999999998</v>
      </c>
      <c r="M787">
        <v>-0.32041380000000003</v>
      </c>
      <c r="N787">
        <v>0</v>
      </c>
      <c r="O787">
        <v>-0.94716259999999997</v>
      </c>
      <c r="P787">
        <v>-0.23249429999999999</v>
      </c>
      <c r="Q787">
        <v>0.12655259999999999</v>
      </c>
      <c r="R787">
        <v>-0.9643294</v>
      </c>
      <c r="S787">
        <v>-0.4875488</v>
      </c>
      <c r="T787">
        <v>-0.26658199999999999</v>
      </c>
      <c r="U787">
        <v>-3.028473</v>
      </c>
      <c r="V787">
        <v>-8.6590609999999998E-2</v>
      </c>
      <c r="W787">
        <v>0.1424937</v>
      </c>
      <c r="X787">
        <v>0.98600080000000001</v>
      </c>
      <c r="Y787">
        <v>-0.16634009999999999</v>
      </c>
      <c r="Z787">
        <v>7.9702339999999997E-2</v>
      </c>
      <c r="AA787">
        <v>0.98284199999999999</v>
      </c>
      <c r="AB787">
        <v>40</v>
      </c>
      <c r="AC787">
        <v>-1.8920999999999899</v>
      </c>
      <c r="AD787">
        <v>-1.103544598579</v>
      </c>
      <c r="AE787">
        <v>-12.1563999999999</v>
      </c>
      <c r="AF787">
        <v>-2.0863943286580402</v>
      </c>
      <c r="AG787">
        <v>-1.103544598579</v>
      </c>
      <c r="AH787">
        <v>12.0249126242591</v>
      </c>
      <c r="AI787">
        <v>95.166668274756702</v>
      </c>
      <c r="AJ787">
        <v>99.843167448886504</v>
      </c>
      <c r="AK787">
        <v>12.254361492822699</v>
      </c>
      <c r="AL787">
        <v>81.807828138120499</v>
      </c>
      <c r="AM787">
        <v>95.018840571252696</v>
      </c>
      <c r="AN787">
        <v>0.99999998294025005</v>
      </c>
    </row>
    <row r="788" spans="1:40" x14ac:dyDescent="0.3">
      <c r="A788" t="str">
        <f>"20200111150737325"</f>
        <v>20200111150737325</v>
      </c>
      <c r="B788" t="str">
        <f>"1578726457321834"</f>
        <v>1578726457321834</v>
      </c>
      <c r="C788" t="s">
        <v>40</v>
      </c>
      <c r="D788">
        <v>5.5673050000000002</v>
      </c>
      <c r="E788">
        <v>0.46389760000000002</v>
      </c>
      <c r="F788" t="s">
        <v>43</v>
      </c>
      <c r="G788">
        <v>-188.7833</v>
      </c>
      <c r="H788" s="1">
        <v>-2.2426610000000001E-6</v>
      </c>
      <c r="I788">
        <v>313.91899999999998</v>
      </c>
      <c r="J788">
        <v>-186.9298</v>
      </c>
      <c r="K788">
        <v>1.1050199999999999</v>
      </c>
      <c r="L788">
        <v>326.40370000000001</v>
      </c>
      <c r="M788">
        <v>-0.32096649999999999</v>
      </c>
      <c r="N788">
        <v>0</v>
      </c>
      <c r="O788">
        <v>-0.94697609999999999</v>
      </c>
      <c r="P788">
        <v>-0.22810910000000001</v>
      </c>
      <c r="Q788">
        <v>0.1304372</v>
      </c>
      <c r="R788">
        <v>-0.96485880000000002</v>
      </c>
      <c r="S788">
        <v>-0.46774290000000002</v>
      </c>
      <c r="T788">
        <v>-0.25992759999999998</v>
      </c>
      <c r="U788">
        <v>-3.032349</v>
      </c>
      <c r="V788">
        <v>-9.1926939999999999E-2</v>
      </c>
      <c r="W788">
        <v>0.14607510000000001</v>
      </c>
      <c r="X788">
        <v>0.98499320000000001</v>
      </c>
      <c r="Y788">
        <v>-0.1733452</v>
      </c>
      <c r="Z788">
        <v>7.7591060000000003E-2</v>
      </c>
      <c r="AA788">
        <v>0.98179989999999995</v>
      </c>
      <c r="AB788">
        <v>40</v>
      </c>
      <c r="AC788">
        <v>-1.8534999999999899</v>
      </c>
      <c r="AD788">
        <v>-1.1050222426609999</v>
      </c>
      <c r="AE788">
        <v>-12.484699999999901</v>
      </c>
      <c r="AF788">
        <v>-2.2350624146032398</v>
      </c>
      <c r="AG788">
        <v>-1.1050222426609999</v>
      </c>
      <c r="AH788">
        <v>12.3245015612044</v>
      </c>
      <c r="AI788">
        <v>95.041673209749405</v>
      </c>
      <c r="AJ788">
        <v>100.278941150359</v>
      </c>
      <c r="AK788">
        <v>12.574176588790101</v>
      </c>
      <c r="AL788">
        <v>81.600459627049503</v>
      </c>
      <c r="AM788">
        <v>95.331826800091505</v>
      </c>
      <c r="AN788">
        <v>1.0000000505919999</v>
      </c>
    </row>
    <row r="789" spans="1:40" x14ac:dyDescent="0.3">
      <c r="A789" t="str">
        <f>"20200111150737348"</f>
        <v>20200111150737348</v>
      </c>
      <c r="B789" t="str">
        <f>"1578726457341354"</f>
        <v>1578726457341354</v>
      </c>
      <c r="C789" t="s">
        <v>40</v>
      </c>
      <c r="D789">
        <v>5.6171720000000001</v>
      </c>
      <c r="E789">
        <v>0.46377370000000001</v>
      </c>
      <c r="F789" t="s">
        <v>43</v>
      </c>
      <c r="G789">
        <v>-188.90549999999999</v>
      </c>
      <c r="H789" s="1">
        <v>-1.845754E-6</v>
      </c>
      <c r="I789">
        <v>313.12520000000001</v>
      </c>
      <c r="J789">
        <v>-187.0591</v>
      </c>
      <c r="K789">
        <v>1.1064080000000001</v>
      </c>
      <c r="L789">
        <v>326.02159999999998</v>
      </c>
      <c r="M789">
        <v>-0.32045059999999997</v>
      </c>
      <c r="N789">
        <v>0</v>
      </c>
      <c r="O789">
        <v>-0.94715150000000004</v>
      </c>
      <c r="P789">
        <v>-0.22431190000000001</v>
      </c>
      <c r="Q789">
        <v>0.13621910000000001</v>
      </c>
      <c r="R789">
        <v>-0.96494999999999997</v>
      </c>
      <c r="S789">
        <v>-0.45182800000000001</v>
      </c>
      <c r="T789">
        <v>-0.25269960000000002</v>
      </c>
      <c r="U789">
        <v>-3.0365600000000001</v>
      </c>
      <c r="V789">
        <v>-9.5436010000000002E-2</v>
      </c>
      <c r="W789">
        <v>0.15152260000000001</v>
      </c>
      <c r="X789">
        <v>0.98383580000000004</v>
      </c>
      <c r="Y789">
        <v>-0.17801529999999999</v>
      </c>
      <c r="Z789">
        <v>7.5359190000000006E-2</v>
      </c>
      <c r="AA789">
        <v>0.98113790000000001</v>
      </c>
      <c r="AB789">
        <v>40</v>
      </c>
      <c r="AC789">
        <v>-1.8463999999999801</v>
      </c>
      <c r="AD789">
        <v>-1.1064098457539999</v>
      </c>
      <c r="AE789">
        <v>-12.8963999999999</v>
      </c>
      <c r="AF789">
        <v>-2.3670233882370799</v>
      </c>
      <c r="AG789">
        <v>-1.1064098457539999</v>
      </c>
      <c r="AH789">
        <v>12.7161895028804</v>
      </c>
      <c r="AI789">
        <v>94.889103865304193</v>
      </c>
      <c r="AJ789">
        <v>100.544499734849</v>
      </c>
      <c r="AK789">
        <v>12.981849557763701</v>
      </c>
      <c r="AL789">
        <v>81.284826281069797</v>
      </c>
      <c r="AM789">
        <v>95.540584754987094</v>
      </c>
      <c r="AN789">
        <v>1.0000000058385601</v>
      </c>
    </row>
    <row r="790" spans="1:40" x14ac:dyDescent="0.3">
      <c r="A790" t="str">
        <f>"20200111150737370"</f>
        <v>20200111150737370</v>
      </c>
      <c r="B790" t="str">
        <f>"1578726457361849"</f>
        <v>1578726457361849</v>
      </c>
      <c r="C790" t="s">
        <v>40</v>
      </c>
      <c r="D790">
        <v>5.5888780000000002</v>
      </c>
      <c r="E790">
        <v>0.4636613</v>
      </c>
      <c r="F790" t="s">
        <v>43</v>
      </c>
      <c r="G790">
        <v>-189.1412</v>
      </c>
      <c r="H790" s="1">
        <v>-1.0678040000000001E-6</v>
      </c>
      <c r="I790">
        <v>311.56790000000001</v>
      </c>
      <c r="J790">
        <v>-187.18700000000001</v>
      </c>
      <c r="K790">
        <v>1.1077669999999999</v>
      </c>
      <c r="L790">
        <v>325.64139999999998</v>
      </c>
      <c r="M790">
        <v>-0.31893640000000001</v>
      </c>
      <c r="N790">
        <v>0</v>
      </c>
      <c r="O790">
        <v>-0.94766320000000004</v>
      </c>
      <c r="P790">
        <v>-0.21979699999999999</v>
      </c>
      <c r="Q790">
        <v>0.1403692</v>
      </c>
      <c r="R790">
        <v>-0.96539379999999997</v>
      </c>
      <c r="S790">
        <v>-0.43792720000000002</v>
      </c>
      <c r="T790">
        <v>-0.23271069999999999</v>
      </c>
      <c r="U790">
        <v>-3.0400390000000002</v>
      </c>
      <c r="V790">
        <v>-9.8733399999999999E-2</v>
      </c>
      <c r="W790">
        <v>0.1553341</v>
      </c>
      <c r="X790">
        <v>0.9829156</v>
      </c>
      <c r="Y790">
        <v>-0.18093310000000001</v>
      </c>
      <c r="Z790">
        <v>6.9412909999999994E-2</v>
      </c>
      <c r="AA790">
        <v>0.98104290000000005</v>
      </c>
      <c r="AB790">
        <v>40</v>
      </c>
      <c r="AC790">
        <v>-1.95419999999998</v>
      </c>
      <c r="AD790">
        <v>-1.1077680678039901</v>
      </c>
      <c r="AE790">
        <v>-14.0734999999999</v>
      </c>
      <c r="AF790">
        <v>-2.6209784783518502</v>
      </c>
      <c r="AG790">
        <v>-1.1077680678039901</v>
      </c>
      <c r="AH790">
        <v>13.8773437434835</v>
      </c>
      <c r="AI790">
        <v>94.485035816480803</v>
      </c>
      <c r="AJ790">
        <v>100.695324501687</v>
      </c>
      <c r="AK790">
        <v>14.16606323757</v>
      </c>
      <c r="AL790">
        <v>81.063826731451698</v>
      </c>
      <c r="AM790">
        <v>95.736092581065805</v>
      </c>
      <c r="AN790">
        <v>1.00000002181086</v>
      </c>
    </row>
    <row r="791" spans="1:40" x14ac:dyDescent="0.3">
      <c r="A791" t="str">
        <f>"20200111150737392"</f>
        <v>20200111150737392</v>
      </c>
      <c r="B791" t="str">
        <f>"1578726457381369"</f>
        <v>1578726457381369</v>
      </c>
      <c r="C791" t="s">
        <v>40</v>
      </c>
      <c r="D791">
        <v>5.5620269999999996</v>
      </c>
      <c r="E791">
        <v>0.463565</v>
      </c>
      <c r="F791" t="s">
        <v>43</v>
      </c>
      <c r="G791">
        <v>-189.29300000000001</v>
      </c>
      <c r="H791" s="1">
        <v>-5.1923149999999996E-7</v>
      </c>
      <c r="I791">
        <v>310.46440000000001</v>
      </c>
      <c r="J791">
        <v>-187.30969999999999</v>
      </c>
      <c r="K791">
        <v>1.1090420000000001</v>
      </c>
      <c r="L791">
        <v>325.27269999999999</v>
      </c>
      <c r="M791">
        <v>-0.31659769999999998</v>
      </c>
      <c r="N791">
        <v>0</v>
      </c>
      <c r="O791">
        <v>-0.94844759999999995</v>
      </c>
      <c r="P791">
        <v>-0.2130852</v>
      </c>
      <c r="Q791">
        <v>0.14210539999999999</v>
      </c>
      <c r="R791">
        <v>-0.96664419999999995</v>
      </c>
      <c r="S791">
        <v>-0.422348</v>
      </c>
      <c r="T791">
        <v>-0.2221573</v>
      </c>
      <c r="U791">
        <v>-3.0436709999999998</v>
      </c>
      <c r="V791">
        <v>-0.1035242</v>
      </c>
      <c r="W791">
        <v>0.1567433</v>
      </c>
      <c r="X791">
        <v>0.98219869999999998</v>
      </c>
      <c r="Y791">
        <v>-0.1835639</v>
      </c>
      <c r="Z791">
        <v>6.6291810000000007E-2</v>
      </c>
      <c r="AA791">
        <v>0.98076989999999997</v>
      </c>
      <c r="AB791">
        <v>40</v>
      </c>
      <c r="AC791">
        <v>-1.9833000000000101</v>
      </c>
      <c r="AD791">
        <v>-1.1090425192315001</v>
      </c>
      <c r="AE791">
        <v>-14.8082999999999</v>
      </c>
      <c r="AF791">
        <v>-2.7921315651380598</v>
      </c>
      <c r="AG791">
        <v>-1.1090425192315001</v>
      </c>
      <c r="AH791">
        <v>14.5939529339343</v>
      </c>
      <c r="AI791">
        <v>94.268614564813504</v>
      </c>
      <c r="AJ791">
        <v>100.831007135454</v>
      </c>
      <c r="AK791">
        <v>14.899981081343499</v>
      </c>
      <c r="AL791">
        <v>80.982084084667306</v>
      </c>
      <c r="AM791">
        <v>96.016786766031103</v>
      </c>
      <c r="AN791">
        <v>1.0000000041811099</v>
      </c>
    </row>
    <row r="792" spans="1:40" x14ac:dyDescent="0.3">
      <c r="A792" t="str">
        <f>"20200111150737415"</f>
        <v>20200111150737415</v>
      </c>
      <c r="B792" t="str">
        <f>"1578726457411625"</f>
        <v>1578726457411625</v>
      </c>
      <c r="C792" t="s">
        <v>40</v>
      </c>
      <c r="D792">
        <v>5.5917519999999996</v>
      </c>
      <c r="E792">
        <v>0.46367580000000003</v>
      </c>
      <c r="F792" t="s">
        <v>43</v>
      </c>
      <c r="G792">
        <v>-189.33439999999999</v>
      </c>
      <c r="H792" s="1">
        <v>-2.5637089999999999E-7</v>
      </c>
      <c r="I792">
        <v>309.85090000000002</v>
      </c>
      <c r="J792">
        <v>-187.43610000000001</v>
      </c>
      <c r="K792">
        <v>1.1103099999999999</v>
      </c>
      <c r="L792">
        <v>324.88749999999999</v>
      </c>
      <c r="M792">
        <v>-0.31335829999999998</v>
      </c>
      <c r="N792">
        <v>0</v>
      </c>
      <c r="O792">
        <v>-0.94952329999999996</v>
      </c>
      <c r="P792">
        <v>-0.20388909999999999</v>
      </c>
      <c r="Q792">
        <v>0.14216039999999999</v>
      </c>
      <c r="R792">
        <v>-0.96861759999999997</v>
      </c>
      <c r="S792">
        <v>-0.40011600000000003</v>
      </c>
      <c r="T792">
        <v>-0.2191594</v>
      </c>
      <c r="U792">
        <v>-3.0475159999999999</v>
      </c>
      <c r="V792">
        <v>-0.1099856</v>
      </c>
      <c r="W792">
        <v>0.15644849999999999</v>
      </c>
      <c r="X792">
        <v>0.98154319999999895</v>
      </c>
      <c r="Y792">
        <v>-0.1873938</v>
      </c>
      <c r="Z792">
        <v>6.543773E-2</v>
      </c>
      <c r="AA792">
        <v>0.98010280000000005</v>
      </c>
      <c r="AB792">
        <v>40</v>
      </c>
      <c r="AC792">
        <v>-1.8982999999999699</v>
      </c>
      <c r="AD792">
        <v>-1.1103102563709</v>
      </c>
      <c r="AE792">
        <v>-15.0365999999999</v>
      </c>
      <c r="AF792">
        <v>-2.8941393771974702</v>
      </c>
      <c r="AG792">
        <v>-1.1103102563709</v>
      </c>
      <c r="AH792">
        <v>14.794626375944301</v>
      </c>
      <c r="AI792">
        <v>94.212354174144807</v>
      </c>
      <c r="AJ792">
        <v>101.068481431666</v>
      </c>
      <c r="AK792">
        <v>15.1158791078731</v>
      </c>
      <c r="AL792">
        <v>80.999185916795597</v>
      </c>
      <c r="AM792">
        <v>96.393537002781898</v>
      </c>
      <c r="AN792">
        <v>1.00000000941292</v>
      </c>
    </row>
    <row r="793" spans="1:40" x14ac:dyDescent="0.3">
      <c r="A793" t="str">
        <f>"20200111150737437"</f>
        <v>20200111150737437</v>
      </c>
      <c r="B793" t="str">
        <f>"1578726457432122"</f>
        <v>1578726457432122</v>
      </c>
      <c r="C793" t="s">
        <v>40</v>
      </c>
      <c r="D793">
        <v>5.5936170000000001</v>
      </c>
      <c r="E793">
        <v>0.46357720000000002</v>
      </c>
      <c r="F793" t="s">
        <v>43</v>
      </c>
      <c r="G793">
        <v>-189.25210000000001</v>
      </c>
      <c r="H793" s="1">
        <v>-3.4831290000000001E-7</v>
      </c>
      <c r="I793">
        <v>310.0333</v>
      </c>
      <c r="J793">
        <v>-187.56110000000001</v>
      </c>
      <c r="K793">
        <v>1.111502</v>
      </c>
      <c r="L793">
        <v>324.50020000000001</v>
      </c>
      <c r="M793">
        <v>-0.30937829999999999</v>
      </c>
      <c r="N793">
        <v>0</v>
      </c>
      <c r="O793">
        <v>-0.95082770000000005</v>
      </c>
      <c r="P793">
        <v>-0.19380829999999999</v>
      </c>
      <c r="Q793">
        <v>0.14134659999999999</v>
      </c>
      <c r="R793">
        <v>-0.97080339999999998</v>
      </c>
      <c r="S793">
        <v>-0.37313839999999998</v>
      </c>
      <c r="T793">
        <v>-0.22813810000000001</v>
      </c>
      <c r="U793">
        <v>-3.0521240000000001</v>
      </c>
      <c r="V793">
        <v>-0.1165692</v>
      </c>
      <c r="W793">
        <v>0.15527289999999999</v>
      </c>
      <c r="X793">
        <v>0.98096989999999995</v>
      </c>
      <c r="Y793">
        <v>-0.19201599999999999</v>
      </c>
      <c r="Z793">
        <v>6.8148490000000006E-2</v>
      </c>
      <c r="AA793">
        <v>0.97902279999999997</v>
      </c>
      <c r="AB793">
        <v>40</v>
      </c>
      <c r="AC793">
        <v>-1.6910000000000001</v>
      </c>
      <c r="AD793">
        <v>-1.1115023483128901</v>
      </c>
      <c r="AE793">
        <v>-14.466900000000001</v>
      </c>
      <c r="AF793">
        <v>-2.8515930213408098</v>
      </c>
      <c r="AG793">
        <v>-1.1115023483128901</v>
      </c>
      <c r="AH793">
        <v>14.1975221733643</v>
      </c>
      <c r="AI793">
        <v>94.389164311803697</v>
      </c>
      <c r="AJ793">
        <v>101.35683336170401</v>
      </c>
      <c r="AK793">
        <v>14.523658495463</v>
      </c>
      <c r="AL793">
        <v>81.067376088827501</v>
      </c>
      <c r="AM793">
        <v>96.776711339553998</v>
      </c>
      <c r="AN793">
        <v>0.99999999828452901</v>
      </c>
    </row>
    <row r="794" spans="1:40" x14ac:dyDescent="0.3">
      <c r="A794" t="str">
        <f>"20200111150737461"</f>
        <v>20200111150737461</v>
      </c>
      <c r="B794" t="str">
        <f>"1578726457451642"</f>
        <v>1578726457451642</v>
      </c>
      <c r="C794" t="s">
        <v>40</v>
      </c>
      <c r="D794">
        <v>5.5975630000000001</v>
      </c>
      <c r="E794">
        <v>0.463501</v>
      </c>
      <c r="F794" t="s">
        <v>43</v>
      </c>
      <c r="G794">
        <v>-189.1651</v>
      </c>
      <c r="H794" s="1">
        <v>-3.8912479999999997E-7</v>
      </c>
      <c r="I794">
        <v>310.07929999999999</v>
      </c>
      <c r="J794">
        <v>-187.6842</v>
      </c>
      <c r="K794">
        <v>1.11259</v>
      </c>
      <c r="L794">
        <v>324.11070000000001</v>
      </c>
      <c r="M794">
        <v>-0.30468640000000002</v>
      </c>
      <c r="N794">
        <v>0</v>
      </c>
      <c r="O794">
        <v>-0.95234209999999997</v>
      </c>
      <c r="P794">
        <v>-0.1839837</v>
      </c>
      <c r="Q794">
        <v>0.13983180000000001</v>
      </c>
      <c r="R794">
        <v>-0.97293260000000004</v>
      </c>
      <c r="S794">
        <v>-0.33996579999999998</v>
      </c>
      <c r="T794">
        <v>-0.23559330000000001</v>
      </c>
      <c r="U794">
        <v>-3.0566409999999999</v>
      </c>
      <c r="V794">
        <v>-0.1221236</v>
      </c>
      <c r="W794">
        <v>0.15339920000000001</v>
      </c>
      <c r="X794">
        <v>0.98058889999999999</v>
      </c>
      <c r="Y794">
        <v>-0.19784679999999999</v>
      </c>
      <c r="Z794">
        <v>7.0428749999999998E-2</v>
      </c>
      <c r="AA794">
        <v>0.9776996</v>
      </c>
      <c r="AB794">
        <v>40</v>
      </c>
      <c r="AC794">
        <v>-1.4808999999999899</v>
      </c>
      <c r="AD794">
        <v>-1.1125903891247999</v>
      </c>
      <c r="AE794">
        <v>-14.0314</v>
      </c>
      <c r="AF794">
        <v>-2.84744950325249</v>
      </c>
      <c r="AG794">
        <v>-1.1125903891247999</v>
      </c>
      <c r="AH794">
        <v>13.7299842950498</v>
      </c>
      <c r="AI794">
        <v>94.536643918220804</v>
      </c>
      <c r="AJ794">
        <v>101.716430693883</v>
      </c>
      <c r="AK794">
        <v>14.066211102847101</v>
      </c>
      <c r="AL794">
        <v>81.176033458497997</v>
      </c>
      <c r="AM794">
        <v>97.099125198029</v>
      </c>
      <c r="AN794">
        <v>1.0000000395204001</v>
      </c>
    </row>
    <row r="795" spans="1:40" x14ac:dyDescent="0.3">
      <c r="A795" t="str">
        <f>"20200111150737482"</f>
        <v>20200111150737482</v>
      </c>
      <c r="B795" t="str">
        <f>"1578726457472138"</f>
        <v>1578726457472138</v>
      </c>
      <c r="C795" t="s">
        <v>40</v>
      </c>
      <c r="D795">
        <v>5.6614269999999998</v>
      </c>
      <c r="E795">
        <v>0.46356619999999998</v>
      </c>
      <c r="F795" t="s">
        <v>43</v>
      </c>
      <c r="G795">
        <v>-189.08770000000001</v>
      </c>
      <c r="H795" s="1">
        <v>-4.2020989999999998E-7</v>
      </c>
      <c r="I795">
        <v>310.10660000000001</v>
      </c>
      <c r="J795">
        <v>-187.79839999999999</v>
      </c>
      <c r="K795">
        <v>1.1135120000000001</v>
      </c>
      <c r="L795">
        <v>323.7414</v>
      </c>
      <c r="M795">
        <v>-0.29963689999999998</v>
      </c>
      <c r="N795">
        <v>0</v>
      </c>
      <c r="O795">
        <v>-0.95394270000000003</v>
      </c>
      <c r="P795">
        <v>-0.17477960000000001</v>
      </c>
      <c r="Q795">
        <v>0.13717299999999999</v>
      </c>
      <c r="R795">
        <v>-0.97500560000000003</v>
      </c>
      <c r="S795">
        <v>-0.30671690000000001</v>
      </c>
      <c r="T795">
        <v>-0.24314430000000001</v>
      </c>
      <c r="U795">
        <v>-3.060425</v>
      </c>
      <c r="V795">
        <v>-0.12663840000000001</v>
      </c>
      <c r="W795">
        <v>0.15042059999999999</v>
      </c>
      <c r="X795">
        <v>0.98047759999999995</v>
      </c>
      <c r="Y795">
        <v>-0.20330380000000001</v>
      </c>
      <c r="Z795">
        <v>7.2765510000000005E-2</v>
      </c>
      <c r="AA795">
        <v>0.9764081</v>
      </c>
      <c r="AB795">
        <v>40</v>
      </c>
      <c r="AC795">
        <v>-1.2893000000000201</v>
      </c>
      <c r="AD795">
        <v>-1.1135124202098901</v>
      </c>
      <c r="AE795">
        <v>-13.634799999999901</v>
      </c>
      <c r="AF795">
        <v>-2.8371178329643501</v>
      </c>
      <c r="AG795">
        <v>-1.1135124202098901</v>
      </c>
      <c r="AH795">
        <v>13.3065916749329</v>
      </c>
      <c r="AI795">
        <v>94.678757077173003</v>
      </c>
      <c r="AJ795">
        <v>102.035896088396</v>
      </c>
      <c r="AK795">
        <v>13.651173191761901</v>
      </c>
      <c r="AL795">
        <v>81.348698126318695</v>
      </c>
      <c r="AM795">
        <v>97.359573464912202</v>
      </c>
      <c r="AN795">
        <v>0.99999998268033896</v>
      </c>
    </row>
    <row r="796" spans="1:40" x14ac:dyDescent="0.3">
      <c r="A796" t="str">
        <f>"20200111150737504"</f>
        <v>20200111150737504</v>
      </c>
      <c r="B796" t="str">
        <f>"1578726457501418"</f>
        <v>1578726457501418</v>
      </c>
      <c r="C796" t="s">
        <v>40</v>
      </c>
      <c r="D796">
        <v>5.6321500000000002</v>
      </c>
      <c r="E796">
        <v>0.4638467</v>
      </c>
      <c r="F796" t="s">
        <v>43</v>
      </c>
      <c r="G796">
        <v>-189.0059</v>
      </c>
      <c r="H796" s="1">
        <v>-5.6567419999999899E-7</v>
      </c>
      <c r="I796">
        <v>310.42869999999999</v>
      </c>
      <c r="J796">
        <v>-187.90960000000001</v>
      </c>
      <c r="K796">
        <v>1.1143190000000001</v>
      </c>
      <c r="L796">
        <v>323.37299999999999</v>
      </c>
      <c r="M796">
        <v>-0.29413010000000001</v>
      </c>
      <c r="N796">
        <v>0</v>
      </c>
      <c r="O796">
        <v>-0.95565529999999999</v>
      </c>
      <c r="P796">
        <v>-0.16703289999999901</v>
      </c>
      <c r="Q796">
        <v>0.13610320000000001</v>
      </c>
      <c r="R796">
        <v>-0.97651250000000001</v>
      </c>
      <c r="S796">
        <v>-0.27783200000000002</v>
      </c>
      <c r="T796">
        <v>-0.25621090000000002</v>
      </c>
      <c r="U796">
        <v>-3.0631409999999999</v>
      </c>
      <c r="V796">
        <v>-0.12909909999999999</v>
      </c>
      <c r="W796">
        <v>0.14907029999999999</v>
      </c>
      <c r="X796">
        <v>0.98036299999999998</v>
      </c>
      <c r="Y796">
        <v>-0.20689199999999999</v>
      </c>
      <c r="Z796">
        <v>7.6795000000000002E-2</v>
      </c>
      <c r="AA796">
        <v>0.97534520000000002</v>
      </c>
      <c r="AB796">
        <v>40</v>
      </c>
      <c r="AC796">
        <v>-1.0962999999999801</v>
      </c>
      <c r="AD796">
        <v>-1.1143195656742</v>
      </c>
      <c r="AE796">
        <v>-12.944299999999901</v>
      </c>
      <c r="AF796">
        <v>-2.73975470432705</v>
      </c>
      <c r="AG796">
        <v>-1.1143195656742</v>
      </c>
      <c r="AH796">
        <v>12.601358937426999</v>
      </c>
      <c r="AI796">
        <v>94.938649214953401</v>
      </c>
      <c r="AJ796">
        <v>102.266201452652</v>
      </c>
      <c r="AK796">
        <v>12.9438097561807</v>
      </c>
      <c r="AL796">
        <v>81.426947683273895</v>
      </c>
      <c r="AM796">
        <v>97.501830420957802</v>
      </c>
      <c r="AN796">
        <v>1.0000000718659401</v>
      </c>
    </row>
    <row r="797" spans="1:40" x14ac:dyDescent="0.3">
      <c r="A797" t="str">
        <f>"20200111150737526"</f>
        <v>20200111150737526</v>
      </c>
      <c r="B797" t="str">
        <f>"1578726457521914"</f>
        <v>1578726457521914</v>
      </c>
      <c r="C797" t="s">
        <v>40</v>
      </c>
      <c r="D797">
        <v>5.631373</v>
      </c>
      <c r="E797">
        <v>0.47268080000000001</v>
      </c>
      <c r="F797" t="s">
        <v>43</v>
      </c>
      <c r="G797">
        <v>-188.9845</v>
      </c>
      <c r="H797" s="1">
        <v>-5.6072529999999996E-7</v>
      </c>
      <c r="I797">
        <v>310.40100000000001</v>
      </c>
      <c r="J797">
        <v>-188.0241</v>
      </c>
      <c r="K797">
        <v>1.1150819999999999</v>
      </c>
      <c r="L797">
        <v>322.98390000000001</v>
      </c>
      <c r="M797">
        <v>-0.28783750000000002</v>
      </c>
      <c r="N797">
        <v>0</v>
      </c>
      <c r="O797">
        <v>-0.95756960000000002</v>
      </c>
      <c r="P797">
        <v>-0.1620443</v>
      </c>
      <c r="Q797">
        <v>0.1368432</v>
      </c>
      <c r="R797">
        <v>-0.97724940000000005</v>
      </c>
      <c r="S797">
        <v>-0.2539978</v>
      </c>
      <c r="T797">
        <v>-0.26332749999999999</v>
      </c>
      <c r="U797">
        <v>-3.0654599999999999</v>
      </c>
      <c r="V797">
        <v>-0.1279025</v>
      </c>
      <c r="W797">
        <v>0.1495871</v>
      </c>
      <c r="X797">
        <v>0.98044100000000001</v>
      </c>
      <c r="Y797">
        <v>-0.20806340000000001</v>
      </c>
      <c r="Z797">
        <v>7.9110920000000001E-2</v>
      </c>
      <c r="AA797">
        <v>0.97491079999999997</v>
      </c>
      <c r="AB797">
        <v>40</v>
      </c>
      <c r="AC797">
        <v>-0.96039999999999204</v>
      </c>
      <c r="AD797">
        <v>-1.1150825607253001</v>
      </c>
      <c r="AE797">
        <v>-12.582899999999899</v>
      </c>
      <c r="AF797">
        <v>-2.6815275677266599</v>
      </c>
      <c r="AG797">
        <v>-1.1150825607253001</v>
      </c>
      <c r="AH797">
        <v>12.2312369331892</v>
      </c>
      <c r="AI797">
        <v>95.088868114037297</v>
      </c>
      <c r="AJ797">
        <v>102.365659195728</v>
      </c>
      <c r="AK797">
        <v>12.5712829945683</v>
      </c>
      <c r="AL797">
        <v>81.397000420526993</v>
      </c>
      <c r="AM797">
        <v>97.432493485190093</v>
      </c>
      <c r="AN797">
        <v>0.99999995223682803</v>
      </c>
    </row>
    <row r="798" spans="1:40" x14ac:dyDescent="0.3">
      <c r="A798" t="str">
        <f>"20200111150737551"</f>
        <v>20200111150737551</v>
      </c>
      <c r="B798" t="str">
        <f>"1578726457541433"</f>
        <v>1578726457541433</v>
      </c>
      <c r="C798" t="s">
        <v>40</v>
      </c>
      <c r="D798">
        <v>5.6100719999999997</v>
      </c>
      <c r="E798">
        <v>0.47221360000000001</v>
      </c>
      <c r="F798" t="s">
        <v>43</v>
      </c>
      <c r="G798">
        <v>-189.1925</v>
      </c>
      <c r="H798" s="1">
        <v>-9.5316489999999998E-7</v>
      </c>
      <c r="I798">
        <v>311.34469999999999</v>
      </c>
      <c r="J798">
        <v>-188.13929999999999</v>
      </c>
      <c r="K798">
        <v>1.1157809999999999</v>
      </c>
      <c r="L798">
        <v>322.58109999999999</v>
      </c>
      <c r="M798">
        <v>-0.28084989999999999</v>
      </c>
      <c r="N798">
        <v>0</v>
      </c>
      <c r="O798">
        <v>-0.95964210000000005</v>
      </c>
      <c r="P798">
        <v>-0.1570221</v>
      </c>
      <c r="Q798">
        <v>0.1386684</v>
      </c>
      <c r="R798">
        <v>-0.97781119999999999</v>
      </c>
      <c r="S798">
        <v>-0.30717470000000002</v>
      </c>
      <c r="T798">
        <v>-0.29315639999999998</v>
      </c>
      <c r="U798">
        <v>-3.0599669999999999</v>
      </c>
      <c r="V798">
        <v>-0.12599069999999901</v>
      </c>
      <c r="W798">
        <v>0.15122289999999999</v>
      </c>
      <c r="X798">
        <v>0.98043760000000002</v>
      </c>
      <c r="Y798">
        <v>-0.18401120000000001</v>
      </c>
      <c r="Z798">
        <v>8.8612029999999994E-2</v>
      </c>
      <c r="AA798">
        <v>0.97892179999999995</v>
      </c>
      <c r="AB798">
        <v>40</v>
      </c>
      <c r="AC798">
        <v>-1.0531999999999999</v>
      </c>
      <c r="AD798">
        <v>-1.11578195316489</v>
      </c>
      <c r="AE798">
        <v>-11.2364</v>
      </c>
      <c r="AF798">
        <v>-2.12450591881472</v>
      </c>
      <c r="AG798">
        <v>-1.11578195316489</v>
      </c>
      <c r="AH798">
        <v>10.9726245166085</v>
      </c>
      <c r="AI798">
        <v>95.701159816647007</v>
      </c>
      <c r="AJ798">
        <v>100.957948900101</v>
      </c>
      <c r="AK798">
        <v>11.2319625866794</v>
      </c>
      <c r="AL798">
        <v>81.302197556868904</v>
      </c>
      <c r="AM798">
        <v>97.322637507261206</v>
      </c>
      <c r="AN798">
        <v>0.99999995473232794</v>
      </c>
    </row>
    <row r="799" spans="1:40" x14ac:dyDescent="0.3">
      <c r="A799" t="str">
        <f>"20200111150737571"</f>
        <v>20200111150737571</v>
      </c>
      <c r="B799" t="str">
        <f>"1578726457561930"</f>
        <v>1578726457561930</v>
      </c>
      <c r="C799" t="s">
        <v>40</v>
      </c>
      <c r="D799">
        <v>5.5977990000000002</v>
      </c>
      <c r="E799">
        <v>0.47345219999999999</v>
      </c>
      <c r="F799" t="s">
        <v>43</v>
      </c>
      <c r="G799">
        <v>-189.25030000000001</v>
      </c>
      <c r="H799" s="1">
        <v>-6.4511269999999998E-7</v>
      </c>
      <c r="I799">
        <v>310.71469999999999</v>
      </c>
      <c r="J799">
        <v>-188.23820000000001</v>
      </c>
      <c r="K799">
        <v>1.1163479999999999</v>
      </c>
      <c r="L799">
        <v>322.2251</v>
      </c>
      <c r="M799">
        <v>-0.2742945</v>
      </c>
      <c r="N799">
        <v>0</v>
      </c>
      <c r="O799">
        <v>-0.96153670000000002</v>
      </c>
      <c r="P799">
        <v>-0.15259979999999901</v>
      </c>
      <c r="Q799">
        <v>0.14019129999999999</v>
      </c>
      <c r="R799">
        <v>-0.97829469999999996</v>
      </c>
      <c r="S799">
        <v>-0.28675840000000002</v>
      </c>
      <c r="T799">
        <v>-0.28799859999999999</v>
      </c>
      <c r="U799">
        <v>-3.062897</v>
      </c>
      <c r="V799">
        <v>-0.1238944</v>
      </c>
      <c r="W799">
        <v>0.1526132</v>
      </c>
      <c r="X799">
        <v>0.98048939999999996</v>
      </c>
      <c r="Y799">
        <v>-0.1838486</v>
      </c>
      <c r="Z799">
        <v>8.7274599999999994E-2</v>
      </c>
      <c r="AA799">
        <v>0.97907250000000001</v>
      </c>
      <c r="AB799">
        <v>40</v>
      </c>
      <c r="AC799">
        <v>-1.0121</v>
      </c>
      <c r="AD799">
        <v>-1.1163486451126901</v>
      </c>
      <c r="AE799">
        <v>-11.510400000000001</v>
      </c>
      <c r="AF799">
        <v>-2.1640971839137002</v>
      </c>
      <c r="AG799">
        <v>-1.1163486451126901</v>
      </c>
      <c r="AH799">
        <v>11.241545160681399</v>
      </c>
      <c r="AI799">
        <v>95.569595342225298</v>
      </c>
      <c r="AJ799">
        <v>100.896642331832</v>
      </c>
      <c r="AK799">
        <v>11.502255801298601</v>
      </c>
      <c r="AL799">
        <v>81.221604510281594</v>
      </c>
      <c r="AM799">
        <v>97.201713081228505</v>
      </c>
      <c r="AN799">
        <v>1.0000000373389699</v>
      </c>
    </row>
    <row r="800" spans="1:40" x14ac:dyDescent="0.3">
      <c r="A800" t="str">
        <f>"20200111150737594"</f>
        <v>20200111150737594</v>
      </c>
      <c r="B800" t="str">
        <f>"1578726457592185"</f>
        <v>1578726457592185</v>
      </c>
      <c r="C800" t="s">
        <v>40</v>
      </c>
      <c r="D800">
        <v>6.055688</v>
      </c>
      <c r="E800">
        <v>0.4752576</v>
      </c>
      <c r="F800" t="s">
        <v>43</v>
      </c>
      <c r="G800">
        <v>-189.3597</v>
      </c>
      <c r="H800" s="1">
        <v>-3.4549060000000001E-7</v>
      </c>
      <c r="I800">
        <v>310.10050000000001</v>
      </c>
      <c r="J800">
        <v>-188.33969999999999</v>
      </c>
      <c r="K800">
        <v>1.1168910000000001</v>
      </c>
      <c r="L800">
        <v>321.84840000000003</v>
      </c>
      <c r="M800">
        <v>-0.26701079999999999</v>
      </c>
      <c r="N800">
        <v>0</v>
      </c>
      <c r="O800">
        <v>-0.9635842</v>
      </c>
      <c r="P800">
        <v>-0.14773139999999901</v>
      </c>
      <c r="Q800">
        <v>0.142061299999999</v>
      </c>
      <c r="R800">
        <v>-0.97877139999999996</v>
      </c>
      <c r="S800">
        <v>-0.28329470000000001</v>
      </c>
      <c r="T800">
        <v>-0.28200219999999998</v>
      </c>
      <c r="U800">
        <v>-3.062805</v>
      </c>
      <c r="V800">
        <v>-0.1215064</v>
      </c>
      <c r="W800">
        <v>0.1543716</v>
      </c>
      <c r="X800">
        <v>0.98051290000000002</v>
      </c>
      <c r="Y800">
        <v>-0.17749000000000001</v>
      </c>
      <c r="Z800">
        <v>8.5811399999999996E-2</v>
      </c>
      <c r="AA800">
        <v>0.98037430000000003</v>
      </c>
      <c r="AB800">
        <v>40</v>
      </c>
      <c r="AC800">
        <v>-1.02000000000001</v>
      </c>
      <c r="AD800">
        <v>-1.1168913454906</v>
      </c>
      <c r="AE800">
        <v>-11.7479</v>
      </c>
      <c r="AF800">
        <v>-2.1350339319118601</v>
      </c>
      <c r="AG800">
        <v>-1.1168913454906</v>
      </c>
      <c r="AH800">
        <v>11.4905816774437</v>
      </c>
      <c r="AI800">
        <v>95.458889465709007</v>
      </c>
      <c r="AJ800">
        <v>100.525935754084</v>
      </c>
      <c r="AK800">
        <v>11.740497581195299</v>
      </c>
      <c r="AL800">
        <v>81.119646803289697</v>
      </c>
      <c r="AM800">
        <v>97.064152266993602</v>
      </c>
      <c r="AN800">
        <v>0.99999997159696397</v>
      </c>
    </row>
    <row r="801" spans="1:40" x14ac:dyDescent="0.3">
      <c r="A801" t="str">
        <f>"20200111150737616"</f>
        <v>20200111150737616</v>
      </c>
      <c r="B801" t="str">
        <f>"1578726457611705"</f>
        <v>1578726457611705</v>
      </c>
      <c r="C801" t="s">
        <v>40</v>
      </c>
      <c r="D801">
        <v>5.5855040000000002</v>
      </c>
      <c r="E801">
        <v>0.47945520000000003</v>
      </c>
      <c r="F801" t="s">
        <v>43</v>
      </c>
      <c r="G801">
        <v>-189.4777</v>
      </c>
      <c r="H801" s="1">
        <v>-4.3466549999999996E-6</v>
      </c>
      <c r="I801">
        <v>309.54899999999998</v>
      </c>
      <c r="J801">
        <v>-188.441</v>
      </c>
      <c r="K801">
        <v>1.1174040000000001</v>
      </c>
      <c r="L801">
        <v>321.45960000000002</v>
      </c>
      <c r="M801">
        <v>-0.25915189999999999</v>
      </c>
      <c r="N801">
        <v>0</v>
      </c>
      <c r="O801">
        <v>-0.96572740000000001</v>
      </c>
      <c r="P801">
        <v>-0.1441354</v>
      </c>
      <c r="Q801">
        <v>0.14272409999999999</v>
      </c>
      <c r="R801">
        <v>-0.97921159999999996</v>
      </c>
      <c r="S801">
        <v>-0.28337099999999998</v>
      </c>
      <c r="T801">
        <v>-0.27811540000000001</v>
      </c>
      <c r="U801">
        <v>-3.0626530000000001</v>
      </c>
      <c r="V801">
        <v>-0.1172866</v>
      </c>
      <c r="W801">
        <v>0.1549808</v>
      </c>
      <c r="X801">
        <v>0.98093059999999999</v>
      </c>
      <c r="Y801">
        <v>-0.16943129999999901</v>
      </c>
      <c r="Z801">
        <v>8.4994200000000006E-2</v>
      </c>
      <c r="AA801">
        <v>0.98187020000000003</v>
      </c>
      <c r="AB801">
        <v>40</v>
      </c>
      <c r="AC801">
        <v>-1.0367000000000199</v>
      </c>
      <c r="AD801">
        <v>-1.117408346655</v>
      </c>
      <c r="AE801">
        <v>-11.910599999999899</v>
      </c>
      <c r="AF801">
        <v>-2.0676434309985998</v>
      </c>
      <c r="AG801">
        <v>-1.117408346655</v>
      </c>
      <c r="AH801">
        <v>11.670352645675599</v>
      </c>
      <c r="AI801">
        <v>95.385889025048101</v>
      </c>
      <c r="AJ801">
        <v>100.046871789601</v>
      </c>
      <c r="AK801">
        <v>11.9046579810322</v>
      </c>
      <c r="AL801">
        <v>81.084317447903999</v>
      </c>
      <c r="AM801">
        <v>96.818296319246102</v>
      </c>
      <c r="AN801">
        <v>1.0000000184622799</v>
      </c>
    </row>
    <row r="802" spans="1:40" x14ac:dyDescent="0.3">
      <c r="A802" t="str">
        <f>"20200111150737648"</f>
        <v>20200111150737648</v>
      </c>
      <c r="B802" t="str">
        <f>"1578726457641962"</f>
        <v>1578726457641962</v>
      </c>
      <c r="C802" t="s">
        <v>40</v>
      </c>
      <c r="D802">
        <v>5.5919509999999999</v>
      </c>
      <c r="E802">
        <v>0.47726960000000002</v>
      </c>
      <c r="F802" t="s">
        <v>52</v>
      </c>
      <c r="G802">
        <v>-212.0538</v>
      </c>
      <c r="H802">
        <v>92.059539999999998</v>
      </c>
      <c r="I802">
        <v>41.546019999999999</v>
      </c>
      <c r="J802">
        <v>-188.57669999999999</v>
      </c>
      <c r="K802">
        <v>1.117991</v>
      </c>
      <c r="L802">
        <v>320.91419999999999</v>
      </c>
      <c r="M802">
        <v>-0.24760460000000001</v>
      </c>
      <c r="N802">
        <v>0</v>
      </c>
      <c r="O802">
        <v>-0.96875199999999995</v>
      </c>
      <c r="P802">
        <v>-0.13639999999999999</v>
      </c>
      <c r="Q802">
        <v>0.13863719999999999</v>
      </c>
      <c r="R802">
        <v>-0.98090540000000004</v>
      </c>
      <c r="S802">
        <v>-0.243866</v>
      </c>
      <c r="T802">
        <v>0.93922499999999998</v>
      </c>
      <c r="U802">
        <v>-2.8908689999999999</v>
      </c>
      <c r="V802">
        <v>-0.1136114</v>
      </c>
      <c r="W802">
        <v>0.15083260000000001</v>
      </c>
      <c r="X802">
        <v>0.98200920000000003</v>
      </c>
      <c r="Y802">
        <v>-0.16901930000000001</v>
      </c>
      <c r="Z802">
        <v>-0.29222310000000001</v>
      </c>
      <c r="AA802">
        <v>0.94129600000000002</v>
      </c>
      <c r="AB802">
        <v>40</v>
      </c>
      <c r="AC802">
        <v>-23.4771</v>
      </c>
      <c r="AD802">
        <v>90.941548999999995</v>
      </c>
      <c r="AE802">
        <v>-279.36818</v>
      </c>
      <c r="AF802">
        <v>-42.013449471214201</v>
      </c>
      <c r="AG802">
        <v>90.941548999999995</v>
      </c>
      <c r="AH802">
        <v>250.15813896890401</v>
      </c>
      <c r="AI802">
        <v>70.276472026673801</v>
      </c>
      <c r="AJ802">
        <v>99.533713709516704</v>
      </c>
      <c r="AK802">
        <v>269.47094419134498</v>
      </c>
      <c r="AL802">
        <v>81.324820385519004</v>
      </c>
      <c r="AM802">
        <v>96.599370069196695</v>
      </c>
      <c r="AN802">
        <v>1.00000004615867</v>
      </c>
    </row>
    <row r="803" spans="1:40" x14ac:dyDescent="0.3">
      <c r="A803" t="str">
        <f>"20200111150737671"</f>
        <v>20200111150737671</v>
      </c>
      <c r="B803" t="str">
        <f>"1578726457662458"</f>
        <v>1578726457662458</v>
      </c>
      <c r="C803" t="s">
        <v>40</v>
      </c>
      <c r="D803">
        <v>6.4456720000000001</v>
      </c>
      <c r="E803">
        <v>0.47341109999999997</v>
      </c>
      <c r="F803" t="s">
        <v>53</v>
      </c>
      <c r="G803">
        <v>-216.684</v>
      </c>
      <c r="H803">
        <v>132.07220000000001</v>
      </c>
      <c r="I803">
        <v>-81.858959999999996</v>
      </c>
      <c r="J803">
        <v>-188.66820000000001</v>
      </c>
      <c r="K803">
        <v>1.1183299999999901</v>
      </c>
      <c r="L803">
        <v>320.52890000000002</v>
      </c>
      <c r="M803">
        <v>-0.23916599999999999</v>
      </c>
      <c r="N803">
        <v>0</v>
      </c>
      <c r="O803">
        <v>-0.97086939999999999</v>
      </c>
      <c r="P803">
        <v>-0.1280413</v>
      </c>
      <c r="Q803">
        <v>0.13619909999999999</v>
      </c>
      <c r="R803">
        <v>-0.98237229999999998</v>
      </c>
      <c r="S803">
        <v>-0.202179</v>
      </c>
      <c r="T803">
        <v>0.94196630000000003</v>
      </c>
      <c r="U803">
        <v>-2.897186</v>
      </c>
      <c r="V803">
        <v>-0.1135975</v>
      </c>
      <c r="W803">
        <v>0.14831910000000001</v>
      </c>
      <c r="X803">
        <v>0.98239350000000003</v>
      </c>
      <c r="Y803">
        <v>-0.1740855</v>
      </c>
      <c r="Z803">
        <v>-0.29336800000000002</v>
      </c>
      <c r="AA803">
        <v>0.94001570000000001</v>
      </c>
      <c r="AB803">
        <v>40</v>
      </c>
      <c r="AC803">
        <v>-28.015799999999999</v>
      </c>
      <c r="AD803">
        <v>130.95386999999999</v>
      </c>
      <c r="AE803">
        <v>-402.38785999999999</v>
      </c>
      <c r="AF803">
        <v>-62.461593609428498</v>
      </c>
      <c r="AG803">
        <v>130.95386999999999</v>
      </c>
      <c r="AH803">
        <v>359.51521799379702</v>
      </c>
      <c r="AI803">
        <v>70.258196618238003</v>
      </c>
      <c r="AJ803">
        <v>99.8560932913188</v>
      </c>
      <c r="AK803">
        <v>387.687449775375</v>
      </c>
      <c r="AL803">
        <v>81.470471234084201</v>
      </c>
      <c r="AM803">
        <v>96.596011250743999</v>
      </c>
      <c r="AN803">
        <v>0.99999996813665404</v>
      </c>
    </row>
    <row r="804" spans="1:40" x14ac:dyDescent="0.3">
      <c r="A804" t="str">
        <f>"20200111150737694"</f>
        <v>20200111150737694</v>
      </c>
      <c r="B804" t="str">
        <f>"1578726457691738"</f>
        <v>1578726457691738</v>
      </c>
      <c r="C804" t="s">
        <v>40</v>
      </c>
      <c r="D804">
        <v>5.4659089999999999</v>
      </c>
      <c r="E804">
        <v>0.47816039999999999</v>
      </c>
      <c r="F804" t="s">
        <v>53</v>
      </c>
      <c r="G804">
        <v>-209.16300000000001</v>
      </c>
      <c r="H804">
        <v>129.1662</v>
      </c>
      <c r="I804">
        <v>-81.857990000000001</v>
      </c>
      <c r="J804">
        <v>-188.7578</v>
      </c>
      <c r="K804">
        <v>1.118635</v>
      </c>
      <c r="L804">
        <v>320.13630000000001</v>
      </c>
      <c r="M804">
        <v>-0.23037579999999999</v>
      </c>
      <c r="N804">
        <v>0</v>
      </c>
      <c r="O804">
        <v>-0.97299250000000004</v>
      </c>
      <c r="P804">
        <v>-0.11787069999999999</v>
      </c>
      <c r="Q804">
        <v>0.13631489999999999</v>
      </c>
      <c r="R804">
        <v>-0.98362850000000002</v>
      </c>
      <c r="S804">
        <v>-0.1480255</v>
      </c>
      <c r="T804">
        <v>0.92483899999999997</v>
      </c>
      <c r="U804">
        <v>-2.9062809999999999</v>
      </c>
      <c r="V804">
        <v>-0.1149912</v>
      </c>
      <c r="W804">
        <v>0.1483371</v>
      </c>
      <c r="X804">
        <v>0.98222860000000001</v>
      </c>
      <c r="Y804">
        <v>-0.1827366</v>
      </c>
      <c r="Z804">
        <v>-0.28853230000000002</v>
      </c>
      <c r="AA804">
        <v>0.93987039999999999</v>
      </c>
      <c r="AB804">
        <v>40</v>
      </c>
      <c r="AC804">
        <v>-20.405199999999901</v>
      </c>
      <c r="AD804">
        <v>128.04756499999999</v>
      </c>
      <c r="AE804">
        <v>-401.99428999999998</v>
      </c>
      <c r="AF804">
        <v>-66.076380381695898</v>
      </c>
      <c r="AG804">
        <v>128.04756499999999</v>
      </c>
      <c r="AH804">
        <v>359.49870279954803</v>
      </c>
      <c r="AI804">
        <v>70.693853098286695</v>
      </c>
      <c r="AJ804">
        <v>100.414804215865</v>
      </c>
      <c r="AK804">
        <v>387.30037988792799</v>
      </c>
      <c r="AL804">
        <v>81.469428192343798</v>
      </c>
      <c r="AM804">
        <v>96.677320662426396</v>
      </c>
      <c r="AN804">
        <v>0.999999946985903</v>
      </c>
    </row>
    <row r="805" spans="1:40" x14ac:dyDescent="0.3">
      <c r="A805" t="str">
        <f>"20200111150737718"</f>
        <v>20200111150737718</v>
      </c>
      <c r="B805" t="str">
        <f>"1578726457712234"</f>
        <v>1578726457712234</v>
      </c>
      <c r="C805" t="s">
        <v>40</v>
      </c>
      <c r="D805">
        <v>5.4709659999999998</v>
      </c>
      <c r="E805">
        <v>0.48098170000000001</v>
      </c>
      <c r="F805" t="s">
        <v>43</v>
      </c>
      <c r="G805">
        <v>-189.58099999999999</v>
      </c>
      <c r="H805" s="1">
        <v>-3.8099359999999999E-6</v>
      </c>
      <c r="I805">
        <v>308.34059999999999</v>
      </c>
      <c r="J805">
        <v>-188.84440000000001</v>
      </c>
      <c r="K805">
        <v>1.1188929999999999</v>
      </c>
      <c r="L805">
        <v>319.74</v>
      </c>
      <c r="M805">
        <v>-0.2213524</v>
      </c>
      <c r="N805">
        <v>0</v>
      </c>
      <c r="O805">
        <v>-0.97508450000000002</v>
      </c>
      <c r="P805">
        <v>-0.1062477</v>
      </c>
      <c r="Q805">
        <v>0.13618669999999999</v>
      </c>
      <c r="R805">
        <v>-0.98496939999999999</v>
      </c>
      <c r="S805">
        <v>-0.2138824</v>
      </c>
      <c r="T805">
        <v>-0.29062749999999998</v>
      </c>
      <c r="U805">
        <v>-3.064575</v>
      </c>
      <c r="V805">
        <v>-0.11759029999999999</v>
      </c>
      <c r="W805">
        <v>0.14809510000000001</v>
      </c>
      <c r="X805">
        <v>0.98195739999999998</v>
      </c>
      <c r="Y805">
        <v>-0.15322910000000001</v>
      </c>
      <c r="Z805">
        <v>9.0246740000000006E-2</v>
      </c>
      <c r="AA805">
        <v>0.98406119999999997</v>
      </c>
      <c r="AB805">
        <v>40</v>
      </c>
      <c r="AC805">
        <v>-0.73659999999998105</v>
      </c>
      <c r="AD805">
        <v>-1.1188968099359999</v>
      </c>
      <c r="AE805">
        <v>-11.3994</v>
      </c>
      <c r="AF805">
        <v>-1.7880748156845001</v>
      </c>
      <c r="AG805">
        <v>-1.1188968099359999</v>
      </c>
      <c r="AH805">
        <v>11.1724395886162</v>
      </c>
      <c r="AI805">
        <v>95.6475878868157</v>
      </c>
      <c r="AJ805">
        <v>99.092699460340697</v>
      </c>
      <c r="AK805">
        <v>11.369808616641199</v>
      </c>
      <c r="AL805">
        <v>81.483448965304106</v>
      </c>
      <c r="AM805">
        <v>96.828704236111307</v>
      </c>
      <c r="AN805">
        <v>0.99999998635642895</v>
      </c>
    </row>
    <row r="806" spans="1:40" x14ac:dyDescent="0.3">
      <c r="A806" t="str">
        <f>"20200111150737738"</f>
        <v>20200111150737738</v>
      </c>
      <c r="B806" t="str">
        <f>"1578726457731753"</f>
        <v>1578726457731753</v>
      </c>
      <c r="C806" t="s">
        <v>40</v>
      </c>
      <c r="D806">
        <v>6.0237679999999996</v>
      </c>
      <c r="E806">
        <v>0.48176920000000001</v>
      </c>
      <c r="F806" t="s">
        <v>43</v>
      </c>
      <c r="G806">
        <v>-189.6491</v>
      </c>
      <c r="H806" s="1">
        <v>-3.374052E-6</v>
      </c>
      <c r="I806">
        <v>307.35270000000003</v>
      </c>
      <c r="J806">
        <v>-188.9194</v>
      </c>
      <c r="K806">
        <v>1.1190819999999999</v>
      </c>
      <c r="L806">
        <v>319.3809</v>
      </c>
      <c r="M806">
        <v>-0.21307390000000001</v>
      </c>
      <c r="N806">
        <v>0</v>
      </c>
      <c r="O806">
        <v>-0.97692679999999998</v>
      </c>
      <c r="P806">
        <v>-9.5048460000000001E-2</v>
      </c>
      <c r="Q806">
        <v>0.13491349999999999</v>
      </c>
      <c r="R806">
        <v>-0.9862879</v>
      </c>
      <c r="S806">
        <v>-0.19895940000000001</v>
      </c>
      <c r="T806">
        <v>-0.27662399999999998</v>
      </c>
      <c r="U806">
        <v>-3.0625</v>
      </c>
      <c r="V806">
        <v>-0.12050520000000001</v>
      </c>
      <c r="W806">
        <v>0.14671519999999999</v>
      </c>
      <c r="X806">
        <v>0.9818112</v>
      </c>
      <c r="Y806">
        <v>-0.1495503</v>
      </c>
      <c r="Z806">
        <v>8.6276999999999895E-2</v>
      </c>
      <c r="AA806">
        <v>0.98498269999999999</v>
      </c>
      <c r="AB806">
        <v>40</v>
      </c>
      <c r="AC806">
        <v>-0.72970000000000801</v>
      </c>
      <c r="AD806">
        <v>-1.1190853740519999</v>
      </c>
      <c r="AE806">
        <v>-12.028199999999901</v>
      </c>
      <c r="AF806">
        <v>-1.8344088513904899</v>
      </c>
      <c r="AG806">
        <v>-1.1190853740519999</v>
      </c>
      <c r="AH806">
        <v>11.8056059200451</v>
      </c>
      <c r="AI806">
        <v>95.351205679661206</v>
      </c>
      <c r="AJ806">
        <v>98.832248315926094</v>
      </c>
      <c r="AK806">
        <v>11.999572452711799</v>
      </c>
      <c r="AL806">
        <v>81.563385100413399</v>
      </c>
      <c r="AM806">
        <v>96.997352140425704</v>
      </c>
      <c r="AN806">
        <v>1.0000000427917499</v>
      </c>
    </row>
    <row r="807" spans="1:40" x14ac:dyDescent="0.3">
      <c r="A807" t="str">
        <f>"20200111150737762"</f>
        <v>20200111150737762</v>
      </c>
      <c r="B807" t="str">
        <f>"1578726457752250"</f>
        <v>1578726457752250</v>
      </c>
      <c r="C807" t="s">
        <v>40</v>
      </c>
      <c r="D807">
        <v>5.873367</v>
      </c>
      <c r="E807">
        <v>0.49605870000000002</v>
      </c>
      <c r="F807" t="s">
        <v>43</v>
      </c>
      <c r="G807">
        <v>-189.63239999999999</v>
      </c>
      <c r="H807" s="1">
        <v>-3.0033169999999999E-6</v>
      </c>
      <c r="I807">
        <v>306.48160000000001</v>
      </c>
      <c r="J807">
        <v>-188.9991</v>
      </c>
      <c r="K807">
        <v>1.1192550000000001</v>
      </c>
      <c r="L807">
        <v>318.98099999999999</v>
      </c>
      <c r="M807">
        <v>-0.20376929999999999</v>
      </c>
      <c r="N807">
        <v>0</v>
      </c>
      <c r="O807">
        <v>-0.97890969999999999</v>
      </c>
      <c r="P807">
        <v>-8.3333489999999996E-2</v>
      </c>
      <c r="Q807">
        <v>0.13462260000000001</v>
      </c>
      <c r="R807">
        <v>-0.9873866</v>
      </c>
      <c r="S807">
        <v>-0.1692352</v>
      </c>
      <c r="T807">
        <v>-0.26562219999999997</v>
      </c>
      <c r="U807">
        <v>-3.0617369999999999</v>
      </c>
      <c r="V807">
        <v>-0.12288880000000001</v>
      </c>
      <c r="W807">
        <v>0.14633119999999999</v>
      </c>
      <c r="X807">
        <v>0.98157300000000003</v>
      </c>
      <c r="Y807">
        <v>-0.14963959999999901</v>
      </c>
      <c r="Z807">
        <v>8.316983E-2</v>
      </c>
      <c r="AA807">
        <v>0.98523640000000001</v>
      </c>
      <c r="AB807">
        <v>40</v>
      </c>
      <c r="AC807">
        <v>-0.63329999999999098</v>
      </c>
      <c r="AD807">
        <v>-1.1192580033170001</v>
      </c>
      <c r="AE807">
        <v>-12.4993999999999</v>
      </c>
      <c r="AF807">
        <v>-1.91196513130045</v>
      </c>
      <c r="AG807">
        <v>-1.1192580033170001</v>
      </c>
      <c r="AH807">
        <v>12.268036583197601</v>
      </c>
      <c r="AI807">
        <v>95.151032088743605</v>
      </c>
      <c r="AJ807">
        <v>98.858247504540699</v>
      </c>
      <c r="AK807">
        <v>12.466477880619401</v>
      </c>
      <c r="AL807">
        <v>81.585626498791498</v>
      </c>
      <c r="AM807">
        <v>97.136061027072103</v>
      </c>
      <c r="AN807">
        <v>1.0000000157939399</v>
      </c>
    </row>
    <row r="808" spans="1:40" x14ac:dyDescent="0.3">
      <c r="A808" t="str">
        <f>"20200111150737783"</f>
        <v>20200111150737783</v>
      </c>
      <c r="B808" t="str">
        <f>"1578726457772745"</f>
        <v>1578726457772745</v>
      </c>
      <c r="C808" t="s">
        <v>40</v>
      </c>
      <c r="D808">
        <v>7.351864</v>
      </c>
      <c r="E808">
        <v>0.47788639999999999</v>
      </c>
      <c r="F808" t="s">
        <v>53</v>
      </c>
      <c r="G808">
        <v>-216.36160000000001</v>
      </c>
      <c r="H808">
        <v>129.57859999999999</v>
      </c>
      <c r="I808">
        <v>-81.858140000000006</v>
      </c>
      <c r="J808">
        <v>-189.07050000000001</v>
      </c>
      <c r="K808">
        <v>1.1193959999999901</v>
      </c>
      <c r="L808">
        <v>318.60340000000002</v>
      </c>
      <c r="M808">
        <v>-0.19492609999999999</v>
      </c>
      <c r="N808">
        <v>0</v>
      </c>
      <c r="O808">
        <v>-0.98070869999999999</v>
      </c>
      <c r="P808">
        <v>-7.1029040000000002E-2</v>
      </c>
      <c r="Q808">
        <v>0.13649729999999999</v>
      </c>
      <c r="R808">
        <v>-0.98809100000000005</v>
      </c>
      <c r="S808">
        <v>-0.1976318</v>
      </c>
      <c r="T808">
        <v>0.92782370000000003</v>
      </c>
      <c r="U808">
        <v>-2.8951419999999999</v>
      </c>
      <c r="V808">
        <v>-0.1263032</v>
      </c>
      <c r="W808">
        <v>0.14809140000000001</v>
      </c>
      <c r="X808">
        <v>0.98087539999999995</v>
      </c>
      <c r="Y808">
        <v>-0.13074949999999999</v>
      </c>
      <c r="Z808">
        <v>-0.29498780000000002</v>
      </c>
      <c r="AA808">
        <v>0.94651289999999999</v>
      </c>
      <c r="AB808">
        <v>40</v>
      </c>
      <c r="AC808">
        <v>-27.2911</v>
      </c>
      <c r="AD808">
        <v>128.459204</v>
      </c>
      <c r="AE808">
        <v>-400.46154000000001</v>
      </c>
      <c r="AF808">
        <v>-46.535036095722901</v>
      </c>
      <c r="AG808">
        <v>128.459204</v>
      </c>
      <c r="AH808">
        <v>361.11238535480402</v>
      </c>
      <c r="AI808">
        <v>70.566419548640098</v>
      </c>
      <c r="AJ808">
        <v>97.342997955134905</v>
      </c>
      <c r="AK808">
        <v>386.09510684982803</v>
      </c>
      <c r="AL808">
        <v>81.483663918312303</v>
      </c>
      <c r="AM808">
        <v>97.3373616303993</v>
      </c>
      <c r="AN808">
        <v>1.00000005570467</v>
      </c>
    </row>
    <row r="809" spans="1:40" x14ac:dyDescent="0.3">
      <c r="A809" t="str">
        <f>"20200111150737804"</f>
        <v>20200111150737804</v>
      </c>
      <c r="B809" t="str">
        <f>"1578726457802025"</f>
        <v>1578726457802025</v>
      </c>
      <c r="C809" t="s">
        <v>40</v>
      </c>
      <c r="D809">
        <v>7.7630499999999998</v>
      </c>
      <c r="E809">
        <v>0.48654310000000001</v>
      </c>
      <c r="F809" t="s">
        <v>53</v>
      </c>
      <c r="G809">
        <v>-191.3441</v>
      </c>
      <c r="H809">
        <v>130.3064</v>
      </c>
      <c r="I809">
        <v>-81.858379999999997</v>
      </c>
      <c r="J809">
        <v>-189.13630000000001</v>
      </c>
      <c r="K809">
        <v>1.1195109999999999</v>
      </c>
      <c r="L809">
        <v>318.23820000000001</v>
      </c>
      <c r="M809">
        <v>-0.18633520000000001</v>
      </c>
      <c r="N809">
        <v>0</v>
      </c>
      <c r="O809">
        <v>-0.9823769</v>
      </c>
      <c r="P809">
        <v>-5.9822430000000003E-2</v>
      </c>
      <c r="Q809">
        <v>0.138628799999999</v>
      </c>
      <c r="R809">
        <v>-0.98853599999999997</v>
      </c>
      <c r="S809">
        <v>-1.6494749999999999E-2</v>
      </c>
      <c r="T809">
        <v>0.93730599999999997</v>
      </c>
      <c r="U809">
        <v>-2.9055179999999998</v>
      </c>
      <c r="V809">
        <v>-0.1288781</v>
      </c>
      <c r="W809">
        <v>0.1501325</v>
      </c>
      <c r="X809">
        <v>0.98022989999999999</v>
      </c>
      <c r="Y809">
        <v>-0.18095810000000001</v>
      </c>
      <c r="Z809">
        <v>-0.29654849999999999</v>
      </c>
      <c r="AA809">
        <v>0.93771700000000002</v>
      </c>
      <c r="AB809">
        <v>39</v>
      </c>
      <c r="AC809">
        <v>-2.20779999999999</v>
      </c>
      <c r="AD809">
        <v>129.18688899999901</v>
      </c>
      <c r="AE809">
        <v>-400.09657999999899</v>
      </c>
      <c r="AF809">
        <v>-65.556421590689098</v>
      </c>
      <c r="AG809">
        <v>129.18688899999901</v>
      </c>
      <c r="AH809">
        <v>356.348439557944</v>
      </c>
      <c r="AI809">
        <v>70.376488908740995</v>
      </c>
      <c r="AJ809">
        <v>100.42399028000401</v>
      </c>
      <c r="AK809">
        <v>384.67012761151102</v>
      </c>
      <c r="AL809">
        <v>81.365394749577405</v>
      </c>
      <c r="AM809">
        <v>97.490139572430195</v>
      </c>
      <c r="AN809">
        <v>0.99999999453493404</v>
      </c>
    </row>
    <row r="810" spans="1:40" x14ac:dyDescent="0.3">
      <c r="A810" t="str">
        <f>"20200111150737826"</f>
        <v>20200111150737826</v>
      </c>
      <c r="B810" t="str">
        <f>"1578726457821546"</f>
        <v>1578726457821546</v>
      </c>
      <c r="C810" t="s">
        <v>40</v>
      </c>
      <c r="D810">
        <v>5.1486039999999997</v>
      </c>
      <c r="E810">
        <v>0.49193340000000002</v>
      </c>
      <c r="F810" t="s">
        <v>53</v>
      </c>
      <c r="G810">
        <v>-196.26599999999999</v>
      </c>
      <c r="H810">
        <v>134.8391</v>
      </c>
      <c r="I810">
        <v>-81.859889999999993</v>
      </c>
      <c r="J810">
        <v>-189.2013</v>
      </c>
      <c r="K810">
        <v>1.119621</v>
      </c>
      <c r="L810">
        <v>317.85840000000002</v>
      </c>
      <c r="M810">
        <v>-0.17736009999999999</v>
      </c>
      <c r="N810">
        <v>0</v>
      </c>
      <c r="O810">
        <v>-0.98403669999999999</v>
      </c>
      <c r="P810">
        <v>-4.9149249999999998E-2</v>
      </c>
      <c r="Q810">
        <v>0.14075360000000001</v>
      </c>
      <c r="R810">
        <v>-0.98882429999999999</v>
      </c>
      <c r="S810">
        <v>-5.160522E-2</v>
      </c>
      <c r="T810">
        <v>0.96787069999999997</v>
      </c>
      <c r="U810">
        <v>-2.8959350000000001</v>
      </c>
      <c r="V810">
        <v>-0.13054749999999901</v>
      </c>
      <c r="W810">
        <v>0.1521914</v>
      </c>
      <c r="X810">
        <v>0.97969130000000004</v>
      </c>
      <c r="Y810">
        <v>-0.16063359999999999</v>
      </c>
      <c r="Z810">
        <v>-0.3075099</v>
      </c>
      <c r="AA810">
        <v>0.93788830000000001</v>
      </c>
      <c r="AB810">
        <v>39</v>
      </c>
      <c r="AC810">
        <v>-7.0646999999999798</v>
      </c>
      <c r="AD810">
        <v>133.71947900000001</v>
      </c>
      <c r="AE810">
        <v>-399.718289999999</v>
      </c>
      <c r="AF810">
        <v>-57.5144194343506</v>
      </c>
      <c r="AG810">
        <v>133.71947900000001</v>
      </c>
      <c r="AH810">
        <v>354.924580204579</v>
      </c>
      <c r="AI810">
        <v>69.599664510916995</v>
      </c>
      <c r="AJ810">
        <v>99.204590261488207</v>
      </c>
      <c r="AK810">
        <v>383.61473530131599</v>
      </c>
      <c r="AL810">
        <v>81.246056812998205</v>
      </c>
      <c r="AM810">
        <v>97.590160906076804</v>
      </c>
      <c r="AN810">
        <v>0.99999995764294902</v>
      </c>
    </row>
    <row r="811" spans="1:40" x14ac:dyDescent="0.3">
      <c r="A811" t="str">
        <f>"20200111150737848"</f>
        <v>20200111150737848</v>
      </c>
      <c r="B811" t="str">
        <f>"1578726457842042"</f>
        <v>1578726457842042</v>
      </c>
      <c r="C811" t="s">
        <v>40</v>
      </c>
      <c r="D811">
        <v>5.565086</v>
      </c>
      <c r="E811">
        <v>0.49739050000000001</v>
      </c>
      <c r="F811" t="s">
        <v>54</v>
      </c>
      <c r="G811">
        <v>-190.11340000000001</v>
      </c>
      <c r="H811" s="1">
        <v>3.143167E-6</v>
      </c>
      <c r="I811">
        <v>290.64659999999998</v>
      </c>
      <c r="J811">
        <v>-189.26249999999999</v>
      </c>
      <c r="K811">
        <v>1.11972</v>
      </c>
      <c r="L811">
        <v>317.47969999999998</v>
      </c>
      <c r="M811">
        <v>-0.16836870000000001</v>
      </c>
      <c r="N811">
        <v>0</v>
      </c>
      <c r="O811">
        <v>-0.98561489999999996</v>
      </c>
      <c r="P811">
        <v>-3.9172070000000003E-2</v>
      </c>
      <c r="Q811">
        <v>0.14187239999999901</v>
      </c>
      <c r="R811">
        <v>-0.98910929999999997</v>
      </c>
      <c r="S811">
        <v>-0.1021271</v>
      </c>
      <c r="T811">
        <v>-0.1253562</v>
      </c>
      <c r="U811">
        <v>-3.0467219999999999</v>
      </c>
      <c r="V811">
        <v>-0.13152169999999999</v>
      </c>
      <c r="W811">
        <v>0.15326770000000001</v>
      </c>
      <c r="X811">
        <v>0.97939319999999996</v>
      </c>
      <c r="Y811">
        <v>-0.13529569999999999</v>
      </c>
      <c r="Z811">
        <v>4.0030219999999998E-2</v>
      </c>
      <c r="AA811">
        <v>0.98999630000000005</v>
      </c>
      <c r="AB811">
        <v>39</v>
      </c>
      <c r="AC811">
        <v>-0.85090000000002397</v>
      </c>
      <c r="AD811">
        <v>-1.119716856833</v>
      </c>
      <c r="AE811">
        <v>-26.833100000000002</v>
      </c>
      <c r="AF811">
        <v>-3.6732007465584302</v>
      </c>
      <c r="AG811">
        <v>-1.119716856833</v>
      </c>
      <c r="AH811">
        <v>26.547050285457601</v>
      </c>
      <c r="AI811">
        <v>92.392456563334505</v>
      </c>
      <c r="AJ811">
        <v>97.877750449719798</v>
      </c>
      <c r="AK811">
        <v>26.823348941222999</v>
      </c>
      <c r="AL811">
        <v>81.183657602379498</v>
      </c>
      <c r="AM811">
        <v>97.648433932585306</v>
      </c>
      <c r="AN811">
        <v>0.99999999282020902</v>
      </c>
    </row>
    <row r="812" spans="1:40" x14ac:dyDescent="0.3">
      <c r="A812" t="str">
        <f>"20200111150737872"</f>
        <v>20200111150737872</v>
      </c>
      <c r="B812" t="str">
        <f>"1578726457861562"</f>
        <v>1578726457861562</v>
      </c>
      <c r="C812" t="s">
        <v>40</v>
      </c>
      <c r="D812">
        <v>5.4668380000000001</v>
      </c>
      <c r="E812">
        <v>0.50099579999999999</v>
      </c>
      <c r="F812" t="s">
        <v>54</v>
      </c>
      <c r="G812">
        <v>-190.0247</v>
      </c>
      <c r="H812" s="1">
        <v>7.3420120000000001E-7</v>
      </c>
      <c r="I812">
        <v>297.52260000000001</v>
      </c>
      <c r="J812">
        <v>-189.32300000000001</v>
      </c>
      <c r="K812">
        <v>1.1198140000000001</v>
      </c>
      <c r="L812">
        <v>317.08170000000001</v>
      </c>
      <c r="M812">
        <v>-0.15886410000000001</v>
      </c>
      <c r="N812">
        <v>0</v>
      </c>
      <c r="O812">
        <v>-0.98719109999999999</v>
      </c>
      <c r="P812">
        <v>-2.9441709999999999E-2</v>
      </c>
      <c r="Q812">
        <v>0.1429463</v>
      </c>
      <c r="R812">
        <v>-0.98929259999999997</v>
      </c>
      <c r="S812">
        <v>-0.11660769999999999</v>
      </c>
      <c r="T812">
        <v>-0.1712911</v>
      </c>
      <c r="U812">
        <v>-3.0529790000000001</v>
      </c>
      <c r="V812">
        <v>-0.13175429999999999</v>
      </c>
      <c r="W812">
        <v>0.15432309999999999</v>
      </c>
      <c r="X812">
        <v>0.97919619999999996</v>
      </c>
      <c r="Y812">
        <v>-0.1211404</v>
      </c>
      <c r="Z812">
        <v>5.4726370000000003E-2</v>
      </c>
      <c r="AA812">
        <v>0.99112560000000005</v>
      </c>
      <c r="AB812">
        <v>39</v>
      </c>
      <c r="AC812">
        <v>-0.70170000000001598</v>
      </c>
      <c r="AD812">
        <v>-1.11981326579879</v>
      </c>
      <c r="AE812">
        <v>-19.559100000000001</v>
      </c>
      <c r="AF812">
        <v>-2.4069081274159001</v>
      </c>
      <c r="AG812">
        <v>-1.11981326579879</v>
      </c>
      <c r="AH812">
        <v>19.358767194633302</v>
      </c>
      <c r="AI812">
        <v>93.285361334296795</v>
      </c>
      <c r="AJ812">
        <v>97.087310675238001</v>
      </c>
      <c r="AK812">
        <v>19.539934897027901</v>
      </c>
      <c r="AL812">
        <v>81.122459664160303</v>
      </c>
      <c r="AM812">
        <v>97.663323000888596</v>
      </c>
      <c r="AN812">
        <v>1.0000000064282699</v>
      </c>
    </row>
    <row r="813" spans="1:40" x14ac:dyDescent="0.3">
      <c r="A813" t="str">
        <f>"20200111150737894"</f>
        <v>20200111150737894</v>
      </c>
      <c r="B813" t="str">
        <f>"1578726457891818"</f>
        <v>1578726457891818</v>
      </c>
      <c r="C813" t="s">
        <v>40</v>
      </c>
      <c r="D813">
        <v>5.4391339999999904</v>
      </c>
      <c r="E813">
        <v>0.50545699999999905</v>
      </c>
      <c r="F813" t="s">
        <v>43</v>
      </c>
      <c r="G813">
        <v>-189.9367</v>
      </c>
      <c r="H813" s="1">
        <v>-6.3925300000000004E-7</v>
      </c>
      <c r="I813">
        <v>301.0967</v>
      </c>
      <c r="J813">
        <v>-189.3784</v>
      </c>
      <c r="K813">
        <v>1.119909</v>
      </c>
      <c r="L813">
        <v>316.69200000000001</v>
      </c>
      <c r="M813">
        <v>-0.1494875</v>
      </c>
      <c r="N813">
        <v>0</v>
      </c>
      <c r="O813">
        <v>-0.98865429999999999</v>
      </c>
      <c r="P813">
        <v>-2.1572890000000001E-2</v>
      </c>
      <c r="Q813">
        <v>0.14256679999999999</v>
      </c>
      <c r="R813">
        <v>-0.98955009999999999</v>
      </c>
      <c r="S813">
        <v>-0.117477399999999</v>
      </c>
      <c r="T813">
        <v>-0.21436140000000001</v>
      </c>
      <c r="U813">
        <v>-3.0599370000000001</v>
      </c>
      <c r="V813">
        <v>-0.1302799</v>
      </c>
      <c r="W813">
        <v>0.153975</v>
      </c>
      <c r="X813">
        <v>0.97944830000000005</v>
      </c>
      <c r="Y813">
        <v>-0.11155080000000001</v>
      </c>
      <c r="Z813">
        <v>6.8463969999999999E-2</v>
      </c>
      <c r="AA813">
        <v>0.99139759999999999</v>
      </c>
      <c r="AB813">
        <v>39</v>
      </c>
      <c r="AC813">
        <v>-0.55830000000000202</v>
      </c>
      <c r="AD813">
        <v>-1.1199096392529999</v>
      </c>
      <c r="AE813">
        <v>-15.5953</v>
      </c>
      <c r="AF813">
        <v>-1.7704111240778999</v>
      </c>
      <c r="AG813">
        <v>-1.1199096392529999</v>
      </c>
      <c r="AH813">
        <v>15.424058351805099</v>
      </c>
      <c r="AI813">
        <v>94.125847295501998</v>
      </c>
      <c r="AJ813">
        <v>96.547893791726295</v>
      </c>
      <c r="AK813">
        <v>15.565671498147401</v>
      </c>
      <c r="AL813">
        <v>81.1426460973708</v>
      </c>
      <c r="AM813">
        <v>97.576640681679393</v>
      </c>
      <c r="AN813">
        <v>1.00000006267094</v>
      </c>
    </row>
    <row r="814" spans="1:40" x14ac:dyDescent="0.3">
      <c r="A814" t="str">
        <f>"20200111150737916"</f>
        <v>20200111150737916</v>
      </c>
      <c r="B814" t="str">
        <f>"1578726457912313"</f>
        <v>1578726457912313</v>
      </c>
      <c r="C814" t="s">
        <v>40</v>
      </c>
      <c r="D814">
        <v>5.5186489999999999</v>
      </c>
      <c r="E814">
        <v>0.50765090000000002</v>
      </c>
      <c r="F814" t="s">
        <v>43</v>
      </c>
      <c r="G814">
        <v>-189.98599999999999</v>
      </c>
      <c r="H814" s="1">
        <v>-1.2067889999999999E-6</v>
      </c>
      <c r="I814">
        <v>302.41090000000003</v>
      </c>
      <c r="J814">
        <v>-189.42689999999999</v>
      </c>
      <c r="K814">
        <v>1.11999</v>
      </c>
      <c r="L814">
        <v>316.3263</v>
      </c>
      <c r="M814">
        <v>-0.14061399999999999</v>
      </c>
      <c r="N814">
        <v>0</v>
      </c>
      <c r="O814">
        <v>-0.98995480000000002</v>
      </c>
      <c r="P814">
        <v>-1.6443240000000001E-2</v>
      </c>
      <c r="Q814">
        <v>0.1420718</v>
      </c>
      <c r="R814">
        <v>-0.98971980000000004</v>
      </c>
      <c r="S814">
        <v>-0.1303406</v>
      </c>
      <c r="T814">
        <v>-0.24023120000000001</v>
      </c>
      <c r="U814">
        <v>-3.0634459999999999</v>
      </c>
      <c r="V814">
        <v>-0.1265946</v>
      </c>
      <c r="W814">
        <v>0.15357119999999999</v>
      </c>
      <c r="X814">
        <v>0.97999480000000005</v>
      </c>
      <c r="Y814">
        <v>-9.8541799999999999E-2</v>
      </c>
      <c r="Z814">
        <v>7.6791170000000006E-2</v>
      </c>
      <c r="AA814">
        <v>0.99216559999999998</v>
      </c>
      <c r="AB814">
        <v>39</v>
      </c>
      <c r="AC814">
        <v>-0.55910000000000004</v>
      </c>
      <c r="AD814">
        <v>-1.1199912067890001</v>
      </c>
      <c r="AE814">
        <v>-13.915399999999901</v>
      </c>
      <c r="AF814">
        <v>-1.39435075716696</v>
      </c>
      <c r="AG814">
        <v>-1.1199912067890001</v>
      </c>
      <c r="AH814">
        <v>13.7667027751587</v>
      </c>
      <c r="AI814">
        <v>94.627488142336404</v>
      </c>
      <c r="AJ814">
        <v>95.783439842227494</v>
      </c>
      <c r="AK814">
        <v>13.882388110006801</v>
      </c>
      <c r="AL814">
        <v>81.166060570409698</v>
      </c>
      <c r="AM814">
        <v>97.360640683092299</v>
      </c>
      <c r="AN814">
        <v>1.00000005712281</v>
      </c>
    </row>
    <row r="815" spans="1:40" x14ac:dyDescent="0.3">
      <c r="A815" t="str">
        <f>"20200111150737937"</f>
        <v>20200111150737937</v>
      </c>
      <c r="B815" t="str">
        <f>"1578726457931835"</f>
        <v>1578726457931835</v>
      </c>
      <c r="C815" t="s">
        <v>40</v>
      </c>
      <c r="D815">
        <v>5.5182520000000004</v>
      </c>
      <c r="E815">
        <v>0.51031539999999997</v>
      </c>
      <c r="F815" t="s">
        <v>43</v>
      </c>
      <c r="G815">
        <v>-190.06059999999999</v>
      </c>
      <c r="H815" s="1">
        <v>-8.5018430000000004E-7</v>
      </c>
      <c r="I815">
        <v>301.5333</v>
      </c>
      <c r="J815">
        <v>-189.4736</v>
      </c>
      <c r="K815">
        <v>1.120074</v>
      </c>
      <c r="L815">
        <v>315.94740000000002</v>
      </c>
      <c r="M815">
        <v>-0.13134680000000001</v>
      </c>
      <c r="N815">
        <v>0</v>
      </c>
      <c r="O815">
        <v>-0.99122659999999996</v>
      </c>
      <c r="P815">
        <v>-1.3655520000000001E-2</v>
      </c>
      <c r="Q815">
        <v>0.14109910000000001</v>
      </c>
      <c r="R815">
        <v>-0.98990129999999998</v>
      </c>
      <c r="S815">
        <v>-0.13117980000000001</v>
      </c>
      <c r="T815">
        <v>-0.23184679999999999</v>
      </c>
      <c r="U815">
        <v>-3.0622560000000001</v>
      </c>
      <c r="V815">
        <v>-0.1201991</v>
      </c>
      <c r="W815">
        <v>0.1527645</v>
      </c>
      <c r="X815">
        <v>0.98092570000000001</v>
      </c>
      <c r="Y815">
        <v>-8.8931899999999994E-2</v>
      </c>
      <c r="Z815">
        <v>7.4332449999999994E-2</v>
      </c>
      <c r="AA815">
        <v>0.99326020000000004</v>
      </c>
      <c r="AB815">
        <v>39</v>
      </c>
      <c r="AC815">
        <v>-0.58699999999998898</v>
      </c>
      <c r="AD815">
        <v>-1.1200748501843001</v>
      </c>
      <c r="AE815">
        <v>-14.414099999999999</v>
      </c>
      <c r="AF815">
        <v>-1.30367970582699</v>
      </c>
      <c r="AG815">
        <v>-1.1200748501843001</v>
      </c>
      <c r="AH815">
        <v>14.280218473678399</v>
      </c>
      <c r="AI815">
        <v>94.466338367517807</v>
      </c>
      <c r="AJ815">
        <v>95.216227196394399</v>
      </c>
      <c r="AK815">
        <v>14.3832815484293</v>
      </c>
      <c r="AL815">
        <v>81.212832673550693</v>
      </c>
      <c r="AM815">
        <v>96.985991956555907</v>
      </c>
      <c r="AN815">
        <v>1.0000000225107699</v>
      </c>
    </row>
    <row r="816" spans="1:40" x14ac:dyDescent="0.3">
      <c r="A816" t="str">
        <f>"20200111150737961"</f>
        <v>20200111150737961</v>
      </c>
      <c r="B816" t="str">
        <f>"1578726457952329"</f>
        <v>1578726457952329</v>
      </c>
      <c r="C816" t="s">
        <v>40</v>
      </c>
      <c r="D816">
        <v>5.3915230000000003</v>
      </c>
      <c r="E816">
        <v>0.51349230000000001</v>
      </c>
      <c r="F816" t="s">
        <v>43</v>
      </c>
      <c r="G816">
        <v>-190.114</v>
      </c>
      <c r="H816" s="1">
        <v>-1.2184419999999999E-6</v>
      </c>
      <c r="I816">
        <v>302.35860000000002</v>
      </c>
      <c r="J816">
        <v>-189.51859999999999</v>
      </c>
      <c r="K816">
        <v>1.1201410000000001</v>
      </c>
      <c r="L816">
        <v>315.54939999999999</v>
      </c>
      <c r="M816">
        <v>-0.12153659999999999</v>
      </c>
      <c r="N816">
        <v>0</v>
      </c>
      <c r="O816">
        <v>-0.9924769</v>
      </c>
      <c r="P816">
        <v>-1.028567E-2</v>
      </c>
      <c r="Q816">
        <v>0.14071549999999999</v>
      </c>
      <c r="R816">
        <v>-0.98999680000000001</v>
      </c>
      <c r="S816">
        <v>-0.1444397</v>
      </c>
      <c r="T816">
        <v>-0.25260389999999999</v>
      </c>
      <c r="U816">
        <v>-3.0646059999999999</v>
      </c>
      <c r="V816">
        <v>-0.11384900000000001</v>
      </c>
      <c r="W816">
        <v>0.15254860000000001</v>
      </c>
      <c r="X816">
        <v>0.98171649999999999</v>
      </c>
      <c r="Y816">
        <v>-7.4840370000000003E-2</v>
      </c>
      <c r="Z816">
        <v>8.1076410000000002E-2</v>
      </c>
      <c r="AA816">
        <v>0.9938941</v>
      </c>
      <c r="AB816">
        <v>39</v>
      </c>
      <c r="AC816">
        <v>-0.59540000000001203</v>
      </c>
      <c r="AD816">
        <v>-1.120142218442</v>
      </c>
      <c r="AE816">
        <v>-13.1907999999999</v>
      </c>
      <c r="AF816">
        <v>-1.0051214846663601</v>
      </c>
      <c r="AG816">
        <v>-1.120142218442</v>
      </c>
      <c r="AH816">
        <v>13.0712979649412</v>
      </c>
      <c r="AI816">
        <v>94.883637055784305</v>
      </c>
      <c r="AJ816">
        <v>94.397123675989306</v>
      </c>
      <c r="AK816">
        <v>13.1576524607071</v>
      </c>
      <c r="AL816">
        <v>81.225349147206998</v>
      </c>
      <c r="AM816">
        <v>96.615003688196595</v>
      </c>
      <c r="AN816">
        <v>0.99999997826760401</v>
      </c>
    </row>
    <row r="817" spans="1:40" x14ac:dyDescent="0.3">
      <c r="A817" t="str">
        <f>"20200111150737983"</f>
        <v>20200111150737983</v>
      </c>
      <c r="B817" t="str">
        <f>"1578726457971849"</f>
        <v>1578726457971849</v>
      </c>
      <c r="C817" t="s">
        <v>40</v>
      </c>
      <c r="D817">
        <v>5.4930729999999999</v>
      </c>
      <c r="E817">
        <v>0.51546210000000003</v>
      </c>
      <c r="F817" t="s">
        <v>43</v>
      </c>
      <c r="G817">
        <v>-190.18029999999999</v>
      </c>
      <c r="H817" s="1">
        <v>-1.4922990000000001E-6</v>
      </c>
      <c r="I817">
        <v>302.95589999999999</v>
      </c>
      <c r="J817">
        <v>-189.55860000000001</v>
      </c>
      <c r="K817">
        <v>1.1201890000000001</v>
      </c>
      <c r="L817">
        <v>315.15910000000002</v>
      </c>
      <c r="M817">
        <v>-0.111858</v>
      </c>
      <c r="N817">
        <v>0</v>
      </c>
      <c r="O817">
        <v>-0.99361370000000004</v>
      </c>
      <c r="P817">
        <v>-6.4092759999999898E-3</v>
      </c>
      <c r="Q817">
        <v>0.1417803</v>
      </c>
      <c r="R817">
        <v>-0.98987729999999996</v>
      </c>
      <c r="S817">
        <v>-0.16116329999999901</v>
      </c>
      <c r="T817">
        <v>-0.27283600000000002</v>
      </c>
      <c r="U817">
        <v>-3.0674440000000001</v>
      </c>
      <c r="V817">
        <v>-0.108143</v>
      </c>
      <c r="W817">
        <v>0.15376619999999999</v>
      </c>
      <c r="X817">
        <v>0.98217160000000003</v>
      </c>
      <c r="Y817">
        <v>-5.9780680000000003E-2</v>
      </c>
      <c r="Z817">
        <v>8.762499E-2</v>
      </c>
      <c r="AA817">
        <v>0.99435810000000002</v>
      </c>
      <c r="AB817">
        <v>39</v>
      </c>
      <c r="AC817">
        <v>-0.62169999999997505</v>
      </c>
      <c r="AD817">
        <v>-1.12019049229899</v>
      </c>
      <c r="AE817">
        <v>-12.203200000000001</v>
      </c>
      <c r="AF817">
        <v>-0.74114900797398298</v>
      </c>
      <c r="AG817">
        <v>-1.12019049229899</v>
      </c>
      <c r="AH817">
        <v>12.0945001313109</v>
      </c>
      <c r="AI817">
        <v>95.281776643738397</v>
      </c>
      <c r="AJ817">
        <v>93.506691006283404</v>
      </c>
      <c r="AK817">
        <v>12.168856232914401</v>
      </c>
      <c r="AL817">
        <v>81.154753105609799</v>
      </c>
      <c r="AM817">
        <v>96.283299960065506</v>
      </c>
      <c r="AN817">
        <v>1.0000000022789901</v>
      </c>
    </row>
    <row r="818" spans="1:40" x14ac:dyDescent="0.3">
      <c r="A818" t="str">
        <f>"20200111150738005"</f>
        <v>20200111150738005</v>
      </c>
      <c r="B818" t="str">
        <f>"1578726458002107"</f>
        <v>1578726458002107</v>
      </c>
      <c r="C818" t="s">
        <v>40</v>
      </c>
      <c r="D818">
        <v>5.5150980000000001</v>
      </c>
      <c r="E818">
        <v>0.51688809999999996</v>
      </c>
      <c r="F818" t="s">
        <v>43</v>
      </c>
      <c r="G818">
        <v>-190.21629999999999</v>
      </c>
      <c r="H818" s="1">
        <v>-1.4857189999999999E-6</v>
      </c>
      <c r="I818">
        <v>302.91820000000001</v>
      </c>
      <c r="J818">
        <v>-189.59229999999999</v>
      </c>
      <c r="K818">
        <v>1.120231</v>
      </c>
      <c r="L818">
        <v>314.79770000000002</v>
      </c>
      <c r="M818">
        <v>-0.1028606</v>
      </c>
      <c r="N818">
        <v>0</v>
      </c>
      <c r="O818">
        <v>-0.99458519999999995</v>
      </c>
      <c r="P818">
        <v>-1.431985E-3</v>
      </c>
      <c r="Q818">
        <v>0.14361090000000001</v>
      </c>
      <c r="R818">
        <v>-0.98963310000000004</v>
      </c>
      <c r="S818">
        <v>-0.164932299999999</v>
      </c>
      <c r="T818">
        <v>-0.28092519999999999</v>
      </c>
      <c r="U818">
        <v>-3.0698240000000001</v>
      </c>
      <c r="V818">
        <v>-0.1042159</v>
      </c>
      <c r="W818">
        <v>0.15570339999999999</v>
      </c>
      <c r="X818">
        <v>0.98229089999999997</v>
      </c>
      <c r="Y818">
        <v>-4.9578900000000002E-2</v>
      </c>
      <c r="Z818">
        <v>9.0287370000000006E-2</v>
      </c>
      <c r="AA818">
        <v>0.99468089999999998</v>
      </c>
      <c r="AB818">
        <v>39</v>
      </c>
      <c r="AC818">
        <v>-0.623999999999995</v>
      </c>
      <c r="AD818">
        <v>-1.120232485719</v>
      </c>
      <c r="AE818">
        <v>-11.8795</v>
      </c>
      <c r="AF818">
        <v>-0.59609137095241205</v>
      </c>
      <c r="AG818">
        <v>-1.120232485719</v>
      </c>
      <c r="AH818">
        <v>11.776235603885199</v>
      </c>
      <c r="AI818">
        <v>95.427090847478894</v>
      </c>
      <c r="AJ818">
        <v>92.897733733221202</v>
      </c>
      <c r="AK818">
        <v>11.844406728190201</v>
      </c>
      <c r="AL818">
        <v>81.042406200945805</v>
      </c>
      <c r="AM818">
        <v>96.056125998980903</v>
      </c>
      <c r="AN818">
        <v>0.99999995740358905</v>
      </c>
    </row>
    <row r="819" spans="1:40" x14ac:dyDescent="0.3">
      <c r="A819" t="str">
        <f>"20200111150738026"</f>
        <v>20200111150738026</v>
      </c>
      <c r="B819" t="str">
        <f>"1578726458021625"</f>
        <v>1578726458021625</v>
      </c>
      <c r="C819" t="s">
        <v>40</v>
      </c>
      <c r="D819">
        <v>5.4553279999999997</v>
      </c>
      <c r="E819">
        <v>0.51881460000000001</v>
      </c>
      <c r="F819" t="s">
        <v>41</v>
      </c>
      <c r="G819">
        <v>-189.64410000000001</v>
      </c>
      <c r="H819">
        <v>1.0266139999999999</v>
      </c>
      <c r="I819">
        <v>313.8048</v>
      </c>
      <c r="J819">
        <v>-189.6241</v>
      </c>
      <c r="K819">
        <v>1.1202449999999999</v>
      </c>
      <c r="L819">
        <v>314.4187</v>
      </c>
      <c r="M819">
        <v>-9.3416650000000004E-2</v>
      </c>
      <c r="N819">
        <v>0</v>
      </c>
      <c r="O819">
        <v>-0.99551639999999997</v>
      </c>
      <c r="P819">
        <v>4.7233639999999999E-3</v>
      </c>
      <c r="Q819">
        <v>0.14358969999999999</v>
      </c>
      <c r="R819">
        <v>-0.98962629999999996</v>
      </c>
      <c r="S819">
        <v>-0.16008</v>
      </c>
      <c r="T819">
        <v>-0.28990320000000003</v>
      </c>
      <c r="U819">
        <v>-3.0733030000000001</v>
      </c>
      <c r="V819">
        <v>-0.10100290000000001</v>
      </c>
      <c r="W819">
        <v>0.15577589999999999</v>
      </c>
      <c r="X819">
        <v>0.98261500000000002</v>
      </c>
      <c r="Y819">
        <v>-4.1738440000000002E-2</v>
      </c>
      <c r="Z819">
        <v>9.3194860000000004E-2</v>
      </c>
      <c r="AA819">
        <v>0.99477269999999896</v>
      </c>
      <c r="AB819">
        <v>39</v>
      </c>
      <c r="AC819">
        <v>-2.0000000000010201E-2</v>
      </c>
      <c r="AD819">
        <v>-9.36310000000002E-2</v>
      </c>
      <c r="AE819">
        <v>-0.613900000000001</v>
      </c>
      <c r="AF819">
        <v>-3.6591985870729697E-2</v>
      </c>
      <c r="AG819">
        <v>-9.36310000000002E-2</v>
      </c>
      <c r="AH819">
        <v>0.59916062355514499</v>
      </c>
      <c r="AI819">
        <v>98.865538722431694</v>
      </c>
      <c r="AJ819">
        <v>93.494831768698404</v>
      </c>
      <c r="AK819">
        <v>0.60753534087323102</v>
      </c>
      <c r="AL819">
        <v>81.038201126621701</v>
      </c>
      <c r="AM819">
        <v>95.868815995824605</v>
      </c>
      <c r="AN819">
        <v>0.99999997752710901</v>
      </c>
    </row>
    <row r="820" spans="1:40" x14ac:dyDescent="0.3">
      <c r="A820" t="str">
        <f>"20200111150738049"</f>
        <v>20200111150738049</v>
      </c>
      <c r="B820" t="str">
        <f>"1578726458042122"</f>
        <v>1578726458042122</v>
      </c>
      <c r="C820" t="s">
        <v>40</v>
      </c>
      <c r="D820">
        <v>5.3810289999999998</v>
      </c>
      <c r="E820">
        <v>0.51884759999999996</v>
      </c>
      <c r="F820" t="s">
        <v>41</v>
      </c>
      <c r="G820">
        <v>-189.67230000000001</v>
      </c>
      <c r="H820">
        <v>1.02905</v>
      </c>
      <c r="I820">
        <v>313.46730000000002</v>
      </c>
      <c r="J820">
        <v>-189.6541</v>
      </c>
      <c r="K820">
        <v>1.12022</v>
      </c>
      <c r="L820">
        <v>314.0129</v>
      </c>
      <c r="M820">
        <v>-8.3348740000000004E-2</v>
      </c>
      <c r="N820">
        <v>0</v>
      </c>
      <c r="O820">
        <v>-0.99640969999999995</v>
      </c>
      <c r="P820">
        <v>1.286987E-2</v>
      </c>
      <c r="Q820">
        <v>0.14190169999999999</v>
      </c>
      <c r="R820">
        <v>-0.98979720000000004</v>
      </c>
      <c r="S820">
        <v>-0.15534970000000001</v>
      </c>
      <c r="T820">
        <v>-0.29525790000000002</v>
      </c>
      <c r="U820">
        <v>-3.075043</v>
      </c>
      <c r="V820">
        <v>-9.9128279999999999E-2</v>
      </c>
      <c r="W820">
        <v>0.1541545</v>
      </c>
      <c r="X820">
        <v>0.98306159999999998</v>
      </c>
      <c r="Y820">
        <v>-3.3201050000000003E-2</v>
      </c>
      <c r="Z820">
        <v>9.4994179999999998E-2</v>
      </c>
      <c r="AA820">
        <v>0.99492400000000003</v>
      </c>
      <c r="AB820">
        <v>39</v>
      </c>
      <c r="AC820">
        <v>-1.8200000000007301E-2</v>
      </c>
      <c r="AD820">
        <v>-9.1169999999999904E-2</v>
      </c>
      <c r="AE820">
        <v>-0.54559999999997899</v>
      </c>
      <c r="AF820">
        <v>-2.6601477805162699E-2</v>
      </c>
      <c r="AG820">
        <v>-9.1169999999999904E-2</v>
      </c>
      <c r="AH820">
        <v>0.530423916996272</v>
      </c>
      <c r="AI820">
        <v>99.740773400838194</v>
      </c>
      <c r="AJ820">
        <v>92.871055499088399</v>
      </c>
      <c r="AK820">
        <v>0.53885910889868704</v>
      </c>
      <c r="AL820">
        <v>81.132237275465698</v>
      </c>
      <c r="AM820">
        <v>95.758030406941899</v>
      </c>
      <c r="AN820">
        <v>1.00000006758028</v>
      </c>
    </row>
    <row r="821" spans="1:40" x14ac:dyDescent="0.3">
      <c r="A821" t="str">
        <f>"20200111150738072"</f>
        <v>20200111150738072</v>
      </c>
      <c r="B821" t="str">
        <f>"1578726458061641"</f>
        <v>1578726458061641</v>
      </c>
      <c r="C821" t="s">
        <v>40</v>
      </c>
      <c r="D821">
        <v>5.3414760000000001</v>
      </c>
      <c r="E821">
        <v>0.52016850000000003</v>
      </c>
      <c r="F821" t="s">
        <v>41</v>
      </c>
      <c r="G821">
        <v>-189.69200000000001</v>
      </c>
      <c r="H821">
        <v>1.0299750000000001</v>
      </c>
      <c r="I821">
        <v>313.12259999999998</v>
      </c>
      <c r="J821">
        <v>-189.679</v>
      </c>
      <c r="K821">
        <v>1.1201479999999999</v>
      </c>
      <c r="L821">
        <v>313.62729999999999</v>
      </c>
      <c r="M821">
        <v>-7.3900060000000004E-2</v>
      </c>
      <c r="N821">
        <v>0</v>
      </c>
      <c r="O821">
        <v>-0.99715480000000001</v>
      </c>
      <c r="P821">
        <v>1.9073980000000001E-2</v>
      </c>
      <c r="Q821">
        <v>0.1427368</v>
      </c>
      <c r="R821">
        <v>-0.98957709999999999</v>
      </c>
      <c r="S821">
        <v>-0.1309814</v>
      </c>
      <c r="T821">
        <v>-0.31196360000000001</v>
      </c>
      <c r="U821">
        <v>-3.0773320000000002</v>
      </c>
      <c r="V821">
        <v>-9.5952739999999995E-2</v>
      </c>
      <c r="W821">
        <v>0.15508820000000001</v>
      </c>
      <c r="X821">
        <v>0.98322980000000004</v>
      </c>
      <c r="Y821">
        <v>-3.1648120000000002E-2</v>
      </c>
      <c r="Z821">
        <v>0.10037509999999999</v>
      </c>
      <c r="AA821">
        <v>0.99444619999999995</v>
      </c>
      <c r="AB821">
        <v>39</v>
      </c>
      <c r="AC821">
        <v>-1.30000000000052E-2</v>
      </c>
      <c r="AD821">
        <v>-9.0172999999999795E-2</v>
      </c>
      <c r="AE821">
        <v>-0.50470000000001303</v>
      </c>
      <c r="AF821">
        <v>-2.3584673883945601E-2</v>
      </c>
      <c r="AG821">
        <v>-9.0172999999999795E-2</v>
      </c>
      <c r="AH821">
        <v>0.48869095813817998</v>
      </c>
      <c r="AI821">
        <v>100.44270877979601</v>
      </c>
      <c r="AJ821">
        <v>92.763003085317607</v>
      </c>
      <c r="AK821">
        <v>0.49750000938414501</v>
      </c>
      <c r="AL821">
        <v>81.078088931545395</v>
      </c>
      <c r="AM821">
        <v>95.5738072182248</v>
      </c>
      <c r="AN821">
        <v>1.0000000588503899</v>
      </c>
    </row>
    <row r="822" spans="1:40" x14ac:dyDescent="0.3">
      <c r="A822" t="str">
        <f>"20200111150738093"</f>
        <v>20200111150738093</v>
      </c>
      <c r="B822" t="str">
        <f>"1578726458082140"</f>
        <v>1578726458082140</v>
      </c>
      <c r="C822" t="s">
        <v>40</v>
      </c>
      <c r="D822">
        <v>5.3863699999999897</v>
      </c>
      <c r="E822">
        <v>0.52097660000000001</v>
      </c>
      <c r="F822" t="s">
        <v>41</v>
      </c>
      <c r="G822">
        <v>-189.71279999999999</v>
      </c>
      <c r="H822">
        <v>1.0338499999999999</v>
      </c>
      <c r="I822">
        <v>312.77659999999997</v>
      </c>
      <c r="J822">
        <v>-189.6995</v>
      </c>
      <c r="K822">
        <v>1.1200239999999999</v>
      </c>
      <c r="L822">
        <v>313.25959999999998</v>
      </c>
      <c r="M822">
        <v>-6.5087699999999998E-2</v>
      </c>
      <c r="N822">
        <v>0</v>
      </c>
      <c r="O822">
        <v>-0.99776909999999996</v>
      </c>
      <c r="P822">
        <v>2.2490659999999999E-2</v>
      </c>
      <c r="Q822">
        <v>0.1445632</v>
      </c>
      <c r="R822">
        <v>-0.98923989999999995</v>
      </c>
      <c r="S822">
        <v>-0.12194820000000001</v>
      </c>
      <c r="T822">
        <v>-0.31273319999999999</v>
      </c>
      <c r="U822">
        <v>-3.0790709999999999</v>
      </c>
      <c r="V822">
        <v>-9.0628990000000006E-2</v>
      </c>
      <c r="W822">
        <v>0.15706829999999999</v>
      </c>
      <c r="X822">
        <v>0.98342059999999998</v>
      </c>
      <c r="Y822">
        <v>-2.575473E-2</v>
      </c>
      <c r="Z822">
        <v>0.1006712</v>
      </c>
      <c r="AA822">
        <v>0.99458630000000003</v>
      </c>
      <c r="AB822">
        <v>39</v>
      </c>
      <c r="AC822">
        <v>-1.3299999999986699E-2</v>
      </c>
      <c r="AD822">
        <v>-8.6173999999999903E-2</v>
      </c>
      <c r="AE822">
        <v>-0.48300000000000398</v>
      </c>
      <c r="AF822">
        <v>-1.7608936883501999E-2</v>
      </c>
      <c r="AG822">
        <v>-8.6173999999999903E-2</v>
      </c>
      <c r="AH822">
        <v>0.467956836241884</v>
      </c>
      <c r="AI822">
        <v>100.426874008079</v>
      </c>
      <c r="AJ822">
        <v>92.154989288354699</v>
      </c>
      <c r="AK822">
        <v>0.47615085164229198</v>
      </c>
      <c r="AL822">
        <v>80.963230019549101</v>
      </c>
      <c r="AM822">
        <v>95.265328846456299</v>
      </c>
      <c r="AN822">
        <v>1.0000000705988299</v>
      </c>
    </row>
    <row r="823" spans="1:40" x14ac:dyDescent="0.3">
      <c r="A823" t="str">
        <f>"20200111150738139"</f>
        <v>20200111150738139</v>
      </c>
      <c r="B823" t="str">
        <f>"1578726458131717"</f>
        <v>1578726458131717</v>
      </c>
      <c r="C823" t="s">
        <v>40</v>
      </c>
      <c r="D823">
        <v>5.2881960000000001</v>
      </c>
      <c r="E823">
        <v>0.65386679999999997</v>
      </c>
      <c r="F823" t="s">
        <v>41</v>
      </c>
      <c r="G823">
        <v>-189.73159999999999</v>
      </c>
      <c r="H823">
        <v>1.037177</v>
      </c>
      <c r="I823">
        <v>312.43110000000001</v>
      </c>
      <c r="J823">
        <v>-189.73320000000001</v>
      </c>
      <c r="K823">
        <v>1.1195280000000001</v>
      </c>
      <c r="L823">
        <v>312.48099999999999</v>
      </c>
      <c r="M823">
        <v>-4.745017E-2</v>
      </c>
      <c r="N823">
        <v>0</v>
      </c>
      <c r="O823">
        <v>-0.99876379999999998</v>
      </c>
      <c r="P823">
        <v>2.2287810000000002E-2</v>
      </c>
      <c r="Q823">
        <v>0.1431067</v>
      </c>
      <c r="R823">
        <v>-0.98945660000000002</v>
      </c>
      <c r="S823">
        <v>-0.1191559</v>
      </c>
      <c r="T823">
        <v>-0.30810549999999998</v>
      </c>
      <c r="U823">
        <v>-3.0803530000000001</v>
      </c>
      <c r="V823">
        <v>-7.2788599999999995E-2</v>
      </c>
      <c r="W823">
        <v>0.15610660000000001</v>
      </c>
      <c r="X823">
        <v>0.9850546</v>
      </c>
      <c r="Y823">
        <v>-9.0011610000000006E-3</v>
      </c>
      <c r="Z823">
        <v>9.9319749999999998E-2</v>
      </c>
      <c r="AA823">
        <v>0.99501479999999998</v>
      </c>
      <c r="AB823">
        <v>39</v>
      </c>
      <c r="AC823">
        <v>1.60000000002469E-3</v>
      </c>
      <c r="AD823">
        <v>-8.2350999999999994E-2</v>
      </c>
      <c r="AE823">
        <v>-4.98999999999796E-2</v>
      </c>
      <c r="AF823">
        <v>-1.0659702699441101E-3</v>
      </c>
      <c r="AG823">
        <v>-8.2350999999999994E-2</v>
      </c>
      <c r="AH823">
        <v>1.3375718638141699E-2</v>
      </c>
      <c r="AI823">
        <v>170.74565189824</v>
      </c>
      <c r="AJ823">
        <v>94.556524292568994</v>
      </c>
      <c r="AK823">
        <v>8.3437002239432997E-2</v>
      </c>
      <c r="AL823">
        <v>81.0190190160572</v>
      </c>
      <c r="AM823">
        <v>94.2260742083606</v>
      </c>
      <c r="AN823">
        <v>1.0000000079173399</v>
      </c>
    </row>
    <row r="824" spans="1:40" x14ac:dyDescent="0.3">
      <c r="A824" t="str">
        <f>"20200111150738162"</f>
        <v>20200111150738162</v>
      </c>
      <c r="B824" t="str">
        <f>"1578726458152214"</f>
        <v>1578726458152214</v>
      </c>
      <c r="C824" t="s">
        <v>40</v>
      </c>
      <c r="D824">
        <v>5.2474999999999996</v>
      </c>
      <c r="E824">
        <v>0.67778400000000005</v>
      </c>
      <c r="F824" t="s">
        <v>49</v>
      </c>
      <c r="G824">
        <v>0</v>
      </c>
      <c r="H824">
        <v>0</v>
      </c>
      <c r="I824">
        <v>0</v>
      </c>
      <c r="J824">
        <v>-189.7457</v>
      </c>
      <c r="K824">
        <v>1.119132</v>
      </c>
      <c r="L824">
        <v>312.07749999999999</v>
      </c>
      <c r="M824">
        <v>-3.9137730000000003E-2</v>
      </c>
      <c r="N824">
        <v>0</v>
      </c>
      <c r="O824">
        <v>-0.99912460000000003</v>
      </c>
      <c r="P824">
        <v>1.8180180000000001E-2</v>
      </c>
      <c r="Q824">
        <v>0.1425217</v>
      </c>
      <c r="R824">
        <v>-0.98962470000000002</v>
      </c>
      <c r="S824">
        <v>-1.147659</v>
      </c>
      <c r="T824">
        <v>0.86959279999999906</v>
      </c>
      <c r="U824">
        <v>-2.9320369999999998</v>
      </c>
      <c r="V824">
        <v>-6.0307810000000003E-2</v>
      </c>
      <c r="W824">
        <v>0.15583859999999999</v>
      </c>
      <c r="X824">
        <v>0.98593980000000003</v>
      </c>
      <c r="Y824">
        <v>0.31448609999999999</v>
      </c>
      <c r="Z824">
        <v>-0.26773279999999999</v>
      </c>
      <c r="AA824">
        <v>0.91072370000000002</v>
      </c>
      <c r="AB824">
        <v>39</v>
      </c>
      <c r="AC824">
        <v>-1.147659</v>
      </c>
      <c r="AD824">
        <v>0.86959279999999906</v>
      </c>
      <c r="AE824">
        <v>-2.9320369999999998</v>
      </c>
      <c r="AF824">
        <v>0.95887510063742798</v>
      </c>
      <c r="AG824">
        <v>0.86959279999999906</v>
      </c>
      <c r="AH824">
        <v>2.7638945106910202</v>
      </c>
      <c r="AI824">
        <v>73.445639538064199</v>
      </c>
      <c r="AJ824">
        <v>70.866857791585502</v>
      </c>
      <c r="AK824">
        <v>3.0520068746092601</v>
      </c>
      <c r="AL824">
        <v>81.034564425765893</v>
      </c>
      <c r="AM824">
        <v>93.500298080117005</v>
      </c>
      <c r="AN824">
        <v>0.99999999521049798</v>
      </c>
    </row>
    <row r="825" spans="1:40" x14ac:dyDescent="0.3">
      <c r="A825" t="str">
        <f>"20200111150738184"</f>
        <v>20200111150738184</v>
      </c>
      <c r="B825" t="str">
        <f>"1578726458181492"</f>
        <v>1578726458181492</v>
      </c>
      <c r="C825" t="s">
        <v>40</v>
      </c>
      <c r="D825">
        <v>5.2584609999999996</v>
      </c>
      <c r="E825">
        <v>0.6809598</v>
      </c>
      <c r="F825" t="s">
        <v>54</v>
      </c>
      <c r="G825">
        <v>-199.41849999999999</v>
      </c>
      <c r="H825" s="1">
        <v>1.6519419999999999E-6</v>
      </c>
      <c r="I825">
        <v>290.50799999999998</v>
      </c>
      <c r="J825">
        <v>-189.75479999999999</v>
      </c>
      <c r="K825">
        <v>1.118682</v>
      </c>
      <c r="L825">
        <v>311.70209999999997</v>
      </c>
      <c r="M825">
        <v>-3.2000090000000002E-2</v>
      </c>
      <c r="N825">
        <v>0</v>
      </c>
      <c r="O825">
        <v>-0.99937920000000002</v>
      </c>
      <c r="P825">
        <v>1.2268090000000001E-2</v>
      </c>
      <c r="Q825">
        <v>0.14406569999999999</v>
      </c>
      <c r="R825">
        <v>-0.98949189999999998</v>
      </c>
      <c r="S825">
        <v>-1.381149</v>
      </c>
      <c r="T825">
        <v>-0.1597963</v>
      </c>
      <c r="U825">
        <v>-3.079834</v>
      </c>
      <c r="V825">
        <v>-4.7197099999999999E-2</v>
      </c>
      <c r="W825">
        <v>0.15768370000000001</v>
      </c>
      <c r="X825">
        <v>0.98636109999999999</v>
      </c>
      <c r="Y825">
        <v>0.3793144</v>
      </c>
      <c r="Z825">
        <v>4.7563429999999997E-2</v>
      </c>
      <c r="AA825">
        <v>0.92404450000000005</v>
      </c>
      <c r="AB825">
        <v>39</v>
      </c>
      <c r="AC825">
        <v>-9.6637000000000004</v>
      </c>
      <c r="AD825">
        <v>-1.1186803480580001</v>
      </c>
      <c r="AE825">
        <v>-21.194099999999899</v>
      </c>
      <c r="AF825">
        <v>8.9597973990466198</v>
      </c>
      <c r="AG825">
        <v>-1.1186803480580001</v>
      </c>
      <c r="AH825">
        <v>21.4430581866268</v>
      </c>
      <c r="AI825">
        <v>92.755899646050196</v>
      </c>
      <c r="AJ825">
        <v>67.3228085362462</v>
      </c>
      <c r="AK825">
        <v>23.266588910885801</v>
      </c>
      <c r="AL825">
        <v>80.927524330360896</v>
      </c>
      <c r="AM825">
        <v>92.739497359112306</v>
      </c>
      <c r="AN825">
        <v>0.99999996754365394</v>
      </c>
    </row>
    <row r="826" spans="1:40" x14ac:dyDescent="0.3">
      <c r="A826" t="str">
        <f>"20200111150738204"</f>
        <v>20200111150738204</v>
      </c>
      <c r="B826" t="str">
        <f>"1578726458201989"</f>
        <v>1578726458201989</v>
      </c>
      <c r="C826" t="s">
        <v>40</v>
      </c>
      <c r="D826">
        <v>5.2594799999999999</v>
      </c>
      <c r="E826">
        <v>0.68287209999999998</v>
      </c>
      <c r="F826" t="s">
        <v>54</v>
      </c>
      <c r="G826">
        <v>-197.85669999999999</v>
      </c>
      <c r="H826" s="1">
        <v>1.135745E-6</v>
      </c>
      <c r="I826">
        <v>294.22550000000001</v>
      </c>
      <c r="J826">
        <v>-189.76150000000001</v>
      </c>
      <c r="K826">
        <v>1.1182299999999901</v>
      </c>
      <c r="L826">
        <v>311.3449</v>
      </c>
      <c r="M826">
        <v>-2.5721419999999998E-2</v>
      </c>
      <c r="N826">
        <v>0</v>
      </c>
      <c r="O826">
        <v>-0.99956100000000003</v>
      </c>
      <c r="P826">
        <v>4.2916739999999997E-3</v>
      </c>
      <c r="Q826">
        <v>0.14745259999999999</v>
      </c>
      <c r="R826">
        <v>-0.98905980000000004</v>
      </c>
      <c r="S826">
        <v>-1.4270320000000001</v>
      </c>
      <c r="T826">
        <v>-0.1970401</v>
      </c>
      <c r="U826">
        <v>-3.0782470000000002</v>
      </c>
      <c r="V826">
        <v>-3.2894930000000003E-2</v>
      </c>
      <c r="W826">
        <v>0.16136059999999999</v>
      </c>
      <c r="X826">
        <v>0.98634710000000003</v>
      </c>
      <c r="Y826">
        <v>0.39639849999999999</v>
      </c>
      <c r="Z826">
        <v>5.8265280000000003E-2</v>
      </c>
      <c r="AA826">
        <v>0.91622780000000004</v>
      </c>
      <c r="AB826">
        <v>39</v>
      </c>
      <c r="AC826">
        <v>-8.09519999999997</v>
      </c>
      <c r="AD826">
        <v>-1.11822886425499</v>
      </c>
      <c r="AE826">
        <v>-17.119399999999899</v>
      </c>
      <c r="AF826">
        <v>7.6255484485849001</v>
      </c>
      <c r="AG826">
        <v>-1.11822886425499</v>
      </c>
      <c r="AH826">
        <v>17.261786659620299</v>
      </c>
      <c r="AI826">
        <v>93.391162995185397</v>
      </c>
      <c r="AJ826">
        <v>66.166127126209005</v>
      </c>
      <c r="AK826">
        <v>18.904198042149599</v>
      </c>
      <c r="AL826">
        <v>80.714120501882803</v>
      </c>
      <c r="AM826">
        <v>91.910121052923799</v>
      </c>
      <c r="AN826">
        <v>0.999999960665236</v>
      </c>
    </row>
    <row r="827" spans="1:40" x14ac:dyDescent="0.3">
      <c r="A827" t="str">
        <f>"20200111150738229"</f>
        <v>20200111150738229</v>
      </c>
      <c r="B827" t="str">
        <f>"1578726458221509"</f>
        <v>1578726458221509</v>
      </c>
      <c r="C827" t="s">
        <v>40</v>
      </c>
      <c r="D827">
        <v>5.2712029999999999</v>
      </c>
      <c r="E827">
        <v>0.68462190000000001</v>
      </c>
      <c r="F827" t="s">
        <v>54</v>
      </c>
      <c r="G827">
        <v>-198.1901</v>
      </c>
      <c r="H827" s="1">
        <v>1.1939619999999999E-6</v>
      </c>
      <c r="I827">
        <v>293.72710000000001</v>
      </c>
      <c r="J827">
        <v>-189.76669999999999</v>
      </c>
      <c r="K827">
        <v>1.1176820000000001</v>
      </c>
      <c r="L827">
        <v>310.94229999999999</v>
      </c>
      <c r="M827">
        <v>-1.9375739999999999E-2</v>
      </c>
      <c r="N827">
        <v>0</v>
      </c>
      <c r="O827">
        <v>-0.9997047</v>
      </c>
      <c r="P827">
        <v>-4.8801249999999999E-3</v>
      </c>
      <c r="Q827">
        <v>0.1501942</v>
      </c>
      <c r="R827">
        <v>-0.98864419999999997</v>
      </c>
      <c r="S827">
        <v>-1.4680789999999999</v>
      </c>
      <c r="T827">
        <v>-0.1947701</v>
      </c>
      <c r="U827">
        <v>-3.0686339999999999</v>
      </c>
      <c r="V827">
        <v>-1.727068E-2</v>
      </c>
      <c r="W827">
        <v>0.1643838</v>
      </c>
      <c r="X827">
        <v>0.98624520000000004</v>
      </c>
      <c r="Y827">
        <v>0.41329670000000002</v>
      </c>
      <c r="Z827">
        <v>5.73916999999999E-2</v>
      </c>
      <c r="AA827">
        <v>0.90878599999999998</v>
      </c>
      <c r="AB827">
        <v>39</v>
      </c>
      <c r="AC827">
        <v>-8.4234000000000098</v>
      </c>
      <c r="AD827">
        <v>-1.1176808060379999</v>
      </c>
      <c r="AE827">
        <v>-17.2151999999999</v>
      </c>
      <c r="AF827">
        <v>8.0608111667530409</v>
      </c>
      <c r="AG827">
        <v>-1.1176808060379999</v>
      </c>
      <c r="AH827">
        <v>17.3163035594437</v>
      </c>
      <c r="AI827">
        <v>93.348879947663207</v>
      </c>
      <c r="AJ827">
        <v>65.037826664640505</v>
      </c>
      <c r="AK827">
        <v>19.133223879237899</v>
      </c>
      <c r="AL827">
        <v>80.538559506837302</v>
      </c>
      <c r="AM827">
        <v>91.003235243452096</v>
      </c>
      <c r="AN827">
        <v>0.99999995230657002</v>
      </c>
    </row>
    <row r="828" spans="1:40" x14ac:dyDescent="0.3">
      <c r="A828" t="str">
        <f>"20200111150738250"</f>
        <v>20200111150738250</v>
      </c>
      <c r="B828" t="str">
        <f>"1578726458242005"</f>
        <v>1578726458242005</v>
      </c>
      <c r="C828" t="s">
        <v>40</v>
      </c>
      <c r="D828">
        <v>5.2725660000000003</v>
      </c>
      <c r="E828">
        <v>0.68583419999999995</v>
      </c>
      <c r="F828" t="s">
        <v>54</v>
      </c>
      <c r="G828">
        <v>-198.48859999999999</v>
      </c>
      <c r="H828" s="1">
        <v>1.2419079999999999E-6</v>
      </c>
      <c r="I828">
        <v>293.30450000000002</v>
      </c>
      <c r="J828">
        <v>-189.77</v>
      </c>
      <c r="K828">
        <v>1.117059</v>
      </c>
      <c r="L828">
        <v>310.5548</v>
      </c>
      <c r="M828">
        <v>-1.412018E-2</v>
      </c>
      <c r="N828">
        <v>0</v>
      </c>
      <c r="O828">
        <v>-0.99979359999999995</v>
      </c>
      <c r="P828">
        <v>-1.5610479999999999E-2</v>
      </c>
      <c r="Q828">
        <v>0.151674799999999</v>
      </c>
      <c r="R828">
        <v>-0.98830720000000005</v>
      </c>
      <c r="S828">
        <v>-1.5113829999999999</v>
      </c>
      <c r="T828">
        <v>-0.19367899999999999</v>
      </c>
      <c r="U828">
        <v>-3.0563959999999999</v>
      </c>
      <c r="V828">
        <v>-1.1123509999999999E-3</v>
      </c>
      <c r="W828">
        <v>0.1661098</v>
      </c>
      <c r="X828">
        <v>0.98610660000000006</v>
      </c>
      <c r="Y828">
        <v>0.42984440000000002</v>
      </c>
      <c r="Z828">
        <v>5.6886899999999997E-2</v>
      </c>
      <c r="AA828">
        <v>0.90110919999999906</v>
      </c>
      <c r="AB828">
        <v>39</v>
      </c>
      <c r="AC828">
        <v>-8.7185999999999808</v>
      </c>
      <c r="AD828">
        <v>-1.117057758092</v>
      </c>
      <c r="AE828">
        <v>-17.2502999999999</v>
      </c>
      <c r="AF828">
        <v>8.4459170618152299</v>
      </c>
      <c r="AG828">
        <v>-1.117057758092</v>
      </c>
      <c r="AH828">
        <v>17.313871116250901</v>
      </c>
      <c r="AI828">
        <v>93.318673999456493</v>
      </c>
      <c r="AJ828">
        <v>63.996316608131401</v>
      </c>
      <c r="AK828">
        <v>19.296410704587601</v>
      </c>
      <c r="AL828">
        <v>80.438288591769194</v>
      </c>
      <c r="AM828">
        <v>90.064630934023796</v>
      </c>
      <c r="AN828">
        <v>0.99999996477217301</v>
      </c>
    </row>
    <row r="829" spans="1:40" x14ac:dyDescent="0.3">
      <c r="A829" t="str">
        <f>"20200111150738274"</f>
        <v>20200111150738274</v>
      </c>
      <c r="B829" t="str">
        <f>"1578726458261524"</f>
        <v>1578726458261524</v>
      </c>
      <c r="C829" t="s">
        <v>40</v>
      </c>
      <c r="D829">
        <v>5.2826519999999997</v>
      </c>
      <c r="E829">
        <v>0.68761569999999905</v>
      </c>
      <c r="F829" t="s">
        <v>54</v>
      </c>
      <c r="G829">
        <v>-198.6712</v>
      </c>
      <c r="H829" s="1">
        <v>1.254936E-6</v>
      </c>
      <c r="I829">
        <v>293.13850000000002</v>
      </c>
      <c r="J829">
        <v>-189.77189999999999</v>
      </c>
      <c r="K829">
        <v>1.1162920000000001</v>
      </c>
      <c r="L829">
        <v>310.15989999999999</v>
      </c>
      <c r="M829">
        <v>-9.7736790000000004E-3</v>
      </c>
      <c r="N829">
        <v>0</v>
      </c>
      <c r="O829">
        <v>-0.99984629999999997</v>
      </c>
      <c r="P829">
        <v>-2.5181080000000002E-2</v>
      </c>
      <c r="Q829">
        <v>0.15058859999999999</v>
      </c>
      <c r="R829">
        <v>-0.98827580000000004</v>
      </c>
      <c r="S829">
        <v>-1.5541529999999999</v>
      </c>
      <c r="T829">
        <v>-0.19503699999999999</v>
      </c>
      <c r="U829">
        <v>-3.0408629999999999</v>
      </c>
      <c r="V829">
        <v>1.308577E-2</v>
      </c>
      <c r="W829">
        <v>0.16518339999999901</v>
      </c>
      <c r="X829">
        <v>0.9861761</v>
      </c>
      <c r="Y829">
        <v>0.4456273</v>
      </c>
      <c r="Z829">
        <v>5.7147370000000003E-2</v>
      </c>
      <c r="AA829">
        <v>0.89339269999999904</v>
      </c>
      <c r="AB829">
        <v>39</v>
      </c>
      <c r="AC829">
        <v>-8.8993000000000002</v>
      </c>
      <c r="AD829">
        <v>-1.1162907450640001</v>
      </c>
      <c r="AE829">
        <v>-17.0213999999999</v>
      </c>
      <c r="AF829">
        <v>8.7030994174808196</v>
      </c>
      <c r="AG829">
        <v>-1.1162907450640001</v>
      </c>
      <c r="AH829">
        <v>17.049985895993</v>
      </c>
      <c r="AI829">
        <v>93.337362926905996</v>
      </c>
      <c r="AJ829">
        <v>62.958136615747698</v>
      </c>
      <c r="AK829">
        <v>19.175298264997899</v>
      </c>
      <c r="AL829">
        <v>80.492111737660693</v>
      </c>
      <c r="AM829">
        <v>89.239775336760701</v>
      </c>
      <c r="AN829">
        <v>1.0000000466116299</v>
      </c>
    </row>
    <row r="830" spans="1:40" x14ac:dyDescent="0.3">
      <c r="A830" t="str">
        <f>"20200111150738295"</f>
        <v>20200111150738295</v>
      </c>
      <c r="B830" t="str">
        <f>"1578726458291781"</f>
        <v>1578726458291781</v>
      </c>
      <c r="C830" t="s">
        <v>40</v>
      </c>
      <c r="D830">
        <v>5.2825819999999997</v>
      </c>
      <c r="E830">
        <v>0.68874409999999997</v>
      </c>
      <c r="F830" t="s">
        <v>54</v>
      </c>
      <c r="G830">
        <v>-198.58320000000001</v>
      </c>
      <c r="H830" s="1">
        <v>1.2037779999999901E-6</v>
      </c>
      <c r="I830">
        <v>293.47340000000003</v>
      </c>
      <c r="J830">
        <v>-189.77289999999999</v>
      </c>
      <c r="K830">
        <v>1.115432</v>
      </c>
      <c r="L830">
        <v>309.7878</v>
      </c>
      <c r="M830">
        <v>-6.7270790000000004E-3</v>
      </c>
      <c r="N830">
        <v>0</v>
      </c>
      <c r="O830">
        <v>-0.99987190000000004</v>
      </c>
      <c r="P830">
        <v>-3.299821E-2</v>
      </c>
      <c r="Q830">
        <v>0.14740149999999999</v>
      </c>
      <c r="R830">
        <v>-0.98852580000000001</v>
      </c>
      <c r="S830">
        <v>-1.5977330000000001</v>
      </c>
      <c r="T830">
        <v>-0.20241419999999999</v>
      </c>
      <c r="U830">
        <v>-3.0257260000000001</v>
      </c>
      <c r="V830">
        <v>2.4304099999999999E-2</v>
      </c>
      <c r="W830">
        <v>0.1620664</v>
      </c>
      <c r="X830">
        <v>0.98648049999999998</v>
      </c>
      <c r="Y830">
        <v>0.46016960000000001</v>
      </c>
      <c r="Z830">
        <v>5.9149060000000003E-2</v>
      </c>
      <c r="AA830">
        <v>0.88585849999999899</v>
      </c>
      <c r="AB830">
        <v>39</v>
      </c>
      <c r="AC830">
        <v>-8.8103000000000105</v>
      </c>
      <c r="AD830">
        <v>-1.115430796222</v>
      </c>
      <c r="AE830">
        <v>-16.3143999999999</v>
      </c>
      <c r="AF830">
        <v>8.66896671552621</v>
      </c>
      <c r="AG830">
        <v>-1.115430796222</v>
      </c>
      <c r="AH830">
        <v>16.314261292069698</v>
      </c>
      <c r="AI830">
        <v>93.455145538780997</v>
      </c>
      <c r="AJ830">
        <v>62.015005722316502</v>
      </c>
      <c r="AK830">
        <v>18.5081142011277</v>
      </c>
      <c r="AL830">
        <v>80.673142061394302</v>
      </c>
      <c r="AM830">
        <v>88.588678936854706</v>
      </c>
      <c r="AN830">
        <v>0.99999999208300905</v>
      </c>
    </row>
    <row r="831" spans="1:40" x14ac:dyDescent="0.3">
      <c r="A831" t="str">
        <f>"20200111150738317"</f>
        <v>20200111150738317</v>
      </c>
      <c r="B831" t="str">
        <f>"1578726458312276"</f>
        <v>1578726458312276</v>
      </c>
      <c r="C831" t="s">
        <v>40</v>
      </c>
      <c r="D831">
        <v>5.2940870000000002</v>
      </c>
      <c r="E831">
        <v>0.68920019999999904</v>
      </c>
      <c r="F831" t="s">
        <v>54</v>
      </c>
      <c r="G831">
        <v>-198.21209999999999</v>
      </c>
      <c r="H831" s="1">
        <v>1.106796E-6</v>
      </c>
      <c r="I831">
        <v>294.21089999999998</v>
      </c>
      <c r="J831">
        <v>-189.77359999999999</v>
      </c>
      <c r="K831">
        <v>1.114471</v>
      </c>
      <c r="L831">
        <v>309.42059999999998</v>
      </c>
      <c r="M831">
        <v>-4.806673E-3</v>
      </c>
      <c r="N831">
        <v>0</v>
      </c>
      <c r="O831">
        <v>-0.99988359999999998</v>
      </c>
      <c r="P831">
        <v>-3.9696130000000003E-2</v>
      </c>
      <c r="Q831">
        <v>0.14373440000000001</v>
      </c>
      <c r="R831">
        <v>-0.98882020000000004</v>
      </c>
      <c r="S831">
        <v>-1.6321410000000001</v>
      </c>
      <c r="T831">
        <v>-0.21572459999999999</v>
      </c>
      <c r="U831">
        <v>-3.0125730000000002</v>
      </c>
      <c r="V831">
        <v>3.3324630000000001E-2</v>
      </c>
      <c r="W831">
        <v>0.15839800000000001</v>
      </c>
      <c r="X831">
        <v>0.98681280000000005</v>
      </c>
      <c r="Y831">
        <v>0.4711824</v>
      </c>
      <c r="Z831">
        <v>6.2912079999999995E-2</v>
      </c>
      <c r="AA831">
        <v>0.8797893</v>
      </c>
      <c r="AB831">
        <v>39</v>
      </c>
      <c r="AC831">
        <v>-8.4384999999999994</v>
      </c>
      <c r="AD831">
        <v>-1.114469893204</v>
      </c>
      <c r="AE831">
        <v>-15.2096999999999</v>
      </c>
      <c r="AF831">
        <v>8.3310848351041198</v>
      </c>
      <c r="AG831">
        <v>-1.114469893204</v>
      </c>
      <c r="AH831">
        <v>15.187738780024199</v>
      </c>
      <c r="AI831">
        <v>93.681106522433296</v>
      </c>
      <c r="AJ831">
        <v>61.253462355557502</v>
      </c>
      <c r="AK831">
        <v>17.358468449803102</v>
      </c>
      <c r="AL831">
        <v>80.886077180065399</v>
      </c>
      <c r="AM831">
        <v>88.065858761767302</v>
      </c>
      <c r="AN831">
        <v>0.999999979806238</v>
      </c>
    </row>
    <row r="832" spans="1:40" x14ac:dyDescent="0.3">
      <c r="A832" t="str">
        <f>"20200111150738340"</f>
        <v>20200111150738340</v>
      </c>
      <c r="B832" t="str">
        <f>"1578726458331797"</f>
        <v>1578726458331797</v>
      </c>
      <c r="C832" t="s">
        <v>40</v>
      </c>
      <c r="D832">
        <v>5.3042490000000004</v>
      </c>
      <c r="E832">
        <v>0.6896158</v>
      </c>
      <c r="F832" t="s">
        <v>54</v>
      </c>
      <c r="G832">
        <v>-198.25470000000001</v>
      </c>
      <c r="H832" s="1">
        <v>1.123504E-6</v>
      </c>
      <c r="I832">
        <v>294.09460000000001</v>
      </c>
      <c r="J832">
        <v>-189.7747</v>
      </c>
      <c r="K832">
        <v>1.1133150000000001</v>
      </c>
      <c r="L832">
        <v>309.01609999999999</v>
      </c>
      <c r="M832">
        <v>-4.0118259999999996E-3</v>
      </c>
      <c r="N832">
        <v>0</v>
      </c>
      <c r="O832">
        <v>-0.99988730000000003</v>
      </c>
      <c r="P832">
        <v>-4.5557029999999998E-2</v>
      </c>
      <c r="Q832">
        <v>0.14076329999999901</v>
      </c>
      <c r="R832">
        <v>-0.9889945</v>
      </c>
      <c r="S832">
        <v>-1.6595759999999999</v>
      </c>
      <c r="T832">
        <v>-0.2180793</v>
      </c>
      <c r="U832">
        <v>-2.998993</v>
      </c>
      <c r="V832">
        <v>4.0451250000000001E-2</v>
      </c>
      <c r="W832">
        <v>0.1553553</v>
      </c>
      <c r="X832">
        <v>0.98703010000000002</v>
      </c>
      <c r="Y832">
        <v>0.47969319999999999</v>
      </c>
      <c r="Z832">
        <v>6.3561549999999994E-2</v>
      </c>
      <c r="AA832">
        <v>0.87513109999999905</v>
      </c>
      <c r="AB832">
        <v>39</v>
      </c>
      <c r="AC832">
        <v>-8.4800000000000093</v>
      </c>
      <c r="AD832">
        <v>-1.113313876496</v>
      </c>
      <c r="AE832">
        <v>-14.921499999999901</v>
      </c>
      <c r="AF832">
        <v>8.3847812028317694</v>
      </c>
      <c r="AG832">
        <v>-1.113313876496</v>
      </c>
      <c r="AH832">
        <v>14.8927374910018</v>
      </c>
      <c r="AI832">
        <v>93.727028099503002</v>
      </c>
      <c r="AJ832">
        <v>60.619992310564299</v>
      </c>
      <c r="AK832">
        <v>17.127102895202299</v>
      </c>
      <c r="AL832">
        <v>81.062596897733897</v>
      </c>
      <c r="AM832">
        <v>87.6531722585799</v>
      </c>
      <c r="AN832">
        <v>0.99999999558533104</v>
      </c>
    </row>
    <row r="833" spans="1:40" x14ac:dyDescent="0.3">
      <c r="A833" t="str">
        <f>"20200111150738362"</f>
        <v>20200111150738362</v>
      </c>
      <c r="B833" t="str">
        <f>"1578726458352293"</f>
        <v>1578726458352293</v>
      </c>
      <c r="C833" t="s">
        <v>40</v>
      </c>
      <c r="D833">
        <v>5.2704589999999998</v>
      </c>
      <c r="E833">
        <v>0.68993990000000005</v>
      </c>
      <c r="F833" t="s">
        <v>54</v>
      </c>
      <c r="G833">
        <v>-198.39930000000001</v>
      </c>
      <c r="H833" s="1">
        <v>1.176351E-6</v>
      </c>
      <c r="I833">
        <v>293.7217</v>
      </c>
      <c r="J833">
        <v>-189.7765</v>
      </c>
      <c r="K833">
        <v>1.112182</v>
      </c>
      <c r="L833">
        <v>308.63510000000002</v>
      </c>
      <c r="M833">
        <v>-4.6378679999999999E-3</v>
      </c>
      <c r="N833">
        <v>0</v>
      </c>
      <c r="O833">
        <v>-0.99988480000000002</v>
      </c>
      <c r="P833">
        <v>-5.2763740000000003E-2</v>
      </c>
      <c r="Q833">
        <v>0.1403239</v>
      </c>
      <c r="R833">
        <v>-0.98869870000000004</v>
      </c>
      <c r="S833">
        <v>-1.6842349999999999</v>
      </c>
      <c r="T833">
        <v>-0.2174102</v>
      </c>
      <c r="U833">
        <v>-2.9867249999999999</v>
      </c>
      <c r="V833">
        <v>4.7482980000000001E-2</v>
      </c>
      <c r="W833">
        <v>0.1548187</v>
      </c>
      <c r="X833">
        <v>0.98680109999999999</v>
      </c>
      <c r="Y833">
        <v>0.48616019999999999</v>
      </c>
      <c r="Z833">
        <v>6.3354220000000003E-2</v>
      </c>
      <c r="AA833">
        <v>0.87157019999999996</v>
      </c>
      <c r="AB833">
        <v>39</v>
      </c>
      <c r="AC833">
        <v>-8.6228000000000105</v>
      </c>
      <c r="AD833">
        <v>-1.1121808236489901</v>
      </c>
      <c r="AE833">
        <v>-14.913399999999999</v>
      </c>
      <c r="AF833">
        <v>8.5180293022565596</v>
      </c>
      <c r="AG833">
        <v>-1.1121808236489901</v>
      </c>
      <c r="AH833">
        <v>14.891166697602999</v>
      </c>
      <c r="AI833">
        <v>93.709307705566005</v>
      </c>
      <c r="AJ833">
        <v>60.229626122276301</v>
      </c>
      <c r="AK833">
        <v>17.191294744561699</v>
      </c>
      <c r="AL833">
        <v>81.093717832804103</v>
      </c>
      <c r="AM833">
        <v>87.245161592647094</v>
      </c>
      <c r="AN833">
        <v>0.99999993711028801</v>
      </c>
    </row>
    <row r="834" spans="1:40" x14ac:dyDescent="0.3">
      <c r="A834" t="str">
        <f>"20200111150738384"</f>
        <v>20200111150738384</v>
      </c>
      <c r="B834" t="str">
        <f>"1578726458381573"</f>
        <v>1578726458381573</v>
      </c>
      <c r="C834" t="s">
        <v>40</v>
      </c>
      <c r="D834">
        <v>5.2925589999999998</v>
      </c>
      <c r="E834">
        <v>0.69082699999999997</v>
      </c>
      <c r="F834" t="s">
        <v>54</v>
      </c>
      <c r="G834">
        <v>-198.7088</v>
      </c>
      <c r="H834" s="1">
        <v>1.257827E-6</v>
      </c>
      <c r="I834">
        <v>293.10320000000002</v>
      </c>
      <c r="J834">
        <v>-189.77950000000001</v>
      </c>
      <c r="K834">
        <v>1.1111</v>
      </c>
      <c r="L834">
        <v>308.25200000000001</v>
      </c>
      <c r="M834">
        <v>-6.3457469999999997E-3</v>
      </c>
      <c r="N834">
        <v>0</v>
      </c>
      <c r="O834">
        <v>-0.99987530000000002</v>
      </c>
      <c r="P834">
        <v>-6.1191679999999998E-2</v>
      </c>
      <c r="Q834">
        <v>0.14402290000000001</v>
      </c>
      <c r="R834">
        <v>-0.98768060000000002</v>
      </c>
      <c r="S834">
        <v>-1.7099</v>
      </c>
      <c r="T834">
        <v>-0.21290290000000001</v>
      </c>
      <c r="U834">
        <v>-2.973236</v>
      </c>
      <c r="V834">
        <v>5.4640699999999903E-2</v>
      </c>
      <c r="W834">
        <v>0.1583881</v>
      </c>
      <c r="X834">
        <v>0.98586390000000002</v>
      </c>
      <c r="Y834">
        <v>0.49206290000000003</v>
      </c>
      <c r="Z834">
        <v>6.2056550000000002E-2</v>
      </c>
      <c r="AA834">
        <v>0.86834500000000003</v>
      </c>
      <c r="AB834">
        <v>39</v>
      </c>
      <c r="AC834">
        <v>-8.92929999999998</v>
      </c>
      <c r="AD834">
        <v>-1.1110987421730001</v>
      </c>
      <c r="AE834">
        <v>-15.1487999999999</v>
      </c>
      <c r="AF834">
        <v>8.7978546517353404</v>
      </c>
      <c r="AG834">
        <v>-1.1110987421730001</v>
      </c>
      <c r="AH834">
        <v>15.1446994304389</v>
      </c>
      <c r="AI834">
        <v>93.629872715667204</v>
      </c>
      <c r="AJ834">
        <v>59.846850944392401</v>
      </c>
      <c r="AK834">
        <v>17.549891957680401</v>
      </c>
      <c r="AL834">
        <v>80.886651963889406</v>
      </c>
      <c r="AM834">
        <v>86.827673937298101</v>
      </c>
      <c r="AN834">
        <v>1.0000000128206501</v>
      </c>
    </row>
    <row r="835" spans="1:40" x14ac:dyDescent="0.3">
      <c r="A835" t="str">
        <f>"20200111150738406"</f>
        <v>20200111150738406</v>
      </c>
      <c r="B835" t="str">
        <f>"1578726458402069"</f>
        <v>1578726458402069</v>
      </c>
      <c r="C835" t="s">
        <v>40</v>
      </c>
      <c r="D835">
        <v>5.3228920000000004</v>
      </c>
      <c r="E835">
        <v>0.69102949999999996</v>
      </c>
      <c r="F835" t="s">
        <v>54</v>
      </c>
      <c r="G835">
        <v>-199.2774</v>
      </c>
      <c r="H835" s="1">
        <v>1.3776919999999999E-6</v>
      </c>
      <c r="I835">
        <v>292.13630000000001</v>
      </c>
      <c r="J835">
        <v>-189.78389999999999</v>
      </c>
      <c r="K835">
        <v>1.110079</v>
      </c>
      <c r="L835">
        <v>307.87180000000001</v>
      </c>
      <c r="M835">
        <v>-9.0750369999999993E-3</v>
      </c>
      <c r="N835">
        <v>0</v>
      </c>
      <c r="O835">
        <v>-0.99985429999999997</v>
      </c>
      <c r="P835">
        <v>-7.2004139999999994E-2</v>
      </c>
      <c r="Q835">
        <v>0.14922659999999999</v>
      </c>
      <c r="R835">
        <v>-0.98617790000000005</v>
      </c>
      <c r="S835">
        <v>-1.7439420000000001</v>
      </c>
      <c r="T835">
        <v>-0.2040129</v>
      </c>
      <c r="U835">
        <v>-2.959076</v>
      </c>
      <c r="V835">
        <v>6.3176629999999998E-2</v>
      </c>
      <c r="W835">
        <v>0.16342660000000001</v>
      </c>
      <c r="X835">
        <v>0.98453060000000003</v>
      </c>
      <c r="Y835">
        <v>0.49899919999999998</v>
      </c>
      <c r="Z835">
        <v>5.943391E-2</v>
      </c>
      <c r="AA835">
        <v>0.86456200000000005</v>
      </c>
      <c r="AB835">
        <v>38</v>
      </c>
      <c r="AC835">
        <v>-9.4935000000000098</v>
      </c>
      <c r="AD835">
        <v>-1.110077622308</v>
      </c>
      <c r="AE835">
        <v>-15.7355</v>
      </c>
      <c r="AF835">
        <v>9.3163017619786892</v>
      </c>
      <c r="AG835">
        <v>-1.110077622308</v>
      </c>
      <c r="AH835">
        <v>15.763499054616601</v>
      </c>
      <c r="AI835">
        <v>93.4692855552276</v>
      </c>
      <c r="AJ835">
        <v>59.4167137573193</v>
      </c>
      <c r="AK835">
        <v>18.3443084713678</v>
      </c>
      <c r="AL835">
        <v>80.594155553191001</v>
      </c>
      <c r="AM835">
        <v>86.328404469758993</v>
      </c>
      <c r="AN835">
        <v>1.00000002125103</v>
      </c>
    </row>
    <row r="836" spans="1:40" x14ac:dyDescent="0.3">
      <c r="A836" t="str">
        <f>"20200111150738430"</f>
        <v>20200111150738430</v>
      </c>
      <c r="B836" t="str">
        <f>"1578726458421589"</f>
        <v>1578726458421589</v>
      </c>
      <c r="C836" t="s">
        <v>40</v>
      </c>
      <c r="D836">
        <v>5.3333510000000004</v>
      </c>
      <c r="E836">
        <v>0.69122869999999903</v>
      </c>
      <c r="F836" t="s">
        <v>54</v>
      </c>
      <c r="G836">
        <v>-200.21780000000001</v>
      </c>
      <c r="H836" s="1">
        <v>1.712986E-6</v>
      </c>
      <c r="I836">
        <v>290.60939999999999</v>
      </c>
      <c r="J836">
        <v>-189.79079999999999</v>
      </c>
      <c r="K836">
        <v>1.1089929999999999</v>
      </c>
      <c r="L836">
        <v>307.45650000000001</v>
      </c>
      <c r="M836">
        <v>-1.317954E-2</v>
      </c>
      <c r="N836">
        <v>0</v>
      </c>
      <c r="O836">
        <v>-0.99980869999999999</v>
      </c>
      <c r="P836">
        <v>-8.5479040000000006E-2</v>
      </c>
      <c r="Q836">
        <v>0.15298680000000001</v>
      </c>
      <c r="R836">
        <v>-0.98452459999999997</v>
      </c>
      <c r="S836">
        <v>-1.7775570000000001</v>
      </c>
      <c r="T836">
        <v>-0.18911700000000001</v>
      </c>
      <c r="U836">
        <v>-2.940887</v>
      </c>
      <c r="V836">
        <v>7.3072449999999997E-2</v>
      </c>
      <c r="W836">
        <v>0.166966899999999</v>
      </c>
      <c r="X836">
        <v>0.98325099999999999</v>
      </c>
      <c r="Y836">
        <v>0.50516870000000003</v>
      </c>
      <c r="Z836">
        <v>5.5142860000000002E-2</v>
      </c>
      <c r="AA836">
        <v>0.8612571</v>
      </c>
      <c r="AB836">
        <v>38</v>
      </c>
      <c r="AC836">
        <v>-10.427</v>
      </c>
      <c r="AD836">
        <v>-1.108991287014</v>
      </c>
      <c r="AE836">
        <v>-16.847100000000001</v>
      </c>
      <c r="AF836">
        <v>10.1721642745162</v>
      </c>
      <c r="AG836">
        <v>-1.108991287014</v>
      </c>
      <c r="AH836">
        <v>16.930031586250301</v>
      </c>
      <c r="AI836">
        <v>93.213716995330401</v>
      </c>
      <c r="AJ836">
        <v>59.001056754275297</v>
      </c>
      <c r="AK836">
        <v>19.7820311700758</v>
      </c>
      <c r="AL836">
        <v>80.388485487026301</v>
      </c>
      <c r="AM836">
        <v>85.749752026816907</v>
      </c>
      <c r="AN836">
        <v>1.0000000288227999</v>
      </c>
    </row>
    <row r="837" spans="1:40" x14ac:dyDescent="0.3">
      <c r="A837" t="str">
        <f>"20200111150738454"</f>
        <v>20200111150738454</v>
      </c>
      <c r="B837" t="str">
        <f>"1578726458451845"</f>
        <v>1578726458451845</v>
      </c>
      <c r="C837" t="s">
        <v>40</v>
      </c>
      <c r="D837">
        <v>5.2813929999999996</v>
      </c>
      <c r="E837">
        <v>0.69117130000000004</v>
      </c>
      <c r="F837" t="s">
        <v>54</v>
      </c>
      <c r="G837">
        <v>-201.12020000000001</v>
      </c>
      <c r="H837" s="1">
        <v>2.3052329999999998E-6</v>
      </c>
      <c r="I837">
        <v>289.28899999999999</v>
      </c>
      <c r="J837">
        <v>-189.7997</v>
      </c>
      <c r="K837">
        <v>1.107955</v>
      </c>
      <c r="L837">
        <v>307.0575</v>
      </c>
      <c r="M837">
        <v>-1.812952E-2</v>
      </c>
      <c r="N837">
        <v>0</v>
      </c>
      <c r="O837">
        <v>-0.99973109999999998</v>
      </c>
      <c r="P837">
        <v>-9.868673E-2</v>
      </c>
      <c r="Q837">
        <v>0.15386440000000001</v>
      </c>
      <c r="R837">
        <v>-0.98315160000000001</v>
      </c>
      <c r="S837">
        <v>-1.8189850000000001</v>
      </c>
      <c r="T837">
        <v>-0.1780535</v>
      </c>
      <c r="U837">
        <v>-2.9168699999999999</v>
      </c>
      <c r="V837">
        <v>8.1851389999999996E-2</v>
      </c>
      <c r="W837">
        <v>0.16760529999999901</v>
      </c>
      <c r="X837">
        <v>0.98245039999999995</v>
      </c>
      <c r="Y837">
        <v>0.51296390000000003</v>
      </c>
      <c r="Z837">
        <v>5.1977710000000003E-2</v>
      </c>
      <c r="AA837">
        <v>0.85683509999999996</v>
      </c>
      <c r="AB837">
        <v>38</v>
      </c>
      <c r="AC837">
        <v>-11.320499999999999</v>
      </c>
      <c r="AD837">
        <v>-1.107952694767</v>
      </c>
      <c r="AE837">
        <v>-17.7685</v>
      </c>
      <c r="AF837">
        <v>10.9661434479225</v>
      </c>
      <c r="AG837">
        <v>-1.107952694767</v>
      </c>
      <c r="AH837">
        <v>17.921273372147699</v>
      </c>
      <c r="AI837">
        <v>93.018642308316203</v>
      </c>
      <c r="AJ837">
        <v>58.537265808932503</v>
      </c>
      <c r="AK837">
        <v>21.03938926332</v>
      </c>
      <c r="AL837">
        <v>80.351384655057203</v>
      </c>
      <c r="AM837">
        <v>85.237486342345605</v>
      </c>
      <c r="AN837">
        <v>0.99999998754659003</v>
      </c>
    </row>
    <row r="838" spans="1:40" x14ac:dyDescent="0.3">
      <c r="A838" t="str">
        <f>"20200111150738476"</f>
        <v>20200111150738476</v>
      </c>
      <c r="B838" t="str">
        <f>"1578726458471365"</f>
        <v>1578726458471365</v>
      </c>
      <c r="C838" t="s">
        <v>40</v>
      </c>
      <c r="D838">
        <v>5.2783009999999999</v>
      </c>
      <c r="E838">
        <v>0.69097719999999996</v>
      </c>
      <c r="F838" t="s">
        <v>54</v>
      </c>
      <c r="G838">
        <v>-201.8245</v>
      </c>
      <c r="H838" s="1">
        <v>2.6995990000000001E-6</v>
      </c>
      <c r="I838">
        <v>288.35079999999999</v>
      </c>
      <c r="J838">
        <v>-189.81059999999999</v>
      </c>
      <c r="K838">
        <v>1.106989</v>
      </c>
      <c r="L838">
        <v>306.68329999999997</v>
      </c>
      <c r="M838">
        <v>-2.3622529999999999E-2</v>
      </c>
      <c r="N838">
        <v>0</v>
      </c>
      <c r="O838">
        <v>-0.99961599999999995</v>
      </c>
      <c r="P838">
        <v>-0.1107194</v>
      </c>
      <c r="Q838">
        <v>0.15190209999999901</v>
      </c>
      <c r="R838">
        <v>-0.98217429999999994</v>
      </c>
      <c r="S838">
        <v>-1.858749</v>
      </c>
      <c r="T838">
        <v>-0.17126369999999999</v>
      </c>
      <c r="U838">
        <v>-2.891632</v>
      </c>
      <c r="V838">
        <v>8.8868890000000006E-2</v>
      </c>
      <c r="W838">
        <v>0.16540820000000001</v>
      </c>
      <c r="X838">
        <v>0.982213</v>
      </c>
      <c r="Y838">
        <v>0.52002440000000005</v>
      </c>
      <c r="Z838">
        <v>5.0076389999999998E-2</v>
      </c>
      <c r="AA838">
        <v>0.85268219999999995</v>
      </c>
      <c r="AB838">
        <v>38</v>
      </c>
      <c r="AC838">
        <v>-12.0139</v>
      </c>
      <c r="AD838">
        <v>-1.1069863004009901</v>
      </c>
      <c r="AE838">
        <v>-18.3324999999999</v>
      </c>
      <c r="AF838">
        <v>11.547985268262901</v>
      </c>
      <c r="AG838">
        <v>-1.1069863004009901</v>
      </c>
      <c r="AH838">
        <v>18.563859884150101</v>
      </c>
      <c r="AI838">
        <v>92.898628294290305</v>
      </c>
      <c r="AJ838">
        <v>58.115574065525699</v>
      </c>
      <c r="AK838">
        <v>21.890597895527002</v>
      </c>
      <c r="AL838">
        <v>80.479051211555401</v>
      </c>
      <c r="AM838">
        <v>84.830056420578202</v>
      </c>
      <c r="AN838">
        <v>0.99999996480303499</v>
      </c>
    </row>
    <row r="839" spans="1:40" x14ac:dyDescent="0.3">
      <c r="A839" t="str">
        <f>"20200111150738497"</f>
        <v>20200111150738497</v>
      </c>
      <c r="B839" t="str">
        <f>"1578726458491861"</f>
        <v>1578726458491861</v>
      </c>
      <c r="C839" t="s">
        <v>40</v>
      </c>
      <c r="D839">
        <v>5.2695360000000004</v>
      </c>
      <c r="E839">
        <v>0.69082279999999996</v>
      </c>
      <c r="F839" t="s">
        <v>54</v>
      </c>
      <c r="G839">
        <v>-202.11449999999999</v>
      </c>
      <c r="H839" s="1">
        <v>2.8527120000000001E-6</v>
      </c>
      <c r="I839">
        <v>288.07040000000001</v>
      </c>
      <c r="J839">
        <v>-189.82409999999999</v>
      </c>
      <c r="K839">
        <v>1.1060509999999999</v>
      </c>
      <c r="L839">
        <v>306.3134</v>
      </c>
      <c r="M839">
        <v>-2.9823499999999999E-2</v>
      </c>
      <c r="N839">
        <v>0</v>
      </c>
      <c r="O839">
        <v>-0.99944999999999995</v>
      </c>
      <c r="P839">
        <v>-0.1215561</v>
      </c>
      <c r="Q839">
        <v>0.1497502</v>
      </c>
      <c r="R839">
        <v>-0.98122319999999996</v>
      </c>
      <c r="S839">
        <v>-1.895294</v>
      </c>
      <c r="T839">
        <v>-0.17052100000000001</v>
      </c>
      <c r="U839">
        <v>-2.8671570000000002</v>
      </c>
      <c r="V839">
        <v>9.397229E-2</v>
      </c>
      <c r="W839">
        <v>0.1630267</v>
      </c>
      <c r="X839">
        <v>0.98213620000000001</v>
      </c>
      <c r="Y839">
        <v>0.52563090000000001</v>
      </c>
      <c r="Z839">
        <v>4.9950969999999997E-2</v>
      </c>
      <c r="AA839">
        <v>0.84924500000000003</v>
      </c>
      <c r="AB839">
        <v>38</v>
      </c>
      <c r="AC839">
        <v>-12.2904</v>
      </c>
      <c r="AD839">
        <v>-1.1060481472879999</v>
      </c>
      <c r="AE839">
        <v>-18.242999999999899</v>
      </c>
      <c r="AF839">
        <v>11.7111951867386</v>
      </c>
      <c r="AG839">
        <v>-1.1060481472879999</v>
      </c>
      <c r="AH839">
        <v>18.554553381175001</v>
      </c>
      <c r="AI839">
        <v>92.885795458900006</v>
      </c>
      <c r="AJ839">
        <v>57.740848458701997</v>
      </c>
      <c r="AK839">
        <v>21.969225893983701</v>
      </c>
      <c r="AL839">
        <v>80.6173794556437</v>
      </c>
      <c r="AM839">
        <v>84.534490708671001</v>
      </c>
      <c r="AN839">
        <v>1.00000000577558</v>
      </c>
    </row>
    <row r="840" spans="1:40" x14ac:dyDescent="0.3">
      <c r="A840" t="str">
        <f>"20200111150738520"</f>
        <v>20200111150738520</v>
      </c>
      <c r="B840" t="str">
        <f>"1578726458511381"</f>
        <v>1578726458511381</v>
      </c>
      <c r="C840" t="s">
        <v>40</v>
      </c>
      <c r="D840">
        <v>5.2840189999999998</v>
      </c>
      <c r="E840">
        <v>0.69050929999999999</v>
      </c>
      <c r="F840" t="s">
        <v>54</v>
      </c>
      <c r="G840">
        <v>-202.60560000000001</v>
      </c>
      <c r="H840" s="1">
        <v>3.1223449999999999E-6</v>
      </c>
      <c r="I840">
        <v>287.47710000000001</v>
      </c>
      <c r="J840">
        <v>-189.84129999999999</v>
      </c>
      <c r="K840">
        <v>1.105113</v>
      </c>
      <c r="L840">
        <v>305.92509999999999</v>
      </c>
      <c r="M840">
        <v>-3.7117589999999999E-2</v>
      </c>
      <c r="N840">
        <v>0</v>
      </c>
      <c r="O840">
        <v>-0.99920529999999996</v>
      </c>
      <c r="P840">
        <v>-0.13308429999999999</v>
      </c>
      <c r="Q840">
        <v>0.14959249999999999</v>
      </c>
      <c r="R840">
        <v>-0.97975069999999997</v>
      </c>
      <c r="S840">
        <v>-1.929718</v>
      </c>
      <c r="T840">
        <v>-0.1669891</v>
      </c>
      <c r="U840">
        <v>-2.8438720000000002</v>
      </c>
      <c r="V840">
        <v>9.8731260000000001E-2</v>
      </c>
      <c r="W840">
        <v>0.16262449999999901</v>
      </c>
      <c r="X840">
        <v>0.98173589999999999</v>
      </c>
      <c r="Y840">
        <v>0.52971429999999997</v>
      </c>
      <c r="Z840">
        <v>4.9014990000000001E-2</v>
      </c>
      <c r="AA840">
        <v>0.84675869999999998</v>
      </c>
      <c r="AB840">
        <v>38</v>
      </c>
      <c r="AC840">
        <v>-12.7643</v>
      </c>
      <c r="AD840">
        <v>-1.1051098776549999</v>
      </c>
      <c r="AE840">
        <v>-18.447999999999901</v>
      </c>
      <c r="AF840">
        <v>12.041463343933</v>
      </c>
      <c r="AG840">
        <v>-1.1051098776549999</v>
      </c>
      <c r="AH840">
        <v>18.8633386687819</v>
      </c>
      <c r="AI840">
        <v>92.827050632975201</v>
      </c>
      <c r="AJ840">
        <v>57.447764172297298</v>
      </c>
      <c r="AK840">
        <v>22.406330646451998</v>
      </c>
      <c r="AL840">
        <v>80.640735297733301</v>
      </c>
      <c r="AM840">
        <v>84.257184350245296</v>
      </c>
      <c r="AN840">
        <v>0.99999998352512298</v>
      </c>
    </row>
    <row r="841" spans="1:40" x14ac:dyDescent="0.3">
      <c r="A841" t="str">
        <f>"20200111150738542"</f>
        <v>20200111150738542</v>
      </c>
      <c r="B841" t="str">
        <f>"1578726458531797"</f>
        <v>1578726458531797</v>
      </c>
      <c r="C841" t="s">
        <v>40</v>
      </c>
      <c r="D841">
        <v>5.2718699999999998</v>
      </c>
      <c r="E841">
        <v>0.69018449999999998</v>
      </c>
      <c r="F841" t="s">
        <v>54</v>
      </c>
      <c r="G841">
        <v>-203.14930000000001</v>
      </c>
      <c r="H841" s="1">
        <v>3.4223599999999998E-6</v>
      </c>
      <c r="I841">
        <v>286.80340000000001</v>
      </c>
      <c r="J841">
        <v>-189.8622</v>
      </c>
      <c r="K841">
        <v>1.104244</v>
      </c>
      <c r="L841">
        <v>305.54109999999997</v>
      </c>
      <c r="M841">
        <v>-4.5154189999999997E-2</v>
      </c>
      <c r="N841">
        <v>0</v>
      </c>
      <c r="O841">
        <v>-0.99887360000000003</v>
      </c>
      <c r="P841">
        <v>-0.1431994</v>
      </c>
      <c r="Q841">
        <v>0.151533</v>
      </c>
      <c r="R841">
        <v>-0.97802420000000001</v>
      </c>
      <c r="S841">
        <v>-1.9627840000000001</v>
      </c>
      <c r="T841">
        <v>-0.16299240000000001</v>
      </c>
      <c r="U841">
        <v>-2.8202509999999998</v>
      </c>
      <c r="V841">
        <v>0.1013696</v>
      </c>
      <c r="W841">
        <v>0.16435559999999999</v>
      </c>
      <c r="X841">
        <v>0.98117860000000001</v>
      </c>
      <c r="Y841">
        <v>0.53293219999999997</v>
      </c>
      <c r="Z841">
        <v>4.7952759999999997E-2</v>
      </c>
      <c r="AA841">
        <v>0.8447981</v>
      </c>
      <c r="AB841">
        <v>38</v>
      </c>
      <c r="AC841">
        <v>-13.287100000000001</v>
      </c>
      <c r="AD841">
        <v>-1.1042405776399999</v>
      </c>
      <c r="AE841">
        <v>-18.737699999999901</v>
      </c>
      <c r="AF841">
        <v>12.3987167324622</v>
      </c>
      <c r="AG841">
        <v>-1.1042405776399999</v>
      </c>
      <c r="AH841">
        <v>19.274075438520399</v>
      </c>
      <c r="AI841">
        <v>92.758549101914497</v>
      </c>
      <c r="AJ841">
        <v>57.247445646884501</v>
      </c>
      <c r="AK841">
        <v>22.9442260247523</v>
      </c>
      <c r="AL841">
        <v>80.540198002071406</v>
      </c>
      <c r="AM841">
        <v>84.101464377415397</v>
      </c>
      <c r="AN841">
        <v>1.0000000020767399</v>
      </c>
    </row>
    <row r="842" spans="1:40" x14ac:dyDescent="0.3">
      <c r="A842" t="str">
        <f>"20200111150738564"</f>
        <v>20200111150738564</v>
      </c>
      <c r="B842" t="str">
        <f>"1578726458562053"</f>
        <v>1578726458562053</v>
      </c>
      <c r="C842" t="s">
        <v>40</v>
      </c>
      <c r="D842">
        <v>5.2585790000000001</v>
      </c>
      <c r="E842">
        <v>0.68955339999999998</v>
      </c>
      <c r="F842" t="s">
        <v>54</v>
      </c>
      <c r="G842">
        <v>-204.1129</v>
      </c>
      <c r="H842" s="1">
        <v>3.9634640000000001E-6</v>
      </c>
      <c r="I842">
        <v>285.50209999999998</v>
      </c>
      <c r="J842">
        <v>-189.887</v>
      </c>
      <c r="K842">
        <v>1.103453</v>
      </c>
      <c r="L842">
        <v>305.15190000000001</v>
      </c>
      <c r="M842">
        <v>-5.396302E-2</v>
      </c>
      <c r="N842">
        <v>0</v>
      </c>
      <c r="O842">
        <v>-0.99843570000000004</v>
      </c>
      <c r="P842">
        <v>-0.15271850000000001</v>
      </c>
      <c r="Q842">
        <v>0.1534162</v>
      </c>
      <c r="R842">
        <v>-0.97628910000000002</v>
      </c>
      <c r="S842">
        <v>-1.9910890000000001</v>
      </c>
      <c r="T842">
        <v>-0.15428229999999901</v>
      </c>
      <c r="U842">
        <v>-2.7998050000000001</v>
      </c>
      <c r="V842">
        <v>0.102641</v>
      </c>
      <c r="W842">
        <v>0.16606789999999999</v>
      </c>
      <c r="X842">
        <v>0.98075800000000002</v>
      </c>
      <c r="Y842">
        <v>0.53412309999999996</v>
      </c>
      <c r="Z842">
        <v>4.5497669999999997E-2</v>
      </c>
      <c r="AA842">
        <v>0.84418150000000003</v>
      </c>
      <c r="AB842">
        <v>38</v>
      </c>
      <c r="AC842">
        <v>-14.2258999999999</v>
      </c>
      <c r="AD842">
        <v>-1.1034490365359999</v>
      </c>
      <c r="AE842">
        <v>-19.649799999999999</v>
      </c>
      <c r="AF842">
        <v>13.117550903471701</v>
      </c>
      <c r="AG842">
        <v>-1.1034490365359999</v>
      </c>
      <c r="AH842">
        <v>20.346819567540201</v>
      </c>
      <c r="AI842">
        <v>92.609769741212006</v>
      </c>
      <c r="AJ842">
        <v>57.190211175547297</v>
      </c>
      <c r="AK842">
        <v>24.233877279449899</v>
      </c>
      <c r="AL842">
        <v>80.440723326638505</v>
      </c>
      <c r="AM842">
        <v>84.025472443201195</v>
      </c>
      <c r="AN842">
        <v>0.99999998842770499</v>
      </c>
    </row>
    <row r="843" spans="1:40" x14ac:dyDescent="0.3">
      <c r="A843" t="str">
        <f>"20200111150738587"</f>
        <v>20200111150738587</v>
      </c>
      <c r="B843" t="str">
        <f>"1578726458581575"</f>
        <v>1578726458581575</v>
      </c>
      <c r="C843" t="s">
        <v>40</v>
      </c>
      <c r="D843">
        <v>5.2735979999999998</v>
      </c>
      <c r="E843">
        <v>0.68939309999999998</v>
      </c>
      <c r="F843" t="s">
        <v>54</v>
      </c>
      <c r="G843">
        <v>-205.31319999999999</v>
      </c>
      <c r="H843" s="1">
        <v>4.6375029999999999E-6</v>
      </c>
      <c r="I843">
        <v>283.88029999999998</v>
      </c>
      <c r="J843">
        <v>-189.9151</v>
      </c>
      <c r="K843">
        <v>1.1027340000000001</v>
      </c>
      <c r="L843">
        <v>304.7704</v>
      </c>
      <c r="M843">
        <v>-6.321264E-2</v>
      </c>
      <c r="N843">
        <v>0</v>
      </c>
      <c r="O843">
        <v>-0.99789209999999995</v>
      </c>
      <c r="P843">
        <v>-0.16114410000000001</v>
      </c>
      <c r="Q843">
        <v>0.1550694</v>
      </c>
      <c r="R843">
        <v>-0.97467239999999999</v>
      </c>
      <c r="S843">
        <v>-2.0161899999999999</v>
      </c>
      <c r="T843">
        <v>-0.14421979999999901</v>
      </c>
      <c r="U843">
        <v>-2.7801819999999999</v>
      </c>
      <c r="V843">
        <v>0.1023574</v>
      </c>
      <c r="W843">
        <v>0.16759499999999999</v>
      </c>
      <c r="X843">
        <v>0.98052790000000001</v>
      </c>
      <c r="Y843">
        <v>0.53419039999999995</v>
      </c>
      <c r="Z843">
        <v>4.2641360000000003E-2</v>
      </c>
      <c r="AA843">
        <v>0.84428809999999999</v>
      </c>
      <c r="AB843">
        <v>38</v>
      </c>
      <c r="AC843">
        <v>-15.398099999999999</v>
      </c>
      <c r="AD843">
        <v>-1.102729362497</v>
      </c>
      <c r="AE843">
        <v>-20.8901</v>
      </c>
      <c r="AF843">
        <v>14.0213219704021</v>
      </c>
      <c r="AG843">
        <v>-1.102729362497</v>
      </c>
      <c r="AH843">
        <v>21.782443354713301</v>
      </c>
      <c r="AI843">
        <v>92.437500972949394</v>
      </c>
      <c r="AJ843">
        <v>57.230684675229703</v>
      </c>
      <c r="AK843">
        <v>25.928523296668601</v>
      </c>
      <c r="AL843">
        <v>80.351983799530203</v>
      </c>
      <c r="AM843">
        <v>84.040473187894406</v>
      </c>
      <c r="AN843">
        <v>1.00000004201908</v>
      </c>
    </row>
    <row r="844" spans="1:40" x14ac:dyDescent="0.3">
      <c r="A844" t="str">
        <f>"20200111150738608"</f>
        <v>20200111150738608</v>
      </c>
      <c r="B844" t="str">
        <f>"1578726458602069"</f>
        <v>1578726458602069</v>
      </c>
      <c r="C844" t="s">
        <v>40</v>
      </c>
      <c r="D844">
        <v>5.2916629999999998</v>
      </c>
      <c r="E844">
        <v>0.68912039999999997</v>
      </c>
      <c r="F844" t="s">
        <v>54</v>
      </c>
      <c r="G844">
        <v>-206.29429999999999</v>
      </c>
      <c r="H844" s="1">
        <v>5.1849189999999996E-6</v>
      </c>
      <c r="I844">
        <v>282.59539999999998</v>
      </c>
      <c r="J844">
        <v>-189.94659999999999</v>
      </c>
      <c r="K844">
        <v>1.102063</v>
      </c>
      <c r="L844">
        <v>304.39569999999998</v>
      </c>
      <c r="M844">
        <v>-7.2863709999999998E-2</v>
      </c>
      <c r="N844">
        <v>0</v>
      </c>
      <c r="O844">
        <v>-0.99723329999999999</v>
      </c>
      <c r="P844">
        <v>-0.1695246</v>
      </c>
      <c r="Q844">
        <v>0.15503910000000001</v>
      </c>
      <c r="R844">
        <v>-0.97325459999999997</v>
      </c>
      <c r="S844">
        <v>-2.0404360000000001</v>
      </c>
      <c r="T844">
        <v>-0.13737240000000001</v>
      </c>
      <c r="U844">
        <v>-2.762451</v>
      </c>
      <c r="V844">
        <v>0.1015702</v>
      </c>
      <c r="W844">
        <v>0.16747129999999999</v>
      </c>
      <c r="X844">
        <v>0.98063089999999997</v>
      </c>
      <c r="Y844">
        <v>0.53344720000000001</v>
      </c>
      <c r="Z844">
        <v>4.0703990000000002E-2</v>
      </c>
      <c r="AA844">
        <v>0.84485330000000003</v>
      </c>
      <c r="AB844">
        <v>38</v>
      </c>
      <c r="AC844">
        <v>-16.3477</v>
      </c>
      <c r="AD844">
        <v>-1.1020578150810001</v>
      </c>
      <c r="AE844">
        <v>-21.8003</v>
      </c>
      <c r="AF844">
        <v>14.691582565723699</v>
      </c>
      <c r="AG844">
        <v>-1.1020578150810001</v>
      </c>
      <c r="AH844">
        <v>22.8961713220747</v>
      </c>
      <c r="AI844">
        <v>92.319802853067202</v>
      </c>
      <c r="AJ844">
        <v>57.313289226086503</v>
      </c>
      <c r="AK844">
        <v>27.226674253809499</v>
      </c>
      <c r="AL844">
        <v>80.359172991229997</v>
      </c>
      <c r="AM844">
        <v>84.086596797909806</v>
      </c>
      <c r="AN844">
        <v>1.0000000519432599</v>
      </c>
    </row>
    <row r="845" spans="1:40" x14ac:dyDescent="0.3">
      <c r="A845" t="str">
        <f>"20200111150738631"</f>
        <v>20200111150738631</v>
      </c>
      <c r="B845" t="str">
        <f>"1578726458621589"</f>
        <v>1578726458621589</v>
      </c>
      <c r="C845" t="s">
        <v>40</v>
      </c>
      <c r="D845">
        <v>5.2833809999999897</v>
      </c>
      <c r="E845">
        <v>0.68881949999999903</v>
      </c>
      <c r="F845" t="s">
        <v>54</v>
      </c>
      <c r="G845">
        <v>-206.6054</v>
      </c>
      <c r="H845" s="1">
        <v>5.3544119999999901E-6</v>
      </c>
      <c r="I845">
        <v>282.23489999999998</v>
      </c>
      <c r="J845">
        <v>-189.983</v>
      </c>
      <c r="K845">
        <v>1.101424</v>
      </c>
      <c r="L845">
        <v>304.01209999999998</v>
      </c>
      <c r="M845">
        <v>-8.3298059999999993E-2</v>
      </c>
      <c r="N845">
        <v>0</v>
      </c>
      <c r="O845">
        <v>-0.9964151</v>
      </c>
      <c r="P845">
        <v>-0.17877209999999999</v>
      </c>
      <c r="Q845">
        <v>0.1539171</v>
      </c>
      <c r="R845">
        <v>-0.97177690000000005</v>
      </c>
      <c r="S845">
        <v>-2.0633699999999999</v>
      </c>
      <c r="T845">
        <v>-0.13650119999999999</v>
      </c>
      <c r="U845">
        <v>-2.7448429999999999</v>
      </c>
      <c r="V845">
        <v>0.1008448</v>
      </c>
      <c r="W845">
        <v>0.1662729</v>
      </c>
      <c r="X845">
        <v>0.98090960000000005</v>
      </c>
      <c r="Y845">
        <v>0.53171259999999998</v>
      </c>
      <c r="Z845">
        <v>4.0534889999999997E-2</v>
      </c>
      <c r="AA845">
        <v>0.84595429999999905</v>
      </c>
      <c r="AB845">
        <v>38</v>
      </c>
      <c r="AC845">
        <v>-16.622399999999999</v>
      </c>
      <c r="AD845">
        <v>-1.101418645588</v>
      </c>
      <c r="AE845">
        <v>-21.777200000000001</v>
      </c>
      <c r="AF845">
        <v>14.726619751355701</v>
      </c>
      <c r="AG845">
        <v>-1.101418645588</v>
      </c>
      <c r="AH845">
        <v>23.049011170400998</v>
      </c>
      <c r="AI845">
        <v>92.305960549942697</v>
      </c>
      <c r="AJ845">
        <v>57.424420138763203</v>
      </c>
      <c r="AK845">
        <v>27.374136849718901</v>
      </c>
      <c r="AL845">
        <v>80.428812174821104</v>
      </c>
      <c r="AM845">
        <v>84.130189964538104</v>
      </c>
      <c r="AN845">
        <v>0.99999999716680499</v>
      </c>
    </row>
    <row r="846" spans="1:40" x14ac:dyDescent="0.3">
      <c r="A846" t="str">
        <f>"20200111150738653"</f>
        <v>20200111150738653</v>
      </c>
      <c r="B846" t="str">
        <f>"1578726458651846"</f>
        <v>1578726458651846</v>
      </c>
      <c r="C846" t="s">
        <v>40</v>
      </c>
      <c r="D846">
        <v>5.319699</v>
      </c>
      <c r="E846">
        <v>0.68850800000000001</v>
      </c>
      <c r="F846" t="s">
        <v>54</v>
      </c>
      <c r="G846">
        <v>-206.14949999999999</v>
      </c>
      <c r="H846" s="1">
        <v>5.0941799999999997E-6</v>
      </c>
      <c r="I846">
        <v>282.89870000000002</v>
      </c>
      <c r="J846">
        <v>-190.0241</v>
      </c>
      <c r="K846">
        <v>1.1008199999999999</v>
      </c>
      <c r="L846">
        <v>303.625</v>
      </c>
      <c r="M846">
        <v>-9.4368850000000004E-2</v>
      </c>
      <c r="N846">
        <v>0</v>
      </c>
      <c r="O846">
        <v>-0.9954267</v>
      </c>
      <c r="P846">
        <v>-0.1881293</v>
      </c>
      <c r="Q846">
        <v>0.15384919999999999</v>
      </c>
      <c r="R846">
        <v>-0.97001950000000003</v>
      </c>
      <c r="S846">
        <v>-2.087097</v>
      </c>
      <c r="T846">
        <v>-0.14219329999999999</v>
      </c>
      <c r="U846">
        <v>-2.7257389999999999</v>
      </c>
      <c r="V846">
        <v>9.963197E-2</v>
      </c>
      <c r="W846">
        <v>0.16615439999999901</v>
      </c>
      <c r="X846">
        <v>0.98105359999999997</v>
      </c>
      <c r="Y846">
        <v>0.5297579</v>
      </c>
      <c r="Z846">
        <v>4.231948E-2</v>
      </c>
      <c r="AA846">
        <v>0.84709239999999997</v>
      </c>
      <c r="AB846">
        <v>38</v>
      </c>
      <c r="AC846">
        <v>-16.1253999999999</v>
      </c>
      <c r="AD846">
        <v>-1.1008149058200001</v>
      </c>
      <c r="AE846">
        <v>-20.726299999999899</v>
      </c>
      <c r="AF846">
        <v>14.072560252223001</v>
      </c>
      <c r="AG846">
        <v>-1.1008149058200001</v>
      </c>
      <c r="AH846">
        <v>22.116823260014201</v>
      </c>
      <c r="AI846">
        <v>92.404601837796704</v>
      </c>
      <c r="AJ846">
        <v>57.532093323444599</v>
      </c>
      <c r="AK846">
        <v>26.237427782159401</v>
      </c>
      <c r="AL846">
        <v>80.435697432808695</v>
      </c>
      <c r="AM846">
        <v>84.201145754272403</v>
      </c>
      <c r="AN846">
        <v>0.99999999007920004</v>
      </c>
    </row>
    <row r="847" spans="1:40" x14ac:dyDescent="0.3">
      <c r="A847" t="str">
        <f>"20200111150738687"</f>
        <v>20200111150738687</v>
      </c>
      <c r="B847" t="str">
        <f>"1578726458682101"</f>
        <v>1578726458682101</v>
      </c>
      <c r="C847" t="s">
        <v>40</v>
      </c>
      <c r="D847">
        <v>5.3760969999999997</v>
      </c>
      <c r="E847">
        <v>0.68825449999999999</v>
      </c>
      <c r="F847" t="s">
        <v>54</v>
      </c>
      <c r="G847">
        <v>-206.04820000000001</v>
      </c>
      <c r="H847" s="1">
        <v>5.0333739999999997E-6</v>
      </c>
      <c r="I847">
        <v>283.08049999999997</v>
      </c>
      <c r="J847">
        <v>-190.09479999999999</v>
      </c>
      <c r="K847">
        <v>1.0999719999999999</v>
      </c>
      <c r="L847">
        <v>303.04570000000001</v>
      </c>
      <c r="M847">
        <v>-0.1119354</v>
      </c>
      <c r="N847">
        <v>0</v>
      </c>
      <c r="O847">
        <v>-0.99360320000000002</v>
      </c>
      <c r="P847">
        <v>-0.20228930000000001</v>
      </c>
      <c r="Q847">
        <v>0.15479319999999999</v>
      </c>
      <c r="R847">
        <v>-0.96701510000000002</v>
      </c>
      <c r="S847">
        <v>-2.1108859999999998</v>
      </c>
      <c r="T847">
        <v>-0.14501259999999999</v>
      </c>
      <c r="U847">
        <v>-2.7063600000000001</v>
      </c>
      <c r="V847">
        <v>9.7022819999999996E-2</v>
      </c>
      <c r="W847">
        <v>0.16707169999999999</v>
      </c>
      <c r="X847">
        <v>0.98115929999999996</v>
      </c>
      <c r="Y847">
        <v>0.52230670000000001</v>
      </c>
      <c r="Z847">
        <v>4.3280480000000003E-2</v>
      </c>
      <c r="AA847">
        <v>0.85165859999999904</v>
      </c>
      <c r="AB847">
        <v>38</v>
      </c>
      <c r="AC847">
        <v>-15.9534</v>
      </c>
      <c r="AD847">
        <v>-1.0999669666259999</v>
      </c>
      <c r="AE847">
        <v>-19.965199999999999</v>
      </c>
      <c r="AF847">
        <v>13.592874880435801</v>
      </c>
      <c r="AG847">
        <v>-1.0999669666259999</v>
      </c>
      <c r="AH847">
        <v>21.5856616334313</v>
      </c>
      <c r="AI847">
        <v>92.469110716653304</v>
      </c>
      <c r="AJ847">
        <v>57.800649474239698</v>
      </c>
      <c r="AK847">
        <v>25.5326646278025</v>
      </c>
      <c r="AL847">
        <v>80.382394834760007</v>
      </c>
      <c r="AM847">
        <v>84.352615049469605</v>
      </c>
      <c r="AN847">
        <v>0.999999976259065</v>
      </c>
    </row>
    <row r="848" spans="1:40" x14ac:dyDescent="0.3">
      <c r="A848" t="str">
        <f>"20200111150738709"</f>
        <v>20200111150738709</v>
      </c>
      <c r="B848" t="str">
        <f>"1578726458701621"</f>
        <v>1578726458701621</v>
      </c>
      <c r="C848" t="s">
        <v>40</v>
      </c>
      <c r="D848">
        <v>5.3495609999999996</v>
      </c>
      <c r="E848">
        <v>0.68809679999999995</v>
      </c>
      <c r="F848" t="s">
        <v>54</v>
      </c>
      <c r="G848">
        <v>-206.7895</v>
      </c>
      <c r="H848" s="1">
        <v>5.4327079999999999E-6</v>
      </c>
      <c r="I848">
        <v>282.2731</v>
      </c>
      <c r="J848">
        <v>-190.14570000000001</v>
      </c>
      <c r="K848">
        <v>1.099458</v>
      </c>
      <c r="L848">
        <v>302.6755</v>
      </c>
      <c r="M848">
        <v>-0.12373489999999999</v>
      </c>
      <c r="N848">
        <v>0</v>
      </c>
      <c r="O848">
        <v>-0.99220180000000002</v>
      </c>
      <c r="P848">
        <v>-0.2131815</v>
      </c>
      <c r="Q848">
        <v>0.15457129999999999</v>
      </c>
      <c r="R848">
        <v>-0.96470829999999996</v>
      </c>
      <c r="S848">
        <v>-2.150055</v>
      </c>
      <c r="T848">
        <v>-0.1416606</v>
      </c>
      <c r="U848">
        <v>-2.6752319999999998</v>
      </c>
      <c r="V848">
        <v>9.6623349999999997E-2</v>
      </c>
      <c r="W848">
        <v>0.1668193</v>
      </c>
      <c r="X848">
        <v>0.98124169999999999</v>
      </c>
      <c r="Y848">
        <v>0.52461449999999998</v>
      </c>
      <c r="Z848">
        <v>4.2369879999999999E-2</v>
      </c>
      <c r="AA848">
        <v>0.85028490000000001</v>
      </c>
      <c r="AB848">
        <v>38</v>
      </c>
      <c r="AC848">
        <v>-16.643799999999999</v>
      </c>
      <c r="AD848">
        <v>-1.0994525672919999</v>
      </c>
      <c r="AE848">
        <v>-20.4024</v>
      </c>
      <c r="AF848">
        <v>13.966742837891699</v>
      </c>
      <c r="AG848">
        <v>-1.0994525672919999</v>
      </c>
      <c r="AH848">
        <v>22.266405527713601</v>
      </c>
      <c r="AI848">
        <v>92.3952461405664</v>
      </c>
      <c r="AJ848">
        <v>57.901748763692801</v>
      </c>
      <c r="AK848">
        <v>26.307252166885799</v>
      </c>
      <c r="AL848">
        <v>80.397062477459002</v>
      </c>
      <c r="AM848">
        <v>84.3761867957909</v>
      </c>
      <c r="AN848">
        <v>1.0000000122182999</v>
      </c>
    </row>
    <row r="849" spans="1:40" x14ac:dyDescent="0.3">
      <c r="A849" t="str">
        <f>"20200111150738733"</f>
        <v>20200111150738733</v>
      </c>
      <c r="B849" t="str">
        <f>"1578726458722117"</f>
        <v>1578726458722117</v>
      </c>
      <c r="C849" t="s">
        <v>40</v>
      </c>
      <c r="D849">
        <v>5.341056</v>
      </c>
      <c r="E849">
        <v>0.68802509999999995</v>
      </c>
      <c r="F849" t="s">
        <v>54</v>
      </c>
      <c r="G849">
        <v>-206.41909999999999</v>
      </c>
      <c r="H849" s="1">
        <v>5.2169879999999999E-6</v>
      </c>
      <c r="I849">
        <v>282.86189999999999</v>
      </c>
      <c r="J849">
        <v>-190.2046</v>
      </c>
      <c r="K849">
        <v>1.0989450000000001</v>
      </c>
      <c r="L849">
        <v>302.28489999999999</v>
      </c>
      <c r="M849">
        <v>-0.13663839999999999</v>
      </c>
      <c r="N849">
        <v>0</v>
      </c>
      <c r="O849">
        <v>-0.99050609999999994</v>
      </c>
      <c r="P849">
        <v>-0.22594449999999999</v>
      </c>
      <c r="Q849">
        <v>0.154559</v>
      </c>
      <c r="R849">
        <v>-0.96180089999999996</v>
      </c>
      <c r="S849">
        <v>-2.1781920000000001</v>
      </c>
      <c r="T849">
        <v>-0.14716109999999999</v>
      </c>
      <c r="U849">
        <v>-2.6520389999999998</v>
      </c>
      <c r="V849">
        <v>9.7057409999999997E-2</v>
      </c>
      <c r="W849">
        <v>0.16675999999999999</v>
      </c>
      <c r="X849">
        <v>0.98120890000000005</v>
      </c>
      <c r="Y849">
        <v>0.52252299999999996</v>
      </c>
      <c r="Z849">
        <v>4.4091970000000001E-2</v>
      </c>
      <c r="AA849">
        <v>0.85148440000000003</v>
      </c>
      <c r="AB849">
        <v>38</v>
      </c>
      <c r="AC849">
        <v>-16.214499999999902</v>
      </c>
      <c r="AD849">
        <v>-1.098939783012</v>
      </c>
      <c r="AE849">
        <v>-19.422999999999998</v>
      </c>
      <c r="AF849">
        <v>13.3829126501142</v>
      </c>
      <c r="AG849">
        <v>-1.098939783012</v>
      </c>
      <c r="AH849">
        <v>21.4161637230503</v>
      </c>
      <c r="AI849">
        <v>92.491700755021597</v>
      </c>
      <c r="AJ849">
        <v>57.9988295924177</v>
      </c>
      <c r="AK849">
        <v>25.2776994257739</v>
      </c>
      <c r="AL849">
        <v>80.400507995363299</v>
      </c>
      <c r="AM849">
        <v>84.350898427647095</v>
      </c>
      <c r="AN849">
        <v>0.99999997193755796</v>
      </c>
    </row>
    <row r="850" spans="1:40" x14ac:dyDescent="0.3">
      <c r="A850" t="str">
        <f>"20200111150738753"</f>
        <v>20200111150738753</v>
      </c>
      <c r="B850" t="str">
        <f>"1578726458742148"</f>
        <v>1578726458742148</v>
      </c>
      <c r="C850" t="s">
        <v>40</v>
      </c>
      <c r="D850">
        <v>5.3788529999999897</v>
      </c>
      <c r="E850">
        <v>0.68788859999999996</v>
      </c>
      <c r="F850" t="s">
        <v>54</v>
      </c>
      <c r="G850">
        <v>-206.63050000000001</v>
      </c>
      <c r="H850" s="1">
        <v>5.3147659999999998E-6</v>
      </c>
      <c r="I850">
        <v>282.81549999999999</v>
      </c>
      <c r="J850">
        <v>-190.26259999999999</v>
      </c>
      <c r="K850">
        <v>1.0985039999999999</v>
      </c>
      <c r="L850">
        <v>301.93119999999999</v>
      </c>
      <c r="M850">
        <v>-0.14872829999999901</v>
      </c>
      <c r="N850">
        <v>0</v>
      </c>
      <c r="O850">
        <v>-0.98876200000000003</v>
      </c>
      <c r="P850">
        <v>-0.23807890000000001</v>
      </c>
      <c r="Q850">
        <v>0.155834</v>
      </c>
      <c r="R850">
        <v>-0.95866300000000004</v>
      </c>
      <c r="S850">
        <v>-2.2130130000000001</v>
      </c>
      <c r="T850">
        <v>-0.14805670000000001</v>
      </c>
      <c r="U850">
        <v>-2.6230470000000001</v>
      </c>
      <c r="V850">
        <v>9.771349E-2</v>
      </c>
      <c r="W850">
        <v>0.16798650000000001</v>
      </c>
      <c r="X850">
        <v>0.98093459999999999</v>
      </c>
      <c r="Y850">
        <v>0.52334290000000006</v>
      </c>
      <c r="Z850">
        <v>4.4435240000000001E-2</v>
      </c>
      <c r="AA850">
        <v>0.85096280000000002</v>
      </c>
      <c r="AB850">
        <v>38</v>
      </c>
      <c r="AC850">
        <v>-16.367899999999999</v>
      </c>
      <c r="AD850">
        <v>-1.098498685234</v>
      </c>
      <c r="AE850">
        <v>-19.1157</v>
      </c>
      <c r="AF850">
        <v>13.317069957805</v>
      </c>
      <c r="AG850">
        <v>-1.098498685234</v>
      </c>
      <c r="AH850">
        <v>21.297118725929501</v>
      </c>
      <c r="AI850">
        <v>92.504155301645199</v>
      </c>
      <c r="AJ850">
        <v>57.982293571988599</v>
      </c>
      <c r="AK850">
        <v>25.141963281511501</v>
      </c>
      <c r="AL850">
        <v>80.329229891706703</v>
      </c>
      <c r="AM850">
        <v>84.311381774729398</v>
      </c>
      <c r="AN850">
        <v>1.0000000398936899</v>
      </c>
    </row>
    <row r="851" spans="1:40" x14ac:dyDescent="0.3">
      <c r="A851" t="str">
        <f>"20200111150738777"</f>
        <v>20200111150738777</v>
      </c>
      <c r="B851" t="str">
        <f>"1578726458771426"</f>
        <v>1578726458771426</v>
      </c>
      <c r="C851" t="s">
        <v>40</v>
      </c>
      <c r="D851">
        <v>5.3972850000000001</v>
      </c>
      <c r="E851">
        <v>0.68722240000000001</v>
      </c>
      <c r="F851" t="s">
        <v>54</v>
      </c>
      <c r="G851">
        <v>-207.42529999999999</v>
      </c>
      <c r="H851" s="1">
        <v>5.7298580000000001E-6</v>
      </c>
      <c r="I851">
        <v>282.0994</v>
      </c>
      <c r="J851">
        <v>-190.33090000000001</v>
      </c>
      <c r="K851">
        <v>1.0980449999999999</v>
      </c>
      <c r="L851">
        <v>301.54680000000002</v>
      </c>
      <c r="M851">
        <v>-0.16229009999999999</v>
      </c>
      <c r="N851">
        <v>0</v>
      </c>
      <c r="O851">
        <v>-0.98662539999999999</v>
      </c>
      <c r="P851">
        <v>-0.25177060000000001</v>
      </c>
      <c r="Q851">
        <v>0.15843070000000001</v>
      </c>
      <c r="R851">
        <v>-0.954731</v>
      </c>
      <c r="S851">
        <v>-2.2457120000000002</v>
      </c>
      <c r="T851">
        <v>-0.1437369</v>
      </c>
      <c r="U851">
        <v>-2.5949710000000001</v>
      </c>
      <c r="V851">
        <v>9.8613999999999993E-2</v>
      </c>
      <c r="W851">
        <v>0.1705285</v>
      </c>
      <c r="X851">
        <v>0.98040570000000005</v>
      </c>
      <c r="Y851">
        <v>0.52236939999999998</v>
      </c>
      <c r="Z851">
        <v>4.3209280000000003E-2</v>
      </c>
      <c r="AA851">
        <v>0.85162380000000004</v>
      </c>
      <c r="AB851">
        <v>38</v>
      </c>
      <c r="AC851">
        <v>-17.094399999999901</v>
      </c>
      <c r="AD851">
        <v>-1.0980392701420001</v>
      </c>
      <c r="AE851">
        <v>-19.447399999999998</v>
      </c>
      <c r="AF851">
        <v>13.686626837627101</v>
      </c>
      <c r="AG851">
        <v>-1.0980392701420001</v>
      </c>
      <c r="AH851">
        <v>21.924671784664501</v>
      </c>
      <c r="AI851">
        <v>92.432687491562405</v>
      </c>
      <c r="AJ851">
        <v>58.0252453344957</v>
      </c>
      <c r="AK851">
        <v>25.869299899620302</v>
      </c>
      <c r="AL851">
        <v>80.181451557870801</v>
      </c>
      <c r="AM851">
        <v>84.256228828842595</v>
      </c>
      <c r="AN851">
        <v>1.0000000134503699</v>
      </c>
    </row>
    <row r="852" spans="1:40" x14ac:dyDescent="0.3">
      <c r="A852" t="str">
        <f>"20200111150738799"</f>
        <v>20200111150738799</v>
      </c>
      <c r="B852" t="str">
        <f>"1578726458791921"</f>
        <v>1578726458791921</v>
      </c>
      <c r="C852" t="s">
        <v>40</v>
      </c>
      <c r="D852">
        <v>5.2747999999999999</v>
      </c>
      <c r="E852">
        <v>0.68708080000000005</v>
      </c>
      <c r="F852" t="s">
        <v>54</v>
      </c>
      <c r="G852">
        <v>-207.89869999999999</v>
      </c>
      <c r="H852" s="1">
        <v>5.9694379999999997E-6</v>
      </c>
      <c r="I852">
        <v>281.76029999999997</v>
      </c>
      <c r="J852">
        <v>-190.40309999999999</v>
      </c>
      <c r="K852">
        <v>1.097618</v>
      </c>
      <c r="L852">
        <v>301.17079999999999</v>
      </c>
      <c r="M852">
        <v>-0.1759771</v>
      </c>
      <c r="N852">
        <v>0</v>
      </c>
      <c r="O852">
        <v>-0.98427489999999995</v>
      </c>
      <c r="P852">
        <v>-0.26581059999999901</v>
      </c>
      <c r="Q852">
        <v>0.16033259999999999</v>
      </c>
      <c r="R852">
        <v>-0.95059890000000002</v>
      </c>
      <c r="S852">
        <v>-2.2775729999999998</v>
      </c>
      <c r="T852">
        <v>-0.14235449999999999</v>
      </c>
      <c r="U852">
        <v>-2.5652159999999999</v>
      </c>
      <c r="V852">
        <v>9.9737350000000002E-2</v>
      </c>
      <c r="W852">
        <v>0.17237759999999999</v>
      </c>
      <c r="X852">
        <v>0.97996859999999997</v>
      </c>
      <c r="Y852">
        <v>0.52135469999999995</v>
      </c>
      <c r="Z852">
        <v>4.2869629999999999E-2</v>
      </c>
      <c r="AA852">
        <v>0.85226259999999998</v>
      </c>
      <c r="AB852">
        <v>38</v>
      </c>
      <c r="AC852">
        <v>-17.4955999999999</v>
      </c>
      <c r="AD852">
        <v>-1.0976120305620001</v>
      </c>
      <c r="AE852">
        <v>-19.410499999999999</v>
      </c>
      <c r="AF852">
        <v>13.7819835784749</v>
      </c>
      <c r="AG852">
        <v>-1.0976120305620001</v>
      </c>
      <c r="AH852">
        <v>22.147625503709399</v>
      </c>
      <c r="AI852">
        <v>92.409428028045994</v>
      </c>
      <c r="AJ852">
        <v>58.106897909340297</v>
      </c>
      <c r="AK852">
        <v>26.108717681639298</v>
      </c>
      <c r="AL852">
        <v>80.073913554992203</v>
      </c>
      <c r="AM852">
        <v>84.188671067084996</v>
      </c>
      <c r="AN852">
        <v>1.00000001647637</v>
      </c>
    </row>
    <row r="853" spans="1:40" x14ac:dyDescent="0.3">
      <c r="A853" t="str">
        <f>"20200111150738822"</f>
        <v>20200111150738822</v>
      </c>
      <c r="B853" t="str">
        <f>"1578726458811442"</f>
        <v>1578726458811442</v>
      </c>
      <c r="C853" t="s">
        <v>40</v>
      </c>
      <c r="D853">
        <v>5.4116179999999998</v>
      </c>
      <c r="E853">
        <v>0.67874389999999996</v>
      </c>
      <c r="F853" t="s">
        <v>54</v>
      </c>
      <c r="G853">
        <v>-208.6626</v>
      </c>
      <c r="H853" s="1">
        <v>6.3576659999999996E-6</v>
      </c>
      <c r="I853">
        <v>281.19400000000002</v>
      </c>
      <c r="J853">
        <v>-190.48169999999999</v>
      </c>
      <c r="K853">
        <v>1.0972059999999999</v>
      </c>
      <c r="L853">
        <v>300.79289999999997</v>
      </c>
      <c r="M853">
        <v>-0.19017110000000001</v>
      </c>
      <c r="N853">
        <v>0</v>
      </c>
      <c r="O853">
        <v>-0.9816298</v>
      </c>
      <c r="P853">
        <v>-0.2797943</v>
      </c>
      <c r="Q853">
        <v>0.16083839999999999</v>
      </c>
      <c r="R853">
        <v>-0.94649130000000004</v>
      </c>
      <c r="S853">
        <v>-2.314514</v>
      </c>
      <c r="T853">
        <v>-0.1391299</v>
      </c>
      <c r="U853">
        <v>-2.5321959999999999</v>
      </c>
      <c r="V853">
        <v>0.1002382</v>
      </c>
      <c r="W853">
        <v>0.1728614</v>
      </c>
      <c r="X853">
        <v>0.97983220000000004</v>
      </c>
      <c r="Y853">
        <v>0.52137299999999998</v>
      </c>
      <c r="Z853">
        <v>4.1952700000000002E-2</v>
      </c>
      <c r="AA853">
        <v>0.85229699999999997</v>
      </c>
      <c r="AB853">
        <v>38</v>
      </c>
      <c r="AC853">
        <v>-18.180900000000001</v>
      </c>
      <c r="AD853">
        <v>-1.09719964233399</v>
      </c>
      <c r="AE853">
        <v>-19.598899999999901</v>
      </c>
      <c r="AF853">
        <v>14.0977010680181</v>
      </c>
      <c r="AG853">
        <v>-1.09719964233399</v>
      </c>
      <c r="AH853">
        <v>22.6608739131342</v>
      </c>
      <c r="AI853">
        <v>92.354205642637694</v>
      </c>
      <c r="AJ853">
        <v>58.113579747348801</v>
      </c>
      <c r="AK853">
        <v>26.710751186840501</v>
      </c>
      <c r="AL853">
        <v>80.045770737536301</v>
      </c>
      <c r="AM853">
        <v>84.158882209649207</v>
      </c>
      <c r="AN853">
        <v>0.99999995025301802</v>
      </c>
    </row>
    <row r="854" spans="1:40" x14ac:dyDescent="0.3">
      <c r="A854" t="str">
        <f>"20200111150738845"</f>
        <v>20200111150738845</v>
      </c>
      <c r="B854" t="str">
        <f>"1578726458841697"</f>
        <v>1578726458841697</v>
      </c>
      <c r="C854" t="s">
        <v>40</v>
      </c>
      <c r="D854">
        <v>5.4098629999999996</v>
      </c>
      <c r="E854">
        <v>0.67711639999999995</v>
      </c>
      <c r="F854" t="s">
        <v>54</v>
      </c>
      <c r="G854">
        <v>-199.67529999999999</v>
      </c>
      <c r="H854" s="1">
        <v>1.598528E-6</v>
      </c>
      <c r="I854">
        <v>290.68189999999998</v>
      </c>
      <c r="J854">
        <v>-190.56880000000001</v>
      </c>
      <c r="K854">
        <v>1.0967880000000001</v>
      </c>
      <c r="L854">
        <v>300.40440000000001</v>
      </c>
      <c r="M854">
        <v>-0.2051769</v>
      </c>
      <c r="N854">
        <v>0</v>
      </c>
      <c r="O854">
        <v>-0.97860210000000003</v>
      </c>
      <c r="P854">
        <v>-0.2949833</v>
      </c>
      <c r="Q854">
        <v>0.16112009999999999</v>
      </c>
      <c r="R854">
        <v>-0.94182060000000001</v>
      </c>
      <c r="S854">
        <v>-2.3049620000000002</v>
      </c>
      <c r="T854">
        <v>-0.27508640000000001</v>
      </c>
      <c r="U854">
        <v>-2.5349729999999999</v>
      </c>
      <c r="V854">
        <v>0.101189399999999</v>
      </c>
      <c r="W854">
        <v>0.17311260000000001</v>
      </c>
      <c r="X854">
        <v>0.97969010000000001</v>
      </c>
      <c r="Y854">
        <v>0.50428660000000003</v>
      </c>
      <c r="Z854">
        <v>8.2788150000000005E-2</v>
      </c>
      <c r="AA854">
        <v>0.85955870000000001</v>
      </c>
      <c r="AB854">
        <v>38</v>
      </c>
      <c r="AC854">
        <v>-9.1064999999999792</v>
      </c>
      <c r="AD854">
        <v>-1.0967864014719999</v>
      </c>
      <c r="AE854">
        <v>-9.7225000000000197</v>
      </c>
      <c r="AF854">
        <v>6.8710612722575197</v>
      </c>
      <c r="AG854">
        <v>-1.0967864014719999</v>
      </c>
      <c r="AH854">
        <v>11.307618185047801</v>
      </c>
      <c r="AI854">
        <v>94.738517428315504</v>
      </c>
      <c r="AJ854">
        <v>58.715089942880702</v>
      </c>
      <c r="AK854">
        <v>13.276921798232999</v>
      </c>
      <c r="AL854">
        <v>80.031158027338407</v>
      </c>
      <c r="AM854">
        <v>84.102993022184407</v>
      </c>
      <c r="AN854">
        <v>0.99999997949456398</v>
      </c>
    </row>
    <row r="855" spans="1:40" x14ac:dyDescent="0.3">
      <c r="A855" t="str">
        <f>"20200111150738867"</f>
        <v>20200111150738867</v>
      </c>
      <c r="B855" t="str">
        <f>"1578726458862194"</f>
        <v>1578726458862194</v>
      </c>
      <c r="C855" t="s">
        <v>40</v>
      </c>
      <c r="D855">
        <v>5.3936510000000002</v>
      </c>
      <c r="E855">
        <v>0.67608990000000002</v>
      </c>
      <c r="F855" t="s">
        <v>54</v>
      </c>
      <c r="G855">
        <v>-200.89709999999999</v>
      </c>
      <c r="H855" s="1">
        <v>2.2030770000000001E-6</v>
      </c>
      <c r="I855">
        <v>289.3261</v>
      </c>
      <c r="J855">
        <v>-190.6541</v>
      </c>
      <c r="K855">
        <v>1.0964370000000001</v>
      </c>
      <c r="L855">
        <v>300.04809999999998</v>
      </c>
      <c r="M855">
        <v>-0.21926200000000001</v>
      </c>
      <c r="N855">
        <v>0</v>
      </c>
      <c r="O855">
        <v>-0.9755412</v>
      </c>
      <c r="P855">
        <v>-0.3102124</v>
      </c>
      <c r="Q855">
        <v>0.1607942</v>
      </c>
      <c r="R855">
        <v>-0.93697059999999999</v>
      </c>
      <c r="S855">
        <v>-2.3290410000000001</v>
      </c>
      <c r="T855">
        <v>-0.24732599999999999</v>
      </c>
      <c r="U855">
        <v>-2.4981689999999999</v>
      </c>
      <c r="V855">
        <v>0.1030751</v>
      </c>
      <c r="W855">
        <v>0.17272939999999901</v>
      </c>
      <c r="X855">
        <v>0.97956120000000002</v>
      </c>
      <c r="Y855">
        <v>0.50300270000000002</v>
      </c>
      <c r="Z855">
        <v>7.4753009999999995E-2</v>
      </c>
      <c r="AA855">
        <v>0.86104599999999898</v>
      </c>
      <c r="AB855">
        <v>38</v>
      </c>
      <c r="AC855">
        <v>-10.242999999999901</v>
      </c>
      <c r="AD855">
        <v>-1.0964347969229999</v>
      </c>
      <c r="AE855">
        <v>-10.7219999999999</v>
      </c>
      <c r="AF855">
        <v>7.6009149495658397</v>
      </c>
      <c r="AG855">
        <v>-1.0964347969229999</v>
      </c>
      <c r="AH855">
        <v>12.6381035675014</v>
      </c>
      <c r="AI855">
        <v>94.251889626200494</v>
      </c>
      <c r="AJ855">
        <v>58.976102164085397</v>
      </c>
      <c r="AK855">
        <v>14.788432611920999</v>
      </c>
      <c r="AL855">
        <v>80.053450116985204</v>
      </c>
      <c r="AM855">
        <v>83.993111675124794</v>
      </c>
      <c r="AN855">
        <v>1.0000000332048999</v>
      </c>
    </row>
    <row r="856" spans="1:40" x14ac:dyDescent="0.3">
      <c r="A856" t="str">
        <f>"20200111150738888"</f>
        <v>20200111150738888</v>
      </c>
      <c r="B856" t="str">
        <f>"1578726458881713"</f>
        <v>1578726458881713</v>
      </c>
      <c r="C856" t="s">
        <v>40</v>
      </c>
      <c r="D856">
        <v>5.3877430000000004</v>
      </c>
      <c r="E856">
        <v>0.67452400000000001</v>
      </c>
      <c r="F856" t="s">
        <v>54</v>
      </c>
      <c r="G856">
        <v>-201.14789999999999</v>
      </c>
      <c r="H856" s="1">
        <v>2.3339409999999999E-6</v>
      </c>
      <c r="I856">
        <v>289.10160000000002</v>
      </c>
      <c r="J856">
        <v>-190.74369999999999</v>
      </c>
      <c r="K856">
        <v>1.096109</v>
      </c>
      <c r="L856">
        <v>299.6968</v>
      </c>
      <c r="M856">
        <v>-0.23345170000000001</v>
      </c>
      <c r="N856">
        <v>0</v>
      </c>
      <c r="O856">
        <v>-0.97224189999999999</v>
      </c>
      <c r="P856">
        <v>-0.32555869999999998</v>
      </c>
      <c r="Q856">
        <v>0.15978539999999999</v>
      </c>
      <c r="R856">
        <v>-0.93192260000000005</v>
      </c>
      <c r="S856">
        <v>-2.3607179999999999</v>
      </c>
      <c r="T856">
        <v>-0.24665719999999999</v>
      </c>
      <c r="U856">
        <v>-2.462555</v>
      </c>
      <c r="V856">
        <v>0.1049549</v>
      </c>
      <c r="W856">
        <v>0.17166310000000001</v>
      </c>
      <c r="X856">
        <v>0.979549</v>
      </c>
      <c r="Y856">
        <v>0.5024052</v>
      </c>
      <c r="Z856">
        <v>7.4674610000000002E-2</v>
      </c>
      <c r="AA856">
        <v>0.86140169999999905</v>
      </c>
      <c r="AB856">
        <v>37</v>
      </c>
      <c r="AC856">
        <v>-10.404199999999999</v>
      </c>
      <c r="AD856">
        <v>-1.096106666059</v>
      </c>
      <c r="AE856">
        <v>-10.595199999999901</v>
      </c>
      <c r="AF856">
        <v>7.6014544424491897</v>
      </c>
      <c r="AG856">
        <v>-1.096106666059</v>
      </c>
      <c r="AH856">
        <v>12.662548258171901</v>
      </c>
      <c r="AI856">
        <v>94.244533732644399</v>
      </c>
      <c r="AJ856">
        <v>59.0231848620883</v>
      </c>
      <c r="AK856">
        <v>14.809580947972201</v>
      </c>
      <c r="AL856">
        <v>80.115470675374596</v>
      </c>
      <c r="AM856">
        <v>83.884310144506202</v>
      </c>
      <c r="AN856">
        <v>0.99999999716831001</v>
      </c>
    </row>
    <row r="857" spans="1:40" x14ac:dyDescent="0.3">
      <c r="A857" t="str">
        <f>"20200111150738910"</f>
        <v>20200111150738910</v>
      </c>
      <c r="B857" t="str">
        <f>"1578726458902210"</f>
        <v>1578726458902210</v>
      </c>
      <c r="C857" t="s">
        <v>40</v>
      </c>
      <c r="D857">
        <v>5.4051</v>
      </c>
      <c r="E857">
        <v>0.67391780000000001</v>
      </c>
      <c r="F857" t="s">
        <v>54</v>
      </c>
      <c r="G857">
        <v>-201.19300000000001</v>
      </c>
      <c r="H857" s="1">
        <v>2.356069E-6</v>
      </c>
      <c r="I857">
        <v>289.07690000000002</v>
      </c>
      <c r="J857">
        <v>-190.84719999999999</v>
      </c>
      <c r="K857">
        <v>1.0957699999999999</v>
      </c>
      <c r="L857">
        <v>299.31569999999999</v>
      </c>
      <c r="M857">
        <v>-0.2491748</v>
      </c>
      <c r="N857">
        <v>0</v>
      </c>
      <c r="O857">
        <v>-0.96833009999999997</v>
      </c>
      <c r="P857">
        <v>-0.34148979999999901</v>
      </c>
      <c r="Q857">
        <v>0.16015660000000001</v>
      </c>
      <c r="R857">
        <v>-0.92613990000000002</v>
      </c>
      <c r="S857">
        <v>-2.3886569999999998</v>
      </c>
      <c r="T857">
        <v>-0.25056580000000001</v>
      </c>
      <c r="U857">
        <v>-2.427673</v>
      </c>
      <c r="V857">
        <v>0.1060474</v>
      </c>
      <c r="W857">
        <v>0.17200370000000001</v>
      </c>
      <c r="X857">
        <v>0.97937149999999995</v>
      </c>
      <c r="Y857">
        <v>0.49954189999999998</v>
      </c>
      <c r="Z857">
        <v>7.5968099999999997E-2</v>
      </c>
      <c r="AA857">
        <v>0.86295239999999995</v>
      </c>
      <c r="AB857">
        <v>37</v>
      </c>
      <c r="AC857">
        <v>-10.345799999999899</v>
      </c>
      <c r="AD857">
        <v>-1.095767643931</v>
      </c>
      <c r="AE857">
        <v>-10.2387999999999</v>
      </c>
      <c r="AF857">
        <v>7.4257440732219804</v>
      </c>
      <c r="AG857">
        <v>-1.095767643931</v>
      </c>
      <c r="AH857">
        <v>12.4235975237131</v>
      </c>
      <c r="AI857">
        <v>94.329466791471503</v>
      </c>
      <c r="AJ857">
        <v>59.132695969152401</v>
      </c>
      <c r="AK857">
        <v>14.5151010055627</v>
      </c>
      <c r="AL857">
        <v>80.0956604077343</v>
      </c>
      <c r="AM857">
        <v>83.8200292333009</v>
      </c>
      <c r="AN857">
        <v>0.99999992943634697</v>
      </c>
    </row>
    <row r="858" spans="1:40" x14ac:dyDescent="0.3">
      <c r="A858" t="str">
        <f>"20200111150738934"</f>
        <v>20200111150738934</v>
      </c>
      <c r="B858" t="str">
        <f>"1578726458931489"</f>
        <v>1578726458931489</v>
      </c>
      <c r="C858" t="s">
        <v>40</v>
      </c>
      <c r="D858">
        <v>5.4054630000000001</v>
      </c>
      <c r="E858">
        <v>0.67222680000000001</v>
      </c>
      <c r="F858" t="s">
        <v>54</v>
      </c>
      <c r="G858">
        <v>-201.52529999999999</v>
      </c>
      <c r="H858" s="1">
        <v>2.5267330000000002E-6</v>
      </c>
      <c r="I858">
        <v>288.81040000000002</v>
      </c>
      <c r="J858">
        <v>-190.95490000000001</v>
      </c>
      <c r="K858">
        <v>1.095459</v>
      </c>
      <c r="L858">
        <v>298.94260000000003</v>
      </c>
      <c r="M858">
        <v>-0.2648837</v>
      </c>
      <c r="N858">
        <v>0</v>
      </c>
      <c r="O858">
        <v>-0.96414999999999995</v>
      </c>
      <c r="P858">
        <v>-0.35699720000000001</v>
      </c>
      <c r="Q858">
        <v>0.16138720000000001</v>
      </c>
      <c r="R858">
        <v>-0.92005840000000005</v>
      </c>
      <c r="S858">
        <v>-2.4268040000000002</v>
      </c>
      <c r="T858">
        <v>-0.2490337</v>
      </c>
      <c r="U858">
        <v>-2.3875120000000001</v>
      </c>
      <c r="V858">
        <v>0.1068072</v>
      </c>
      <c r="W858">
        <v>0.17321589999999901</v>
      </c>
      <c r="X858">
        <v>0.97907529999999998</v>
      </c>
      <c r="Y858">
        <v>0.49952849999999999</v>
      </c>
      <c r="Z858">
        <v>7.5540479999999993E-2</v>
      </c>
      <c r="AA858">
        <v>0.86299769999999898</v>
      </c>
      <c r="AB858">
        <v>37</v>
      </c>
      <c r="AC858">
        <v>-10.5703999999999</v>
      </c>
      <c r="AD858">
        <v>-1.095456473267</v>
      </c>
      <c r="AE858">
        <v>-10.132199999999999</v>
      </c>
      <c r="AF858">
        <v>7.4667470602886601</v>
      </c>
      <c r="AG858">
        <v>-1.095456473267</v>
      </c>
      <c r="AH858">
        <v>12.5004989022062</v>
      </c>
      <c r="AI858">
        <v>94.302464587518401</v>
      </c>
      <c r="AJ858">
        <v>59.1494554615578</v>
      </c>
      <c r="AK858">
        <v>14.6018769119319</v>
      </c>
      <c r="AL858">
        <v>80.025148639065904</v>
      </c>
      <c r="AM858">
        <v>83.7742296088242</v>
      </c>
      <c r="AN858">
        <v>0.99999998452736905</v>
      </c>
    </row>
    <row r="859" spans="1:40" x14ac:dyDescent="0.3">
      <c r="A859" t="str">
        <f>"20200111150738956"</f>
        <v>20200111150738956</v>
      </c>
      <c r="B859" t="str">
        <f>"1578726458951986"</f>
        <v>1578726458951986</v>
      </c>
      <c r="C859" t="s">
        <v>40</v>
      </c>
      <c r="D859">
        <v>5.4500549999999999</v>
      </c>
      <c r="E859">
        <v>0.67071259999999999</v>
      </c>
      <c r="F859" t="s">
        <v>54</v>
      </c>
      <c r="G859">
        <v>-201.7688</v>
      </c>
      <c r="H859" s="1">
        <v>2.6547530000000002E-6</v>
      </c>
      <c r="I859">
        <v>288.58109999999999</v>
      </c>
      <c r="J859">
        <v>-191.06630000000001</v>
      </c>
      <c r="K859">
        <v>1.0951679999999999</v>
      </c>
      <c r="L859">
        <v>298.57889999999998</v>
      </c>
      <c r="M859">
        <v>-0.28049109999999899</v>
      </c>
      <c r="N859">
        <v>0</v>
      </c>
      <c r="O859">
        <v>-0.95972409999999997</v>
      </c>
      <c r="P859">
        <v>-0.37235469999999998</v>
      </c>
      <c r="Q859">
        <v>0.1628549</v>
      </c>
      <c r="R859">
        <v>-0.91369069999999997</v>
      </c>
      <c r="S859">
        <v>-2.4545590000000002</v>
      </c>
      <c r="T859">
        <v>-0.24864919999999999</v>
      </c>
      <c r="U859">
        <v>-2.3518680000000001</v>
      </c>
      <c r="V859">
        <v>0.10756739999999999</v>
      </c>
      <c r="W859">
        <v>0.17466789999999999</v>
      </c>
      <c r="X859">
        <v>0.97873410000000005</v>
      </c>
      <c r="Y859">
        <v>0.49687870000000001</v>
      </c>
      <c r="Z859">
        <v>7.5482880000000002E-2</v>
      </c>
      <c r="AA859">
        <v>0.86453099999999905</v>
      </c>
      <c r="AB859">
        <v>37</v>
      </c>
      <c r="AC859">
        <v>-10.702499999999899</v>
      </c>
      <c r="AD859">
        <v>-1.0951653452469901</v>
      </c>
      <c r="AE859">
        <v>-9.9977999999999803</v>
      </c>
      <c r="AF859">
        <v>7.4265770841144096</v>
      </c>
      <c r="AG859">
        <v>-1.0951653452469901</v>
      </c>
      <c r="AH859">
        <v>12.528633605455299</v>
      </c>
      <c r="AI859">
        <v>94.300255417554794</v>
      </c>
      <c r="AJ859">
        <v>59.341880984501401</v>
      </c>
      <c r="AK859">
        <v>14.605481653799201</v>
      </c>
      <c r="AL859">
        <v>79.940667776144394</v>
      </c>
      <c r="AM859">
        <v>83.728101065325703</v>
      </c>
      <c r="AN859">
        <v>1.0000000296679801</v>
      </c>
    </row>
    <row r="860" spans="1:40" x14ac:dyDescent="0.3">
      <c r="A860" t="str">
        <f>"20200111150738980"</f>
        <v>20200111150738980</v>
      </c>
      <c r="B860" t="str">
        <f>"1578726458971505"</f>
        <v>1578726458971505</v>
      </c>
      <c r="C860" t="s">
        <v>40</v>
      </c>
      <c r="D860">
        <v>5.4466390000000002</v>
      </c>
      <c r="E860">
        <v>0.66880240000000002</v>
      </c>
      <c r="F860" t="s">
        <v>54</v>
      </c>
      <c r="G860">
        <v>-202.0591</v>
      </c>
      <c r="H860" s="1">
        <v>2.8057999999999999E-6</v>
      </c>
      <c r="I860">
        <v>288.3261</v>
      </c>
      <c r="J860">
        <v>-191.18860000000001</v>
      </c>
      <c r="K860">
        <v>1.0948819999999999</v>
      </c>
      <c r="L860">
        <v>298.20159999999998</v>
      </c>
      <c r="M860">
        <v>-0.2969657</v>
      </c>
      <c r="N860">
        <v>0</v>
      </c>
      <c r="O860">
        <v>-0.95475319999999997</v>
      </c>
      <c r="P860">
        <v>-0.38836799999999999</v>
      </c>
      <c r="Q860">
        <v>0.16308310000000001</v>
      </c>
      <c r="R860">
        <v>-0.9069585</v>
      </c>
      <c r="S860">
        <v>-2.482758</v>
      </c>
      <c r="T860">
        <v>-0.2473456</v>
      </c>
      <c r="U860">
        <v>-2.3156129999999999</v>
      </c>
      <c r="V860">
        <v>0.10808130000000001</v>
      </c>
      <c r="W860">
        <v>0.17489549999999901</v>
      </c>
      <c r="X860">
        <v>0.97863679999999997</v>
      </c>
      <c r="Y860">
        <v>0.49360779999999899</v>
      </c>
      <c r="Z860">
        <v>7.5101550000000003E-2</v>
      </c>
      <c r="AA860">
        <v>0.86643590000000004</v>
      </c>
      <c r="AB860">
        <v>37</v>
      </c>
      <c r="AC860">
        <v>-10.8704999999999</v>
      </c>
      <c r="AD860">
        <v>-1.0948791942</v>
      </c>
      <c r="AE860">
        <v>-9.8754999999999793</v>
      </c>
      <c r="AF860">
        <v>7.4057604260431802</v>
      </c>
      <c r="AG860">
        <v>-1.0948791942</v>
      </c>
      <c r="AH860">
        <v>12.588498802877799</v>
      </c>
      <c r="AI860">
        <v>94.287123387724407</v>
      </c>
      <c r="AJ860">
        <v>59.531881460508899</v>
      </c>
      <c r="AK860">
        <v>14.646308410241</v>
      </c>
      <c r="AL860">
        <v>79.927423034371401</v>
      </c>
      <c r="AM860">
        <v>83.697756254693502</v>
      </c>
      <c r="AN860">
        <v>0.99999999482209001</v>
      </c>
    </row>
    <row r="861" spans="1:40" x14ac:dyDescent="0.3">
      <c r="A861" t="str">
        <f>"20200111150739002"</f>
        <v>20200111150739002</v>
      </c>
      <c r="B861" t="str">
        <f>"1578726458992002"</f>
        <v>1578726458992002</v>
      </c>
      <c r="C861" t="s">
        <v>40</v>
      </c>
      <c r="D861">
        <v>5.4593030000000002</v>
      </c>
      <c r="E861">
        <v>0.63922809999999997</v>
      </c>
      <c r="F861" t="s">
        <v>54</v>
      </c>
      <c r="G861">
        <v>-202.16849999999999</v>
      </c>
      <c r="H861" s="1">
        <v>2.8621300000000001E-6</v>
      </c>
      <c r="I861">
        <v>288.23680000000002</v>
      </c>
      <c r="J861">
        <v>-191.31129999999999</v>
      </c>
      <c r="K861">
        <v>1.094624</v>
      </c>
      <c r="L861">
        <v>297.84550000000002</v>
      </c>
      <c r="M861">
        <v>-0.31281199999999998</v>
      </c>
      <c r="N861">
        <v>0</v>
      </c>
      <c r="O861">
        <v>-0.94967809999999997</v>
      </c>
      <c r="P861">
        <v>-0.40420739999999999</v>
      </c>
      <c r="Q861">
        <v>0.16443820000000001</v>
      </c>
      <c r="R861">
        <v>-0.89976469999999897</v>
      </c>
      <c r="S861">
        <v>-2.5100859999999998</v>
      </c>
      <c r="T861">
        <v>-0.25029580000000001</v>
      </c>
      <c r="U861">
        <v>-2.2780149999999999</v>
      </c>
      <c r="V861">
        <v>0.10919040000000001</v>
      </c>
      <c r="W861">
        <v>0.17622639999999901</v>
      </c>
      <c r="X861">
        <v>0.97827489999999995</v>
      </c>
      <c r="Y861">
        <v>0.4908844</v>
      </c>
      <c r="Z861">
        <v>7.6009670000000001E-2</v>
      </c>
      <c r="AA861">
        <v>0.86790259999999997</v>
      </c>
      <c r="AB861">
        <v>37</v>
      </c>
      <c r="AC861">
        <v>-10.857200000000001</v>
      </c>
      <c r="AD861">
        <v>-1.0946211378699999</v>
      </c>
      <c r="AE861">
        <v>-9.6087000000000007</v>
      </c>
      <c r="AF861">
        <v>7.264669467879</v>
      </c>
      <c r="AG861">
        <v>-1.0946211378699999</v>
      </c>
      <c r="AH861">
        <v>12.4520853303568</v>
      </c>
      <c r="AI861">
        <v>94.342101471817699</v>
      </c>
      <c r="AJ861">
        <v>59.740291120216298</v>
      </c>
      <c r="AK861">
        <v>14.457802287605601</v>
      </c>
      <c r="AL861">
        <v>79.849965439950694</v>
      </c>
      <c r="AM861">
        <v>83.631276918240104</v>
      </c>
      <c r="AN861">
        <v>1.00000003373956</v>
      </c>
    </row>
    <row r="862" spans="1:40" x14ac:dyDescent="0.3">
      <c r="A862" t="str">
        <f>"20200111150739024"</f>
        <v>20200111150739024</v>
      </c>
      <c r="B862" t="str">
        <f>"1578726459012497"</f>
        <v>1578726459012497</v>
      </c>
      <c r="C862" t="s">
        <v>40</v>
      </c>
      <c r="D862">
        <v>5.4538500000000001</v>
      </c>
      <c r="E862">
        <v>0.63890800000000003</v>
      </c>
      <c r="F862" t="s">
        <v>54</v>
      </c>
      <c r="G862">
        <v>-199.37739999999999</v>
      </c>
      <c r="H862" s="1">
        <v>1.80035999999999E-6</v>
      </c>
      <c r="I862">
        <v>289.79660000000001</v>
      </c>
      <c r="J862">
        <v>-191.4359</v>
      </c>
      <c r="K862">
        <v>1.09439</v>
      </c>
      <c r="L862">
        <v>297.50220000000002</v>
      </c>
      <c r="M862">
        <v>-0.32830140000000002</v>
      </c>
      <c r="N862">
        <v>0</v>
      </c>
      <c r="O862">
        <v>-0.94443390000000005</v>
      </c>
      <c r="P862">
        <v>-0.42186940000000001</v>
      </c>
      <c r="Q862">
        <v>0.16768849999999999</v>
      </c>
      <c r="R862">
        <v>-0.89101439999999998</v>
      </c>
      <c r="S862">
        <v>-2.3442690000000002</v>
      </c>
      <c r="T862">
        <v>-0.31813380000000002</v>
      </c>
      <c r="U862">
        <v>-2.339264</v>
      </c>
      <c r="V862">
        <v>0.11290790000000001</v>
      </c>
      <c r="W862">
        <v>0.17934449999999999</v>
      </c>
      <c r="X862">
        <v>0.97728570000000003</v>
      </c>
      <c r="Y862">
        <v>0.4331933</v>
      </c>
      <c r="Z862">
        <v>9.7520430000000005E-2</v>
      </c>
      <c r="AA862">
        <v>0.89600970000000002</v>
      </c>
      <c r="AB862">
        <v>37</v>
      </c>
      <c r="AC862">
        <v>-7.9414999999999898</v>
      </c>
      <c r="AD862">
        <v>-1.09438819964</v>
      </c>
      <c r="AE862">
        <v>-7.7055999999999996</v>
      </c>
      <c r="AF862">
        <v>4.9229617422744996</v>
      </c>
      <c r="AG862">
        <v>-1.09438819964</v>
      </c>
      <c r="AH862">
        <v>9.7901717532852501</v>
      </c>
      <c r="AI862">
        <v>95.703160409247204</v>
      </c>
      <c r="AJ862">
        <v>63.304585455314601</v>
      </c>
      <c r="AK862">
        <v>11.012751736338799</v>
      </c>
      <c r="AL862">
        <v>79.668418789639006</v>
      </c>
      <c r="AM862">
        <v>83.409714483323796</v>
      </c>
      <c r="AN862">
        <v>0.99999999149357499</v>
      </c>
    </row>
    <row r="863" spans="1:40" x14ac:dyDescent="0.3">
      <c r="A863" t="str">
        <f>"20200111150739046"</f>
        <v>20200111150739046</v>
      </c>
      <c r="B863" t="str">
        <f>"1578726459041778"</f>
        <v>1578726459041778</v>
      </c>
      <c r="C863" t="s">
        <v>40</v>
      </c>
      <c r="D863">
        <v>5.4671419999999999</v>
      </c>
      <c r="E863">
        <v>0.63874830000000005</v>
      </c>
      <c r="F863" t="s">
        <v>54</v>
      </c>
      <c r="G863">
        <v>-200.1063</v>
      </c>
      <c r="H863" s="1">
        <v>1.8665569999999999E-6</v>
      </c>
      <c r="I863">
        <v>289.16419999999999</v>
      </c>
      <c r="J863">
        <v>-191.57050000000001</v>
      </c>
      <c r="K863">
        <v>1.0941669999999999</v>
      </c>
      <c r="L863">
        <v>297.14940000000001</v>
      </c>
      <c r="M863">
        <v>-0.34442529999999999</v>
      </c>
      <c r="N863">
        <v>0</v>
      </c>
      <c r="O863">
        <v>-0.93867219999999996</v>
      </c>
      <c r="P863">
        <v>-0.44153179999999997</v>
      </c>
      <c r="Q863">
        <v>0.17013039999999999</v>
      </c>
      <c r="R863">
        <v>-0.88096839999999998</v>
      </c>
      <c r="S863">
        <v>-2.3855740000000001</v>
      </c>
      <c r="T863">
        <v>-0.30110730000000002</v>
      </c>
      <c r="U863">
        <v>-2.294098</v>
      </c>
      <c r="V863">
        <v>0.118213899999999</v>
      </c>
      <c r="W863">
        <v>0.18158769999999999</v>
      </c>
      <c r="X863">
        <v>0.97624350000000004</v>
      </c>
      <c r="Y863">
        <v>0.43470409999999998</v>
      </c>
      <c r="Z863">
        <v>9.2240279999999994E-2</v>
      </c>
      <c r="AA863">
        <v>0.89583709999999905</v>
      </c>
      <c r="AB863">
        <v>37</v>
      </c>
      <c r="AC863">
        <v>-8.5357999999999894</v>
      </c>
      <c r="AD863">
        <v>-1.094165133443</v>
      </c>
      <c r="AE863">
        <v>-7.9852000000000096</v>
      </c>
      <c r="AF863">
        <v>5.21699719310985</v>
      </c>
      <c r="AG863">
        <v>-1.094165133443</v>
      </c>
      <c r="AH863">
        <v>10.3461565242934</v>
      </c>
      <c r="AI863">
        <v>95.3944385592918</v>
      </c>
      <c r="AJ863">
        <v>63.240705153685902</v>
      </c>
      <c r="AK863">
        <v>11.6386086744652</v>
      </c>
      <c r="AL863">
        <v>79.537747436798796</v>
      </c>
      <c r="AM863">
        <v>83.095635462020596</v>
      </c>
      <c r="AN863">
        <v>0.99999999511837501</v>
      </c>
    </row>
    <row r="864" spans="1:40" x14ac:dyDescent="0.3">
      <c r="A864" t="str">
        <f>"20200111150739067"</f>
        <v>20200111150739067</v>
      </c>
      <c r="B864" t="str">
        <f>"1578726459062273"</f>
        <v>1578726459062273</v>
      </c>
      <c r="C864" t="s">
        <v>40</v>
      </c>
      <c r="D864">
        <v>5.4906300000000003</v>
      </c>
      <c r="E864">
        <v>0.6384474</v>
      </c>
      <c r="F864" t="s">
        <v>54</v>
      </c>
      <c r="G864">
        <v>-200.51079999999999</v>
      </c>
      <c r="H864" s="1">
        <v>2.0683219999999999E-6</v>
      </c>
      <c r="I864">
        <v>288.90789999999998</v>
      </c>
      <c r="J864">
        <v>-191.70269999999999</v>
      </c>
      <c r="K864">
        <v>1.09398</v>
      </c>
      <c r="L864">
        <v>296.8193</v>
      </c>
      <c r="M864">
        <v>-0.35968610000000001</v>
      </c>
      <c r="N864">
        <v>0</v>
      </c>
      <c r="O864">
        <v>-0.93292980000000003</v>
      </c>
      <c r="P864">
        <v>-0.4605572</v>
      </c>
      <c r="Q864">
        <v>0.17054759999999999</v>
      </c>
      <c r="R864">
        <v>-0.87109130000000001</v>
      </c>
      <c r="S864">
        <v>-2.4334720000000001</v>
      </c>
      <c r="T864">
        <v>-0.29782199999999998</v>
      </c>
      <c r="U864">
        <v>-2.2432560000000001</v>
      </c>
      <c r="V864">
        <v>0.12363209999999999</v>
      </c>
      <c r="W864">
        <v>0.18179870000000001</v>
      </c>
      <c r="X864">
        <v>0.97553279999999998</v>
      </c>
      <c r="Y864">
        <v>0.43901040000000002</v>
      </c>
      <c r="Z864">
        <v>9.1123239999999994E-2</v>
      </c>
      <c r="AA864">
        <v>0.89384929999999996</v>
      </c>
      <c r="AB864">
        <v>37</v>
      </c>
      <c r="AC864">
        <v>-8.8080999999999907</v>
      </c>
      <c r="AD864">
        <v>-1.0939779316779901</v>
      </c>
      <c r="AE864">
        <v>-7.9114000000000102</v>
      </c>
      <c r="AF864">
        <v>5.3269567981960702</v>
      </c>
      <c r="AG864">
        <v>-1.0939779316779901</v>
      </c>
      <c r="AH864">
        <v>10.4610296069981</v>
      </c>
      <c r="AI864">
        <v>95.324011193508497</v>
      </c>
      <c r="AJ864">
        <v>63.013933436443601</v>
      </c>
      <c r="AK864">
        <v>11.790097407711899</v>
      </c>
      <c r="AL864">
        <v>79.525452957198297</v>
      </c>
      <c r="AM864">
        <v>82.777244286565605</v>
      </c>
      <c r="AN864">
        <v>0.99999995367396799</v>
      </c>
    </row>
    <row r="865" spans="1:40" x14ac:dyDescent="0.3">
      <c r="A865" t="str">
        <f>"20200111150739090"</f>
        <v>20200111150739090</v>
      </c>
      <c r="B865" t="str">
        <f>"1578726459081794"</f>
        <v>1578726459081794</v>
      </c>
      <c r="C865" t="s">
        <v>40</v>
      </c>
      <c r="D865">
        <v>5.3236990000000004</v>
      </c>
      <c r="E865">
        <v>0.69209129999999996</v>
      </c>
      <c r="F865" t="s">
        <v>54</v>
      </c>
      <c r="G865">
        <v>-200.76009999999999</v>
      </c>
      <c r="H865" s="1">
        <v>2.1876940000000001E-6</v>
      </c>
      <c r="I865">
        <v>288.80720000000002</v>
      </c>
      <c r="J865">
        <v>-191.8511</v>
      </c>
      <c r="K865">
        <v>1.0937859999999999</v>
      </c>
      <c r="L865">
        <v>296.46609999999998</v>
      </c>
      <c r="M865">
        <v>-0.37618309999999999</v>
      </c>
      <c r="N865">
        <v>0</v>
      </c>
      <c r="O865">
        <v>-0.9263998</v>
      </c>
      <c r="P865">
        <v>-0.48047459999999997</v>
      </c>
      <c r="Q865">
        <v>0.16917460000000001</v>
      </c>
      <c r="R865">
        <v>-0.86053740000000001</v>
      </c>
      <c r="S865">
        <v>-2.4782869999999999</v>
      </c>
      <c r="T865">
        <v>-0.29933379999999998</v>
      </c>
      <c r="U865">
        <v>-2.1922609999999998</v>
      </c>
      <c r="V865">
        <v>0.1286997</v>
      </c>
      <c r="W865">
        <v>0.1802348</v>
      </c>
      <c r="X865">
        <v>0.97516760000000002</v>
      </c>
      <c r="Y865">
        <v>0.44139109999999998</v>
      </c>
      <c r="Z865">
        <v>9.1413869999999994E-2</v>
      </c>
      <c r="AA865">
        <v>0.8926463</v>
      </c>
      <c r="AB865">
        <v>37</v>
      </c>
      <c r="AC865">
        <v>-8.90899999999999</v>
      </c>
      <c r="AD865">
        <v>-1.093783812306</v>
      </c>
      <c r="AE865">
        <v>-7.6588999999999503</v>
      </c>
      <c r="AF865">
        <v>5.3267025602957903</v>
      </c>
      <c r="AG865">
        <v>-1.093783812306</v>
      </c>
      <c r="AH865">
        <v>10.3582477606782</v>
      </c>
      <c r="AI865">
        <v>95.364696825307107</v>
      </c>
      <c r="AJ865">
        <v>62.785622002167102</v>
      </c>
      <c r="AK865">
        <v>11.698864041671699</v>
      </c>
      <c r="AL865">
        <v>79.616563695149296</v>
      </c>
      <c r="AM865">
        <v>82.481724586875004</v>
      </c>
      <c r="AN865">
        <v>1.0000000220004399</v>
      </c>
    </row>
    <row r="866" spans="1:40" x14ac:dyDescent="0.3">
      <c r="A866" t="str">
        <f>"20200111150739112"</f>
        <v>20200111150739112</v>
      </c>
      <c r="B866" t="str">
        <f>"1578726459102289"</f>
        <v>1578726459102289</v>
      </c>
      <c r="C866" t="s">
        <v>40</v>
      </c>
      <c r="D866">
        <v>5.4052389999999999</v>
      </c>
      <c r="E866">
        <v>0.69209129999999996</v>
      </c>
      <c r="F866" t="s">
        <v>54</v>
      </c>
      <c r="G866">
        <v>-207.7782</v>
      </c>
      <c r="H866" s="1">
        <v>5.554794E-6</v>
      </c>
      <c r="I866">
        <v>285.89179999999999</v>
      </c>
      <c r="J866">
        <v>-191.99950000000001</v>
      </c>
      <c r="K866">
        <v>1.0936110000000001</v>
      </c>
      <c r="L866">
        <v>296.12950000000001</v>
      </c>
      <c r="M866">
        <v>-0.39205449999999997</v>
      </c>
      <c r="N866">
        <v>0</v>
      </c>
      <c r="O866">
        <v>-0.91979420000000001</v>
      </c>
      <c r="P866">
        <v>-0.49885620000000003</v>
      </c>
      <c r="Q866">
        <v>0.16764109999999999</v>
      </c>
      <c r="R866">
        <v>-0.85031710000000005</v>
      </c>
      <c r="S866">
        <v>-2.884109</v>
      </c>
      <c r="T866">
        <v>-0.1980642</v>
      </c>
      <c r="U866">
        <v>-1.914825</v>
      </c>
      <c r="V866">
        <v>0.13278789999999999</v>
      </c>
      <c r="W866">
        <v>0.1785465</v>
      </c>
      <c r="X866">
        <v>0.97492999999999996</v>
      </c>
      <c r="Y866">
        <v>0.54796829999999996</v>
      </c>
      <c r="Z866">
        <v>5.9244480000000002E-2</v>
      </c>
      <c r="AA866">
        <v>0.83439839999999998</v>
      </c>
      <c r="AB866">
        <v>37</v>
      </c>
      <c r="AC866">
        <v>-15.778699999999899</v>
      </c>
      <c r="AD866">
        <v>-1.093605445206</v>
      </c>
      <c r="AE866">
        <v>-10.2377</v>
      </c>
      <c r="AF866">
        <v>10.4654687604258</v>
      </c>
      <c r="AG866">
        <v>-1.093605445206</v>
      </c>
      <c r="AH866">
        <v>15.5522335262062</v>
      </c>
      <c r="AI866">
        <v>93.338809753297298</v>
      </c>
      <c r="AJ866">
        <v>56.062449618675103</v>
      </c>
      <c r="AK866">
        <v>18.777485904638201</v>
      </c>
      <c r="AL866">
        <v>79.714890935863096</v>
      </c>
      <c r="AM866">
        <v>82.243898259028398</v>
      </c>
      <c r="AN866">
        <v>0.99999999197432898</v>
      </c>
    </row>
    <row r="867" spans="1:40" x14ac:dyDescent="0.3">
      <c r="A867" t="str">
        <f>"20200111150739136"</f>
        <v>20200111150739136</v>
      </c>
      <c r="B867" t="str">
        <f>"1578726459131569"</f>
        <v>1578726459131569</v>
      </c>
      <c r="C867" t="s">
        <v>40</v>
      </c>
      <c r="D867">
        <v>5.634131</v>
      </c>
      <c r="E867">
        <v>0.74948590000000004</v>
      </c>
      <c r="F867" t="s">
        <v>54</v>
      </c>
      <c r="G867">
        <v>-207.33760000000001</v>
      </c>
      <c r="H867" s="1">
        <v>5.3154330000000002E-6</v>
      </c>
      <c r="I867">
        <v>286.39499999999998</v>
      </c>
      <c r="J867">
        <v>-192.16579999999999</v>
      </c>
      <c r="K867">
        <v>1.09345</v>
      </c>
      <c r="L867">
        <v>295.76889999999997</v>
      </c>
      <c r="M867">
        <v>-0.40918650000000001</v>
      </c>
      <c r="N867">
        <v>0</v>
      </c>
      <c r="O867">
        <v>-0.91230060000000002</v>
      </c>
      <c r="P867">
        <v>-0.51645549999999996</v>
      </c>
      <c r="Q867">
        <v>0.16669129999999999</v>
      </c>
      <c r="R867">
        <v>-0.83993329999999999</v>
      </c>
      <c r="S867">
        <v>-2.9223940000000002</v>
      </c>
      <c r="T867">
        <v>-0.2083652</v>
      </c>
      <c r="U867">
        <v>-1.854706</v>
      </c>
      <c r="V867">
        <v>0.1348144</v>
      </c>
      <c r="W867">
        <v>0.1775254</v>
      </c>
      <c r="X867">
        <v>0.97483830000000005</v>
      </c>
      <c r="Y867">
        <v>0.5493519</v>
      </c>
      <c r="Z867">
        <v>6.2208289999999999E-2</v>
      </c>
      <c r="AA867">
        <v>0.83327229999999997</v>
      </c>
      <c r="AB867">
        <v>37</v>
      </c>
      <c r="AC867">
        <v>-15.171799999999999</v>
      </c>
      <c r="AD867">
        <v>-1.0934446845670001</v>
      </c>
      <c r="AE867">
        <v>-9.3738999999999901</v>
      </c>
      <c r="AF867">
        <v>9.9694630397930908</v>
      </c>
      <c r="AG867">
        <v>-1.0934446845670001</v>
      </c>
      <c r="AH867">
        <v>14.706648054568699</v>
      </c>
      <c r="AI867">
        <v>93.521692901374195</v>
      </c>
      <c r="AJ867">
        <v>55.867118308632897</v>
      </c>
      <c r="AK867">
        <v>17.800879517062</v>
      </c>
      <c r="AL867">
        <v>79.774345079461</v>
      </c>
      <c r="AM867">
        <v>82.126273105973894</v>
      </c>
      <c r="AN867">
        <v>0.99999995061970304</v>
      </c>
    </row>
    <row r="868" spans="1:40" x14ac:dyDescent="0.3">
      <c r="A868" t="str">
        <f>"20200111150739156"</f>
        <v>20200111150739156</v>
      </c>
      <c r="B868" t="str">
        <f>"1578726459152066"</f>
        <v>1578726459152066</v>
      </c>
      <c r="C868" t="s">
        <v>40</v>
      </c>
      <c r="D868">
        <v>5.5546749999999996</v>
      </c>
      <c r="E868">
        <v>0.74907369999999995</v>
      </c>
      <c r="F868" t="s">
        <v>55</v>
      </c>
      <c r="G868">
        <v>-219.54470000000001</v>
      </c>
      <c r="H868" s="1">
        <v>3.5424090000000002E-6</v>
      </c>
      <c r="I868">
        <v>283.09589999999997</v>
      </c>
      <c r="J868">
        <v>-192.31729999999999</v>
      </c>
      <c r="K868">
        <v>1.093323</v>
      </c>
      <c r="L868">
        <v>295.45530000000002</v>
      </c>
      <c r="M868">
        <v>-0.4241934</v>
      </c>
      <c r="N868">
        <v>0</v>
      </c>
      <c r="O868">
        <v>-0.90541950000000004</v>
      </c>
      <c r="P868">
        <v>-0.52967819999999899</v>
      </c>
      <c r="Q868">
        <v>0.1668705</v>
      </c>
      <c r="R868">
        <v>-0.83162219999999998</v>
      </c>
      <c r="S868">
        <v>-3.3386079999999998</v>
      </c>
      <c r="T868">
        <v>-0.13333619999999999</v>
      </c>
      <c r="U868">
        <v>-1.5453490000000001</v>
      </c>
      <c r="V868">
        <v>0.13421359999999999</v>
      </c>
      <c r="W868">
        <v>0.17774089999999901</v>
      </c>
      <c r="X868">
        <v>0.97488200000000003</v>
      </c>
      <c r="Y868">
        <v>0.64286269999999901</v>
      </c>
      <c r="Z868">
        <v>3.8398090000000003E-2</v>
      </c>
      <c r="AA868">
        <v>0.76501850000000005</v>
      </c>
      <c r="AB868">
        <v>37</v>
      </c>
      <c r="AC868">
        <v>-27.227399999999999</v>
      </c>
      <c r="AD868">
        <v>-1.0933194575909999</v>
      </c>
      <c r="AE868">
        <v>-12.359400000000001</v>
      </c>
      <c r="AF868">
        <v>19.386198719375699</v>
      </c>
      <c r="AG868">
        <v>-1.0933194575909999</v>
      </c>
      <c r="AH868">
        <v>22.712892138243799</v>
      </c>
      <c r="AI868">
        <v>92.096845039307098</v>
      </c>
      <c r="AJ868">
        <v>49.518155599668397</v>
      </c>
      <c r="AK868">
        <v>29.881357357171101</v>
      </c>
      <c r="AL868">
        <v>79.761798980119096</v>
      </c>
      <c r="AM868">
        <v>82.161272160837896</v>
      </c>
      <c r="AN868">
        <v>1.0000000159408799</v>
      </c>
    </row>
    <row r="869" spans="1:40" x14ac:dyDescent="0.3">
      <c r="A869" t="str">
        <f>"20200111150739224"</f>
        <v>20200111150739224</v>
      </c>
      <c r="B869" t="str">
        <f>"1578726459222337"</f>
        <v>1578726459222337</v>
      </c>
      <c r="C869" t="s">
        <v>40</v>
      </c>
      <c r="D869">
        <v>5.4479499999999996</v>
      </c>
      <c r="E869">
        <v>0.74620719999999996</v>
      </c>
      <c r="F869" t="s">
        <v>55</v>
      </c>
      <c r="G869">
        <v>-220.93109999999999</v>
      </c>
      <c r="H869" s="1">
        <v>-1.041318E-6</v>
      </c>
      <c r="I869">
        <v>282.7253</v>
      </c>
      <c r="J869">
        <v>-192.84469999999999</v>
      </c>
      <c r="K869">
        <v>1.0929799999999901</v>
      </c>
      <c r="L869">
        <v>294.45549999999997</v>
      </c>
      <c r="M869">
        <v>-0.47259139999999999</v>
      </c>
      <c r="N869">
        <v>0</v>
      </c>
      <c r="O869">
        <v>-0.88112289999999904</v>
      </c>
      <c r="P869">
        <v>-0.57181490000000001</v>
      </c>
      <c r="Q869">
        <v>0.16601170000000001</v>
      </c>
      <c r="R869">
        <v>-0.80341039999999997</v>
      </c>
      <c r="S869">
        <v>-3.3583980000000002</v>
      </c>
      <c r="T869">
        <v>-0.1283234</v>
      </c>
      <c r="U869">
        <v>-1.49411</v>
      </c>
      <c r="V869">
        <v>0.13165639999999901</v>
      </c>
      <c r="W869">
        <v>0.1770205</v>
      </c>
      <c r="X869">
        <v>0.97536160000000005</v>
      </c>
      <c r="Y869">
        <v>0.61237980000000003</v>
      </c>
      <c r="Z869">
        <v>3.639187E-2</v>
      </c>
      <c r="AA869">
        <v>0.78972569999999997</v>
      </c>
      <c r="AB869">
        <v>37</v>
      </c>
      <c r="AC869">
        <v>-28.086400000000001</v>
      </c>
      <c r="AD869">
        <v>-1.0929810413179999</v>
      </c>
      <c r="AE869">
        <v>-11.7301999999999</v>
      </c>
      <c r="AF869">
        <v>19.181931568711601</v>
      </c>
      <c r="AG869">
        <v>-1.0929810413179999</v>
      </c>
      <c r="AH869">
        <v>23.582034611696599</v>
      </c>
      <c r="AI869">
        <v>92.059199385152795</v>
      </c>
      <c r="AJ869">
        <v>50.874648329977198</v>
      </c>
      <c r="AK869">
        <v>30.417979267049802</v>
      </c>
      <c r="AL869">
        <v>79.803739348897906</v>
      </c>
      <c r="AM869">
        <v>82.3125569908606</v>
      </c>
      <c r="AN869">
        <v>0.99999995791788399</v>
      </c>
    </row>
    <row r="870" spans="1:40" x14ac:dyDescent="0.3">
      <c r="A870" t="str">
        <f>"20200111150739246"</f>
        <v>20200111150739246</v>
      </c>
      <c r="B870" t="str">
        <f>"1578726459241858"</f>
        <v>1578726459241858</v>
      </c>
      <c r="C870" t="s">
        <v>40</v>
      </c>
      <c r="D870">
        <v>5.4241330000000003</v>
      </c>
      <c r="E870">
        <v>0.74203339999999995</v>
      </c>
      <c r="F870" t="s">
        <v>55</v>
      </c>
      <c r="G870">
        <v>-218.47980000000001</v>
      </c>
      <c r="H870" s="1">
        <v>2.9757149999999999E-6</v>
      </c>
      <c r="I870">
        <v>284.41739999999999</v>
      </c>
      <c r="J870">
        <v>-193.02699999999999</v>
      </c>
      <c r="K870">
        <v>1.0929059999999999</v>
      </c>
      <c r="L870">
        <v>294.13799999999998</v>
      </c>
      <c r="M870">
        <v>-0.48810419999999999</v>
      </c>
      <c r="N870">
        <v>0</v>
      </c>
      <c r="O870">
        <v>-0.87262469999999903</v>
      </c>
      <c r="P870">
        <v>-0.5861807</v>
      </c>
      <c r="Q870">
        <v>0.16581309999999999</v>
      </c>
      <c r="R870">
        <v>-0.79303100000000004</v>
      </c>
      <c r="S870">
        <v>-3.4116970000000002</v>
      </c>
      <c r="T870">
        <v>-0.14546110000000001</v>
      </c>
      <c r="U870">
        <v>-1.3359379999999901</v>
      </c>
      <c r="V870">
        <v>0.13196079999999999</v>
      </c>
      <c r="W870">
        <v>0.17681540000000001</v>
      </c>
      <c r="X870">
        <v>0.97535769999999999</v>
      </c>
      <c r="Y870">
        <v>0.63378999999999996</v>
      </c>
      <c r="Z870">
        <v>4.1551409999999997E-2</v>
      </c>
      <c r="AA870">
        <v>0.77238830000000003</v>
      </c>
      <c r="AB870">
        <v>36</v>
      </c>
      <c r="AC870">
        <v>-25.4528</v>
      </c>
      <c r="AD870">
        <v>-1.092903024285</v>
      </c>
      <c r="AE870">
        <v>-9.7205999999999904</v>
      </c>
      <c r="AF870">
        <v>17.4404635642288</v>
      </c>
      <c r="AG870">
        <v>-1.092903024285</v>
      </c>
      <c r="AH870">
        <v>20.875397053051898</v>
      </c>
      <c r="AI870">
        <v>92.300747596337899</v>
      </c>
      <c r="AJ870">
        <v>50.122747801418598</v>
      </c>
      <c r="AK870">
        <v>27.224004269729601</v>
      </c>
      <c r="AL870">
        <v>79.815679392707906</v>
      </c>
      <c r="AM870">
        <v>82.294965847287003</v>
      </c>
      <c r="AN870">
        <v>0.99999999068154499</v>
      </c>
    </row>
    <row r="871" spans="1:40" x14ac:dyDescent="0.3">
      <c r="A871" t="str">
        <f>"20200111150739268"</f>
        <v>20200111150739268</v>
      </c>
      <c r="B871" t="str">
        <f>"1578726459262353"</f>
        <v>1578726459262353</v>
      </c>
      <c r="C871" t="s">
        <v>40</v>
      </c>
      <c r="D871">
        <v>5.405176</v>
      </c>
      <c r="E871">
        <v>0.73872899999999997</v>
      </c>
      <c r="F871" t="s">
        <v>55</v>
      </c>
      <c r="G871">
        <v>-217.7576</v>
      </c>
      <c r="H871" s="1">
        <v>2.5914409999999999E-6</v>
      </c>
      <c r="I871">
        <v>284.74579999999997</v>
      </c>
      <c r="J871">
        <v>-193.21029999999999</v>
      </c>
      <c r="K871">
        <v>1.0928370000000001</v>
      </c>
      <c r="L871">
        <v>293.83120000000002</v>
      </c>
      <c r="M871">
        <v>-0.50314559999999997</v>
      </c>
      <c r="N871">
        <v>0</v>
      </c>
      <c r="O871">
        <v>-0.86403890000000005</v>
      </c>
      <c r="P871">
        <v>-0.59977440000000004</v>
      </c>
      <c r="Q871">
        <v>0.1660799</v>
      </c>
      <c r="R871">
        <v>-0.78274429999999995</v>
      </c>
      <c r="S871">
        <v>-3.4089510000000001</v>
      </c>
      <c r="T871">
        <v>-0.15064930000000001</v>
      </c>
      <c r="U871">
        <v>-1.2946470000000001</v>
      </c>
      <c r="V871">
        <v>0.13196050000000001</v>
      </c>
      <c r="W871">
        <v>0.17708670000000001</v>
      </c>
      <c r="X871">
        <v>0.97530850000000002</v>
      </c>
      <c r="Y871">
        <v>0.62824859999999905</v>
      </c>
      <c r="Z871">
        <v>4.3021219999999999E-2</v>
      </c>
      <c r="AA871">
        <v>0.77682229999999997</v>
      </c>
      <c r="AB871">
        <v>36</v>
      </c>
      <c r="AC871">
        <v>-24.5473</v>
      </c>
      <c r="AD871">
        <v>-1.092834408559</v>
      </c>
      <c r="AE871">
        <v>-9.0854000000000497</v>
      </c>
      <c r="AF871">
        <v>16.6119258298673</v>
      </c>
      <c r="AG871">
        <v>-1.092834408559</v>
      </c>
      <c r="AH871">
        <v>20.1686887952443</v>
      </c>
      <c r="AI871">
        <v>92.394962919583904</v>
      </c>
      <c r="AJ871">
        <v>50.523448243403301</v>
      </c>
      <c r="AK871">
        <v>26.151986053471301</v>
      </c>
      <c r="AL871">
        <v>79.799885621967803</v>
      </c>
      <c r="AM871">
        <v>82.294599138970995</v>
      </c>
      <c r="AN871">
        <v>0.999999971524694</v>
      </c>
    </row>
    <row r="872" spans="1:40" x14ac:dyDescent="0.3">
      <c r="A872" t="str">
        <f>"20200111150739291"</f>
        <v>20200111150739291</v>
      </c>
      <c r="B872" t="str">
        <f>"1578726459281873"</f>
        <v>1578726459281873</v>
      </c>
      <c r="C872" t="s">
        <v>40</v>
      </c>
      <c r="D872">
        <v>5.4361689999999996</v>
      </c>
      <c r="E872">
        <v>0.73659160000000001</v>
      </c>
      <c r="F872" t="s">
        <v>55</v>
      </c>
      <c r="G872">
        <v>-216.9186</v>
      </c>
      <c r="H872" s="1">
        <v>2.1449329999999998E-6</v>
      </c>
      <c r="I872">
        <v>285.13029999999998</v>
      </c>
      <c r="J872">
        <v>-193.42019999999999</v>
      </c>
      <c r="K872">
        <v>1.0927639999999901</v>
      </c>
      <c r="L872">
        <v>293.4941</v>
      </c>
      <c r="M872">
        <v>-0.51973579999999997</v>
      </c>
      <c r="N872">
        <v>0</v>
      </c>
      <c r="O872">
        <v>-0.85416199999999998</v>
      </c>
      <c r="P872">
        <v>-0.61497990000000002</v>
      </c>
      <c r="Q872">
        <v>0.16636300000000001</v>
      </c>
      <c r="R872">
        <v>-0.77079370000000003</v>
      </c>
      <c r="S872">
        <v>-3.4114840000000002</v>
      </c>
      <c r="T872">
        <v>-0.1572527</v>
      </c>
      <c r="U872">
        <v>-1.252014</v>
      </c>
      <c r="V872">
        <v>0.13228870000000001</v>
      </c>
      <c r="W872">
        <v>0.17735979999999901</v>
      </c>
      <c r="X872">
        <v>0.97521440000000004</v>
      </c>
      <c r="Y872">
        <v>0.62184099999999998</v>
      </c>
      <c r="Z872">
        <v>4.4782460000000003E-2</v>
      </c>
      <c r="AA872">
        <v>0.7818621</v>
      </c>
      <c r="AB872">
        <v>36</v>
      </c>
      <c r="AC872">
        <v>-23.4984</v>
      </c>
      <c r="AD872">
        <v>-1.09276185506699</v>
      </c>
      <c r="AE872">
        <v>-8.3638000000000208</v>
      </c>
      <c r="AF872">
        <v>15.6965630986178</v>
      </c>
      <c r="AG872">
        <v>-1.09276185506699</v>
      </c>
      <c r="AH872">
        <v>19.322641163024201</v>
      </c>
      <c r="AI872">
        <v>92.513404557064206</v>
      </c>
      <c r="AJ872">
        <v>50.911647833441897</v>
      </c>
      <c r="AK872">
        <v>24.9186814076463</v>
      </c>
      <c r="AL872">
        <v>79.783986376893296</v>
      </c>
      <c r="AM872">
        <v>82.274929724850693</v>
      </c>
      <c r="AN872">
        <v>0.99999996238554401</v>
      </c>
    </row>
    <row r="873" spans="1:40" x14ac:dyDescent="0.3">
      <c r="A873" t="str">
        <f>"20200111150739313"</f>
        <v>20200111150739313</v>
      </c>
      <c r="B873" t="str">
        <f>"1578726459302370"</f>
        <v>1578726459302370</v>
      </c>
      <c r="C873" t="s">
        <v>40</v>
      </c>
      <c r="D873">
        <v>5.453068</v>
      </c>
      <c r="E873">
        <v>0.73481370000000001</v>
      </c>
      <c r="F873" t="s">
        <v>55</v>
      </c>
      <c r="G873">
        <v>-216.78380000000001</v>
      </c>
      <c r="H873" s="1">
        <v>2.0732349999999998E-6</v>
      </c>
      <c r="I873">
        <v>285.33370000000002</v>
      </c>
      <c r="J873">
        <v>-193.61160000000001</v>
      </c>
      <c r="K873">
        <v>1.0927020000000001</v>
      </c>
      <c r="L873">
        <v>293.1986</v>
      </c>
      <c r="M873">
        <v>-0.5343173</v>
      </c>
      <c r="N873">
        <v>0</v>
      </c>
      <c r="O873">
        <v>-0.8451168</v>
      </c>
      <c r="P873">
        <v>-0.62885880000000005</v>
      </c>
      <c r="Q873">
        <v>0.16664219999999999</v>
      </c>
      <c r="R873">
        <v>-0.7594514</v>
      </c>
      <c r="S873">
        <v>-3.4230499999999999</v>
      </c>
      <c r="T873">
        <v>-0.1601023</v>
      </c>
      <c r="U873">
        <v>-1.195587</v>
      </c>
      <c r="V873">
        <v>0.13330819999999999</v>
      </c>
      <c r="W873">
        <v>0.177596799999999</v>
      </c>
      <c r="X873">
        <v>0.97503240000000002</v>
      </c>
      <c r="Y873">
        <v>0.62065389999999998</v>
      </c>
      <c r="Z873">
        <v>4.5500810000000003E-2</v>
      </c>
      <c r="AA873">
        <v>0.78276330000000005</v>
      </c>
      <c r="AB873">
        <v>36</v>
      </c>
      <c r="AC873">
        <v>-23.1722</v>
      </c>
      <c r="AD873">
        <v>-1.0926999267649999</v>
      </c>
      <c r="AE873">
        <v>-7.8648999999999702</v>
      </c>
      <c r="AF873">
        <v>15.3524252982207</v>
      </c>
      <c r="AG873">
        <v>-1.0926999267649999</v>
      </c>
      <c r="AH873">
        <v>18.992884967917998</v>
      </c>
      <c r="AI873">
        <v>92.561860477343103</v>
      </c>
      <c r="AJ873">
        <v>51.050521761188001</v>
      </c>
      <c r="AK873">
        <v>24.446280597914399</v>
      </c>
      <c r="AL873">
        <v>79.770187998686595</v>
      </c>
      <c r="AM873">
        <v>82.214687433583705</v>
      </c>
      <c r="AN873">
        <v>0.99999994030361805</v>
      </c>
    </row>
    <row r="874" spans="1:40" x14ac:dyDescent="0.3">
      <c r="A874" t="str">
        <f>"20200111150739336"</f>
        <v>20200111150739336</v>
      </c>
      <c r="B874" t="str">
        <f>"1578726459331649"</f>
        <v>1578726459331649</v>
      </c>
      <c r="C874" t="s">
        <v>40</v>
      </c>
      <c r="D874">
        <v>5.2669139999999999</v>
      </c>
      <c r="E874">
        <v>0.73293629999999999</v>
      </c>
      <c r="F874" t="s">
        <v>55</v>
      </c>
      <c r="G874">
        <v>-216.99879999999999</v>
      </c>
      <c r="H874" s="1">
        <v>2.1876410000000001E-6</v>
      </c>
      <c r="I874">
        <v>285.41359999999997</v>
      </c>
      <c r="J874">
        <v>-193.82689999999999</v>
      </c>
      <c r="K874">
        <v>1.092652</v>
      </c>
      <c r="L874">
        <v>292.87869999999998</v>
      </c>
      <c r="M874">
        <v>-0.55014719999999995</v>
      </c>
      <c r="N874">
        <v>0</v>
      </c>
      <c r="O874">
        <v>-0.83489809999999998</v>
      </c>
      <c r="P874">
        <v>-0.64367039999999998</v>
      </c>
      <c r="Q874">
        <v>0.16671859999999999</v>
      </c>
      <c r="R874">
        <v>-0.74692259999999999</v>
      </c>
      <c r="S874">
        <v>-3.4329990000000001</v>
      </c>
      <c r="T874">
        <v>-0.16039679999999901</v>
      </c>
      <c r="U874">
        <v>-1.1427609999999999</v>
      </c>
      <c r="V874">
        <v>0.13414110000000001</v>
      </c>
      <c r="W874">
        <v>0.17763899999999999</v>
      </c>
      <c r="X874">
        <v>0.97491059999999996</v>
      </c>
      <c r="Y874">
        <v>0.61738179999999998</v>
      </c>
      <c r="Z874">
        <v>4.5415360000000002E-2</v>
      </c>
      <c r="AA874">
        <v>0.78535159999999904</v>
      </c>
      <c r="AB874">
        <v>36</v>
      </c>
      <c r="AC874">
        <v>-23.171899999999901</v>
      </c>
      <c r="AD874">
        <v>-1.092649812359</v>
      </c>
      <c r="AE874">
        <v>-7.4650999999999996</v>
      </c>
      <c r="AF874">
        <v>15.2107887957941</v>
      </c>
      <c r="AG874">
        <v>-1.092649812359</v>
      </c>
      <c r="AH874">
        <v>18.945078523786201</v>
      </c>
      <c r="AI874">
        <v>92.575019652271806</v>
      </c>
      <c r="AJ874">
        <v>51.239414168785899</v>
      </c>
      <c r="AK874">
        <v>24.3203203037116</v>
      </c>
      <c r="AL874">
        <v>79.767732324268493</v>
      </c>
      <c r="AM874">
        <v>82.165680896287199</v>
      </c>
      <c r="AN874">
        <v>1.00000006351128</v>
      </c>
    </row>
    <row r="875" spans="1:40" x14ac:dyDescent="0.3">
      <c r="A875" t="str">
        <f>"20200111150739358"</f>
        <v>20200111150739358</v>
      </c>
      <c r="B875" t="str">
        <f>"1578726459352145"</f>
        <v>1578726459352145</v>
      </c>
      <c r="C875" t="s">
        <v>40</v>
      </c>
      <c r="D875">
        <v>5.3181450000000003</v>
      </c>
      <c r="E875">
        <v>0.7014939</v>
      </c>
      <c r="F875" t="s">
        <v>55</v>
      </c>
      <c r="G875">
        <v>-217.22450000000001</v>
      </c>
      <c r="H875" s="1">
        <v>2.3077270000000001E-6</v>
      </c>
      <c r="I875">
        <v>285.51029999999997</v>
      </c>
      <c r="J875">
        <v>-194.0273</v>
      </c>
      <c r="K875">
        <v>1.0926089999999999</v>
      </c>
      <c r="L875">
        <v>292.5924</v>
      </c>
      <c r="M875">
        <v>-0.56435419999999903</v>
      </c>
      <c r="N875">
        <v>0</v>
      </c>
      <c r="O875">
        <v>-0.82536080000000001</v>
      </c>
      <c r="P875">
        <v>-0.6569701</v>
      </c>
      <c r="Q875">
        <v>0.16581189999999901</v>
      </c>
      <c r="R875">
        <v>-0.73545689999999997</v>
      </c>
      <c r="S875">
        <v>-3.443924</v>
      </c>
      <c r="T875">
        <v>-0.16082879999999899</v>
      </c>
      <c r="U875">
        <v>-1.0845640000000001</v>
      </c>
      <c r="V875">
        <v>0.134814299999999</v>
      </c>
      <c r="W875">
        <v>0.17670749999999999</v>
      </c>
      <c r="X875">
        <v>0.97498700000000005</v>
      </c>
      <c r="Y875">
        <v>0.61668529999999999</v>
      </c>
      <c r="Z875">
        <v>4.541456E-2</v>
      </c>
      <c r="AA875">
        <v>0.78589869999999995</v>
      </c>
      <c r="AB875">
        <v>36</v>
      </c>
      <c r="AC875">
        <v>-23.197199999999999</v>
      </c>
      <c r="AD875">
        <v>-1.092606692273</v>
      </c>
      <c r="AE875">
        <v>-7.08210000000002</v>
      </c>
      <c r="AF875">
        <v>15.1207124686304</v>
      </c>
      <c r="AG875">
        <v>-1.092606692273</v>
      </c>
      <c r="AH875">
        <v>18.901056904424198</v>
      </c>
      <c r="AI875">
        <v>92.584551893885703</v>
      </c>
      <c r="AJ875">
        <v>51.340437683599099</v>
      </c>
      <c r="AK875">
        <v>24.229727341579299</v>
      </c>
      <c r="AL875">
        <v>79.821961050873995</v>
      </c>
      <c r="AM875">
        <v>82.127464674219496</v>
      </c>
      <c r="AN875">
        <v>1.0000000431048599</v>
      </c>
    </row>
    <row r="876" spans="1:40" x14ac:dyDescent="0.3">
      <c r="A876" t="str">
        <f>"20200111150739381"</f>
        <v>20200111150739381</v>
      </c>
      <c r="B876" t="str">
        <f>"1578726459371666"</f>
        <v>1578726459371666</v>
      </c>
      <c r="C876" t="s">
        <v>40</v>
      </c>
      <c r="D876">
        <v>5.3526439999999997</v>
      </c>
      <c r="E876">
        <v>0.70112959999999902</v>
      </c>
      <c r="F876" t="s">
        <v>55</v>
      </c>
      <c r="G876">
        <v>-216.83690000000001</v>
      </c>
      <c r="H876" s="1">
        <v>2.1014680000000001E-6</v>
      </c>
      <c r="I876">
        <v>284.30739999999997</v>
      </c>
      <c r="J876">
        <v>-194.25360000000001</v>
      </c>
      <c r="K876">
        <v>1.092571</v>
      </c>
      <c r="L876">
        <v>292.28160000000003</v>
      </c>
      <c r="M876">
        <v>-0.57982449999999996</v>
      </c>
      <c r="N876">
        <v>0</v>
      </c>
      <c r="O876">
        <v>-0.81456689999999998</v>
      </c>
      <c r="P876">
        <v>-0.67132000000000003</v>
      </c>
      <c r="Q876">
        <v>0.1647052</v>
      </c>
      <c r="R876">
        <v>-0.72263500000000003</v>
      </c>
      <c r="S876">
        <v>-3.274521</v>
      </c>
      <c r="T876">
        <v>-0.15685379999999999</v>
      </c>
      <c r="U876">
        <v>-1.189392</v>
      </c>
      <c r="V876">
        <v>0.13543429999999901</v>
      </c>
      <c r="W876">
        <v>0.1755786</v>
      </c>
      <c r="X876">
        <v>0.975105</v>
      </c>
      <c r="Y876">
        <v>0.56665339999999997</v>
      </c>
      <c r="Z876">
        <v>4.4760349999999997E-2</v>
      </c>
      <c r="AA876">
        <v>0.82273960000000002</v>
      </c>
      <c r="AB876">
        <v>36</v>
      </c>
      <c r="AC876">
        <v>-22.583300000000001</v>
      </c>
      <c r="AD876">
        <v>-1.0925688985319999</v>
      </c>
      <c r="AE876">
        <v>-7.9742000000000504</v>
      </c>
      <c r="AF876">
        <v>13.745324910846501</v>
      </c>
      <c r="AG876">
        <v>-1.0925688985319999</v>
      </c>
      <c r="AH876">
        <v>19.551965785665399</v>
      </c>
      <c r="AI876">
        <v>92.617399707912796</v>
      </c>
      <c r="AJ876">
        <v>54.8922071321037</v>
      </c>
      <c r="AK876">
        <v>23.9250293581138</v>
      </c>
      <c r="AL876">
        <v>79.887669481439602</v>
      </c>
      <c r="AM876">
        <v>82.092661475093607</v>
      </c>
      <c r="AN876">
        <v>1.0000000277097201</v>
      </c>
    </row>
    <row r="877" spans="1:40" x14ac:dyDescent="0.3">
      <c r="A877" t="str">
        <f>"20200111150739403"</f>
        <v>20200111150739403</v>
      </c>
      <c r="B877" t="str">
        <f>"1578726459401921"</f>
        <v>1578726459401921</v>
      </c>
      <c r="C877" t="s">
        <v>40</v>
      </c>
      <c r="D877">
        <v>5.4007300000000003</v>
      </c>
      <c r="E877">
        <v>0.70292349999999904</v>
      </c>
      <c r="F877" t="s">
        <v>55</v>
      </c>
      <c r="G877">
        <v>-214.70529999999999</v>
      </c>
      <c r="H877" s="1">
        <v>9.6713550000000005E-7</v>
      </c>
      <c r="I877">
        <v>285.28550000000001</v>
      </c>
      <c r="J877">
        <v>-194.48089999999999</v>
      </c>
      <c r="K877">
        <v>1.0925370000000001</v>
      </c>
      <c r="L877">
        <v>291.98180000000002</v>
      </c>
      <c r="M877">
        <v>-0.59479559999999998</v>
      </c>
      <c r="N877">
        <v>0</v>
      </c>
      <c r="O877">
        <v>-0.80369990000000002</v>
      </c>
      <c r="P877">
        <v>-0.68482949999999998</v>
      </c>
      <c r="Q877">
        <v>0.1640751</v>
      </c>
      <c r="R877">
        <v>-0.70999159999999994</v>
      </c>
      <c r="S877">
        <v>-3.297714</v>
      </c>
      <c r="T877">
        <v>-0.1761703</v>
      </c>
      <c r="U877">
        <v>-1.128082</v>
      </c>
      <c r="V877">
        <v>0.13568160000000001</v>
      </c>
      <c r="W877">
        <v>0.1749425</v>
      </c>
      <c r="X877">
        <v>0.97518490000000002</v>
      </c>
      <c r="Y877">
        <v>0.56661030000000001</v>
      </c>
      <c r="Z877">
        <v>4.9928210000000001E-2</v>
      </c>
      <c r="AA877">
        <v>0.82247190000000003</v>
      </c>
      <c r="AB877">
        <v>36</v>
      </c>
      <c r="AC877">
        <v>-20.224399999999999</v>
      </c>
      <c r="AD877">
        <v>-1.0925360328645</v>
      </c>
      <c r="AE877">
        <v>-6.6962999999999999</v>
      </c>
      <c r="AF877">
        <v>12.2409726527431</v>
      </c>
      <c r="AG877">
        <v>-1.0925360328645</v>
      </c>
      <c r="AH877">
        <v>17.368001963097601</v>
      </c>
      <c r="AI877">
        <v>92.943422283029903</v>
      </c>
      <c r="AJ877">
        <v>54.8238079867156</v>
      </c>
      <c r="AK877">
        <v>21.276337529247701</v>
      </c>
      <c r="AL877">
        <v>79.9246878355288</v>
      </c>
      <c r="AM877">
        <v>82.079046787585398</v>
      </c>
      <c r="AN877">
        <v>0.99999998203640905</v>
      </c>
    </row>
    <row r="878" spans="1:40" x14ac:dyDescent="0.3">
      <c r="A878" t="str">
        <f>"20200111150739428"</f>
        <v>20200111150739428</v>
      </c>
      <c r="B878" t="str">
        <f>"1578726459422418"</f>
        <v>1578726459422418</v>
      </c>
      <c r="C878" t="s">
        <v>40</v>
      </c>
      <c r="D878">
        <v>5.4125079999999999</v>
      </c>
      <c r="E878">
        <v>0.70323230000000003</v>
      </c>
      <c r="F878" t="s">
        <v>55</v>
      </c>
      <c r="G878">
        <v>-215.64689999999999</v>
      </c>
      <c r="H878" s="1">
        <v>1.468184E-6</v>
      </c>
      <c r="I878">
        <v>285.27319999999997</v>
      </c>
      <c r="J878">
        <v>-194.72030000000001</v>
      </c>
      <c r="K878">
        <v>1.0925149999999999</v>
      </c>
      <c r="L878">
        <v>291.678</v>
      </c>
      <c r="M878">
        <v>-0.6100061</v>
      </c>
      <c r="N878">
        <v>0</v>
      </c>
      <c r="O878">
        <v>-0.79221699999999995</v>
      </c>
      <c r="P878">
        <v>-0.69802149999999996</v>
      </c>
      <c r="Q878">
        <v>0.16340629999999901</v>
      </c>
      <c r="R878">
        <v>-0.69718329999999995</v>
      </c>
      <c r="S878">
        <v>-3.3281860000000001</v>
      </c>
      <c r="T878">
        <v>-0.17179259999999999</v>
      </c>
      <c r="U878">
        <v>-1.0548709999999999</v>
      </c>
      <c r="V878">
        <v>0.135262299999999</v>
      </c>
      <c r="W878">
        <v>0.17429739999999999</v>
      </c>
      <c r="X878">
        <v>0.97535870000000002</v>
      </c>
      <c r="Y878">
        <v>0.56963609999999998</v>
      </c>
      <c r="Z878">
        <v>4.8334660000000002E-2</v>
      </c>
      <c r="AA878">
        <v>0.8204745</v>
      </c>
      <c r="AB878">
        <v>36</v>
      </c>
      <c r="AC878">
        <v>-20.926599999999901</v>
      </c>
      <c r="AD878">
        <v>-1.092513531816</v>
      </c>
      <c r="AE878">
        <v>-6.4048000000000203</v>
      </c>
      <c r="AF878">
        <v>12.6417411631961</v>
      </c>
      <c r="AG878">
        <v>-1.092513531816</v>
      </c>
      <c r="AH878">
        <v>17.797532229052401</v>
      </c>
      <c r="AI878">
        <v>92.865008101673595</v>
      </c>
      <c r="AJ878">
        <v>54.6134922898582</v>
      </c>
      <c r="AK878">
        <v>21.857707082368201</v>
      </c>
      <c r="AL878">
        <v>79.962226607899595</v>
      </c>
      <c r="AM878">
        <v>82.104605198807306</v>
      </c>
      <c r="AN878">
        <v>1.00000003355686</v>
      </c>
    </row>
    <row r="879" spans="1:40" x14ac:dyDescent="0.3">
      <c r="A879" t="str">
        <f>"20200111150739449"</f>
        <v>20200111150739449</v>
      </c>
      <c r="B879" t="str">
        <f>"1578726459441938"</f>
        <v>1578726459441938</v>
      </c>
      <c r="C879" t="s">
        <v>40</v>
      </c>
      <c r="D879">
        <v>5.7796399999999997</v>
      </c>
      <c r="E879">
        <v>0.70463069999999906</v>
      </c>
      <c r="F879" t="s">
        <v>55</v>
      </c>
      <c r="G879">
        <v>-216.84059999999999</v>
      </c>
      <c r="H879" s="1">
        <v>2.1034270000000002E-6</v>
      </c>
      <c r="I879">
        <v>285.14580000000001</v>
      </c>
      <c r="J879">
        <v>-194.94329999999999</v>
      </c>
      <c r="K879">
        <v>1.0925</v>
      </c>
      <c r="L879">
        <v>291.40519999999998</v>
      </c>
      <c r="M879">
        <v>-0.62369419999999898</v>
      </c>
      <c r="N879">
        <v>0</v>
      </c>
      <c r="O879">
        <v>-0.78148600000000001</v>
      </c>
      <c r="P879">
        <v>-0.70948849999999997</v>
      </c>
      <c r="Q879">
        <v>0.16393579999999999</v>
      </c>
      <c r="R879">
        <v>-0.68538390000000005</v>
      </c>
      <c r="S879">
        <v>-3.3488310000000001</v>
      </c>
      <c r="T879">
        <v>-0.1653974</v>
      </c>
      <c r="U879">
        <v>-0.98892210000000003</v>
      </c>
      <c r="V879">
        <v>0.13457740000000001</v>
      </c>
      <c r="W879">
        <v>0.17485889999999901</v>
      </c>
      <c r="X879">
        <v>0.97535289999999997</v>
      </c>
      <c r="Y879">
        <v>0.57169119999999995</v>
      </c>
      <c r="Z879">
        <v>4.6268040000000003E-2</v>
      </c>
      <c r="AA879">
        <v>0.81916330000000004</v>
      </c>
      <c r="AB879">
        <v>36</v>
      </c>
      <c r="AC879">
        <v>-21.897300000000001</v>
      </c>
      <c r="AD879">
        <v>-1.0924978965729999</v>
      </c>
      <c r="AE879">
        <v>-6.2593999999999701</v>
      </c>
      <c r="AF879">
        <v>13.180036197439501</v>
      </c>
      <c r="AG879">
        <v>-1.0924978965729999</v>
      </c>
      <c r="AH879">
        <v>18.5089057661536</v>
      </c>
      <c r="AI879">
        <v>92.752712261240404</v>
      </c>
      <c r="AJ879">
        <v>54.5456515943076</v>
      </c>
      <c r="AK879">
        <v>22.748329575601499</v>
      </c>
      <c r="AL879">
        <v>79.929552887394706</v>
      </c>
      <c r="AM879">
        <v>82.144036944929894</v>
      </c>
      <c r="AN879">
        <v>0.99999999551918894</v>
      </c>
    </row>
    <row r="880" spans="1:40" x14ac:dyDescent="0.3">
      <c r="A880" t="str">
        <f>"20200111150739473"</f>
        <v>20200111150739473</v>
      </c>
      <c r="B880" t="str">
        <f>"1578726459462434"</f>
        <v>1578726459462434</v>
      </c>
      <c r="C880" t="s">
        <v>40</v>
      </c>
      <c r="D880">
        <v>5.4120780000000002</v>
      </c>
      <c r="E880">
        <v>0.70384919999999995</v>
      </c>
      <c r="F880" t="s">
        <v>55</v>
      </c>
      <c r="G880">
        <v>-216.7236</v>
      </c>
      <c r="H880" s="1">
        <v>2.0412020000000001E-6</v>
      </c>
      <c r="I880">
        <v>285.43400000000003</v>
      </c>
      <c r="J880">
        <v>-195.18899999999999</v>
      </c>
      <c r="K880">
        <v>1.0924929999999999</v>
      </c>
      <c r="L880">
        <v>291.11559999999997</v>
      </c>
      <c r="M880">
        <v>-0.63826169999999904</v>
      </c>
      <c r="N880">
        <v>0</v>
      </c>
      <c r="O880">
        <v>-0.76963440000000005</v>
      </c>
      <c r="P880">
        <v>-0.72195699999999996</v>
      </c>
      <c r="Q880">
        <v>0.1647875</v>
      </c>
      <c r="R880">
        <v>-0.67202959999999901</v>
      </c>
      <c r="S880">
        <v>-3.3739620000000001</v>
      </c>
      <c r="T880">
        <v>-0.16923740000000001</v>
      </c>
      <c r="U880">
        <v>-0.92498780000000003</v>
      </c>
      <c r="V880">
        <v>0.1343443</v>
      </c>
      <c r="W880">
        <v>0.1757213</v>
      </c>
      <c r="X880">
        <v>0.97523000000000004</v>
      </c>
      <c r="Y880">
        <v>0.57227130000000004</v>
      </c>
      <c r="Z880">
        <v>4.6911540000000002E-2</v>
      </c>
      <c r="AA880">
        <v>0.81872149999999999</v>
      </c>
      <c r="AB880">
        <v>36</v>
      </c>
      <c r="AC880">
        <v>-21.534599999999902</v>
      </c>
      <c r="AD880">
        <v>-1.0924909587979901</v>
      </c>
      <c r="AE880">
        <v>-5.68159999999994</v>
      </c>
      <c r="AF880">
        <v>12.9181818834053</v>
      </c>
      <c r="AG880">
        <v>-1.0924909587979901</v>
      </c>
      <c r="AH880">
        <v>18.076550217423598</v>
      </c>
      <c r="AI880">
        <v>92.815043969991393</v>
      </c>
      <c r="AJ880">
        <v>54.448975420906699</v>
      </c>
      <c r="AK880">
        <v>22.244878678716901</v>
      </c>
      <c r="AL880">
        <v>79.879363552901594</v>
      </c>
      <c r="AM880">
        <v>82.156498676048102</v>
      </c>
      <c r="AN880">
        <v>0.99999995955808896</v>
      </c>
    </row>
    <row r="881" spans="1:40" x14ac:dyDescent="0.3">
      <c r="A881" t="str">
        <f>"20200111150739495"</f>
        <v>20200111150739495</v>
      </c>
      <c r="B881" t="str">
        <f>"1578726459491713"</f>
        <v>1578726459491713</v>
      </c>
      <c r="C881" t="s">
        <v>40</v>
      </c>
      <c r="D881">
        <v>5.7173749999999997</v>
      </c>
      <c r="E881">
        <v>0.70268619999999904</v>
      </c>
      <c r="F881" t="s">
        <v>55</v>
      </c>
      <c r="G881">
        <v>-217.42060000000001</v>
      </c>
      <c r="H881" s="1">
        <v>2.412094E-6</v>
      </c>
      <c r="I881">
        <v>285.4248</v>
      </c>
      <c r="J881">
        <v>-195.4281</v>
      </c>
      <c r="K881">
        <v>1.092487</v>
      </c>
      <c r="L881">
        <v>290.84410000000003</v>
      </c>
      <c r="M881">
        <v>-0.65195380000000003</v>
      </c>
      <c r="N881">
        <v>0</v>
      </c>
      <c r="O881">
        <v>-0.75807049999999998</v>
      </c>
      <c r="P881">
        <v>-0.73371969999999997</v>
      </c>
      <c r="Q881">
        <v>0.16550409999999999</v>
      </c>
      <c r="R881">
        <v>-0.65898690000000004</v>
      </c>
      <c r="S881">
        <v>-3.3864589999999901</v>
      </c>
      <c r="T881">
        <v>-0.16641489999999901</v>
      </c>
      <c r="U881">
        <v>-0.86685179999999995</v>
      </c>
      <c r="V881">
        <v>0.13424639999999999</v>
      </c>
      <c r="W881">
        <v>0.17644279999999901</v>
      </c>
      <c r="X881">
        <v>0.97511329999999996</v>
      </c>
      <c r="Y881">
        <v>0.57153949999999998</v>
      </c>
      <c r="Z881">
        <v>4.580741E-2</v>
      </c>
      <c r="AA881">
        <v>0.819295</v>
      </c>
      <c r="AB881">
        <v>36</v>
      </c>
      <c r="AC881">
        <v>-21.9925</v>
      </c>
      <c r="AD881">
        <v>-1.0924845879059999</v>
      </c>
      <c r="AE881">
        <v>-5.4193000000000202</v>
      </c>
      <c r="AF881">
        <v>13.1101082031598</v>
      </c>
      <c r="AG881">
        <v>-1.0924845879059999</v>
      </c>
      <c r="AH881">
        <v>18.406118289439199</v>
      </c>
      <c r="AI881">
        <v>92.767795330343205</v>
      </c>
      <c r="AJ881">
        <v>54.538906014449701</v>
      </c>
      <c r="AK881">
        <v>22.624182861668199</v>
      </c>
      <c r="AL881">
        <v>79.837369449879205</v>
      </c>
      <c r="AM881">
        <v>82.161217001243102</v>
      </c>
      <c r="AN881">
        <v>1.0000000527108399</v>
      </c>
    </row>
    <row r="882" spans="1:40" x14ac:dyDescent="0.3">
      <c r="A882" t="str">
        <f>"20200111150739516"</f>
        <v>20200111150739516</v>
      </c>
      <c r="B882" t="str">
        <f>"1578726459512209"</f>
        <v>1578726459512209</v>
      </c>
      <c r="C882" t="s">
        <v>40</v>
      </c>
      <c r="D882">
        <v>5.2784709999999997</v>
      </c>
      <c r="E882">
        <v>0.70130150000000002</v>
      </c>
      <c r="F882" t="s">
        <v>55</v>
      </c>
      <c r="G882">
        <v>-217.4914</v>
      </c>
      <c r="H882" s="1">
        <v>2.449769E-6</v>
      </c>
      <c r="I882">
        <v>285.5625</v>
      </c>
      <c r="J882">
        <v>-195.6628</v>
      </c>
      <c r="K882">
        <v>1.092487</v>
      </c>
      <c r="L882">
        <v>290.58690000000001</v>
      </c>
      <c r="M882">
        <v>-0.66495219999999999</v>
      </c>
      <c r="N882">
        <v>0</v>
      </c>
      <c r="O882">
        <v>-0.74669490000000005</v>
      </c>
      <c r="P882">
        <v>-0.74479589999999996</v>
      </c>
      <c r="Q882">
        <v>0.16520479999999901</v>
      </c>
      <c r="R882">
        <v>-0.64651859999999906</v>
      </c>
      <c r="S882">
        <v>-3.3964539999999999</v>
      </c>
      <c r="T882">
        <v>-0.1681783</v>
      </c>
      <c r="U882">
        <v>-0.81304929999999997</v>
      </c>
      <c r="V882">
        <v>0.1338828</v>
      </c>
      <c r="W882">
        <v>0.1761635</v>
      </c>
      <c r="X882">
        <v>0.97521369999999996</v>
      </c>
      <c r="Y882">
        <v>0.57016319999999998</v>
      </c>
      <c r="Z882">
        <v>4.5954950000000001E-2</v>
      </c>
      <c r="AA882">
        <v>0.82024509999999995</v>
      </c>
      <c r="AB882">
        <v>36</v>
      </c>
      <c r="AC882">
        <v>-21.828599999999899</v>
      </c>
      <c r="AD882">
        <v>-1.0924845502310001</v>
      </c>
      <c r="AE882">
        <v>-5.0244000000000097</v>
      </c>
      <c r="AF882">
        <v>12.929410825726</v>
      </c>
      <c r="AG882">
        <v>-1.0924845502310001</v>
      </c>
      <c r="AH882">
        <v>18.225919855094599</v>
      </c>
      <c r="AI882">
        <v>92.798904620745503</v>
      </c>
      <c r="AJ882">
        <v>54.6482290831093</v>
      </c>
      <c r="AK882">
        <v>22.372915352211599</v>
      </c>
      <c r="AL882">
        <v>79.853625987047195</v>
      </c>
      <c r="AM882">
        <v>82.182979995542993</v>
      </c>
      <c r="AN882">
        <v>0.99999997176788902</v>
      </c>
    </row>
    <row r="883" spans="1:40" x14ac:dyDescent="0.3">
      <c r="A883" t="str">
        <f>"20200111150739537"</f>
        <v>20200111150739537</v>
      </c>
      <c r="B883" t="str">
        <f>"1578726459531730"</f>
        <v>1578726459531730</v>
      </c>
      <c r="C883" t="s">
        <v>40</v>
      </c>
      <c r="D883">
        <v>5.466869</v>
      </c>
      <c r="E883">
        <v>0.74099890000000002</v>
      </c>
      <c r="F883" t="s">
        <v>55</v>
      </c>
      <c r="G883">
        <v>-218.55359999999999</v>
      </c>
      <c r="H883" s="1">
        <v>3.0150100000000002E-6</v>
      </c>
      <c r="I883">
        <v>285.45929999999998</v>
      </c>
      <c r="J883">
        <v>-195.9049</v>
      </c>
      <c r="K883">
        <v>1.0924860000000001</v>
      </c>
      <c r="L883">
        <v>290.33069999999998</v>
      </c>
      <c r="M883">
        <v>-0.67792859999999999</v>
      </c>
      <c r="N883">
        <v>0</v>
      </c>
      <c r="O883">
        <v>-0.73493339999999996</v>
      </c>
      <c r="P883">
        <v>-0.75565179999999998</v>
      </c>
      <c r="Q883">
        <v>0.16517109999999999</v>
      </c>
      <c r="R883">
        <v>-0.63380499999999995</v>
      </c>
      <c r="S883">
        <v>-3.40239</v>
      </c>
      <c r="T883">
        <v>-0.162382</v>
      </c>
      <c r="U883">
        <v>-0.76214599999999999</v>
      </c>
      <c r="V883">
        <v>0.133327799999999</v>
      </c>
      <c r="W883">
        <v>0.17615929999999999</v>
      </c>
      <c r="X883">
        <v>0.97529049999999995</v>
      </c>
      <c r="Y883">
        <v>0.56784820000000003</v>
      </c>
      <c r="Z883">
        <v>4.4039059999999998E-2</v>
      </c>
      <c r="AA883">
        <v>0.82195439999999997</v>
      </c>
      <c r="AB883">
        <v>36</v>
      </c>
      <c r="AC883">
        <v>-22.648699999999899</v>
      </c>
      <c r="AD883">
        <v>-1.09248298499</v>
      </c>
      <c r="AE883">
        <v>-4.8713999999999897</v>
      </c>
      <c r="AF883">
        <v>13.3151205909013</v>
      </c>
      <c r="AG883">
        <v>-1.09248298499</v>
      </c>
      <c r="AH883">
        <v>18.895042052816201</v>
      </c>
      <c r="AI883">
        <v>92.705923762299093</v>
      </c>
      <c r="AJ883">
        <v>54.8280836524535</v>
      </c>
      <c r="AK883">
        <v>23.141058091635099</v>
      </c>
      <c r="AL883">
        <v>79.853870540034904</v>
      </c>
      <c r="AM883">
        <v>82.215592147238496</v>
      </c>
      <c r="AN883">
        <v>0.99999998030978898</v>
      </c>
    </row>
    <row r="884" spans="1:40" x14ac:dyDescent="0.3">
      <c r="A884" t="str">
        <f>"20200111150739561"</f>
        <v>20200111150739561</v>
      </c>
      <c r="B884" t="str">
        <f>"1578726459552225"</f>
        <v>1578726459552225</v>
      </c>
      <c r="C884" t="s">
        <v>40</v>
      </c>
      <c r="D884">
        <v>5.4303119999999998</v>
      </c>
      <c r="E884">
        <v>0.7405233</v>
      </c>
      <c r="F884" t="s">
        <v>55</v>
      </c>
      <c r="G884">
        <v>-222.1815</v>
      </c>
      <c r="H884" s="1">
        <v>-3.758909E-7</v>
      </c>
      <c r="I884">
        <v>286.98790000000002</v>
      </c>
      <c r="J884">
        <v>-196.15960000000001</v>
      </c>
      <c r="K884">
        <v>1.0924910000000001</v>
      </c>
      <c r="L884">
        <v>290.07080000000002</v>
      </c>
      <c r="M884">
        <v>-0.69113069999999999</v>
      </c>
      <c r="N884">
        <v>0</v>
      </c>
      <c r="O884">
        <v>-0.7225319</v>
      </c>
      <c r="P884">
        <v>-0.76705610000000002</v>
      </c>
      <c r="Q884">
        <v>0.1646541</v>
      </c>
      <c r="R884">
        <v>-0.62009179999999997</v>
      </c>
      <c r="S884">
        <v>-3.6170200000000001</v>
      </c>
      <c r="T884">
        <v>-0.150382399999999</v>
      </c>
      <c r="U884">
        <v>-0.460144</v>
      </c>
      <c r="V884">
        <v>0.1332816</v>
      </c>
      <c r="W884">
        <v>0.175651799999999</v>
      </c>
      <c r="X884">
        <v>0.97538829999999999</v>
      </c>
      <c r="Y884">
        <v>0.62861269999999903</v>
      </c>
      <c r="Z884">
        <v>3.9867449999999999E-2</v>
      </c>
      <c r="AA884">
        <v>0.77669600000000005</v>
      </c>
      <c r="AB884">
        <v>36</v>
      </c>
      <c r="AC884">
        <v>-26.021899999999899</v>
      </c>
      <c r="AD884">
        <v>-1.0924913758908901</v>
      </c>
      <c r="AE884">
        <v>-3.0828999999999902</v>
      </c>
      <c r="AF884">
        <v>16.6444188900483</v>
      </c>
      <c r="AG884">
        <v>-1.0924913758908901</v>
      </c>
      <c r="AH884">
        <v>20.1798415880161</v>
      </c>
      <c r="AI884">
        <v>92.3915358893329</v>
      </c>
      <c r="AJ884">
        <v>50.484043233985503</v>
      </c>
      <c r="AK884">
        <v>26.1812189195083</v>
      </c>
      <c r="AL884">
        <v>79.883408301749597</v>
      </c>
      <c r="AM884">
        <v>82.2190272011334</v>
      </c>
      <c r="AN884">
        <v>0.99999993775934304</v>
      </c>
    </row>
    <row r="885" spans="1:40" x14ac:dyDescent="0.3">
      <c r="A885" t="str">
        <f>"20200111150739583"</f>
        <v>20200111150739583</v>
      </c>
      <c r="B885" t="str">
        <f>"1578726459571745"</f>
        <v>1578726459571745</v>
      </c>
      <c r="C885" t="s">
        <v>40</v>
      </c>
      <c r="D885">
        <v>5.5661339999999999</v>
      </c>
      <c r="E885">
        <v>0.7405233</v>
      </c>
      <c r="F885" t="s">
        <v>55</v>
      </c>
      <c r="G885">
        <v>-222.7852</v>
      </c>
      <c r="H885" s="1">
        <v>-5.4624280000000003E-8</v>
      </c>
      <c r="I885">
        <v>287.15170000000001</v>
      </c>
      <c r="J885">
        <v>-196.42230000000001</v>
      </c>
      <c r="K885">
        <v>1.092506</v>
      </c>
      <c r="L885">
        <v>289.81319999999999</v>
      </c>
      <c r="M885">
        <v>-0.70427410000000001</v>
      </c>
      <c r="N885">
        <v>0</v>
      </c>
      <c r="O885">
        <v>-0.70972679999999999</v>
      </c>
      <c r="P885">
        <v>-0.77832139999999905</v>
      </c>
      <c r="Q885">
        <v>0.1635086</v>
      </c>
      <c r="R885">
        <v>-0.60620180000000001</v>
      </c>
      <c r="S885">
        <v>-3.6219329999999998</v>
      </c>
      <c r="T885">
        <v>-0.14861359999999901</v>
      </c>
      <c r="U885">
        <v>-0.39709470000000002</v>
      </c>
      <c r="V885">
        <v>0.13303389999999901</v>
      </c>
      <c r="W885">
        <v>0.17452699999999999</v>
      </c>
      <c r="X885">
        <v>0.97562409999999999</v>
      </c>
      <c r="Y885">
        <v>0.62784569999999995</v>
      </c>
      <c r="Z885">
        <v>3.9078189999999999E-2</v>
      </c>
      <c r="AA885">
        <v>0.7773563</v>
      </c>
      <c r="AB885">
        <v>36</v>
      </c>
      <c r="AC885">
        <v>-26.3629</v>
      </c>
      <c r="AD885">
        <v>-1.09250605462428</v>
      </c>
      <c r="AE885">
        <v>-2.6614999999999802</v>
      </c>
      <c r="AF885">
        <v>16.809860723189001</v>
      </c>
      <c r="AG885">
        <v>-1.09250605462428</v>
      </c>
      <c r="AH885">
        <v>20.4238487000286</v>
      </c>
      <c r="AI885">
        <v>92.365060375904093</v>
      </c>
      <c r="AJ885">
        <v>50.543891540267197</v>
      </c>
      <c r="AK885">
        <v>26.474489281836199</v>
      </c>
      <c r="AL885">
        <v>79.948866775914993</v>
      </c>
      <c r="AM885">
        <v>82.235165499291199</v>
      </c>
      <c r="AN885">
        <v>1.0000000383895</v>
      </c>
    </row>
    <row r="886" spans="1:40" x14ac:dyDescent="0.3">
      <c r="A886" t="str">
        <f>"20200111150739606"</f>
        <v>20200111150739606</v>
      </c>
      <c r="B886" t="str">
        <f>"1578726459602002"</f>
        <v>1578726459602002</v>
      </c>
      <c r="C886" t="s">
        <v>40</v>
      </c>
      <c r="D886">
        <v>5.2949599999999997</v>
      </c>
      <c r="E886">
        <v>0.69236790000000004</v>
      </c>
      <c r="F886" t="s">
        <v>55</v>
      </c>
      <c r="G886">
        <v>-222.45760000000001</v>
      </c>
      <c r="H886" s="1">
        <v>-2.289621E-7</v>
      </c>
      <c r="I886">
        <v>287.435</v>
      </c>
      <c r="J886">
        <v>-196.69290000000001</v>
      </c>
      <c r="K886">
        <v>1.0925229999999999</v>
      </c>
      <c r="L886">
        <v>289.55739999999997</v>
      </c>
      <c r="M886">
        <v>-0.71736040000000001</v>
      </c>
      <c r="N886">
        <v>0</v>
      </c>
      <c r="O886">
        <v>-0.69649709999999998</v>
      </c>
      <c r="P886">
        <v>-0.78953980000000001</v>
      </c>
      <c r="Q886">
        <v>0.16352729999999999</v>
      </c>
      <c r="R886">
        <v>-0.59151160000000003</v>
      </c>
      <c r="S886">
        <v>-3.6282809999999999</v>
      </c>
      <c r="T886">
        <v>-0.15225129999999901</v>
      </c>
      <c r="U886">
        <v>-0.33142090000000002</v>
      </c>
      <c r="V886">
        <v>0.1331505</v>
      </c>
      <c r="W886">
        <v>0.1745476</v>
      </c>
      <c r="X886">
        <v>0.97560449999999999</v>
      </c>
      <c r="Y886">
        <v>0.62740629999999997</v>
      </c>
      <c r="Z886">
        <v>3.9667899999999999E-2</v>
      </c>
      <c r="AA886">
        <v>0.77768110000000001</v>
      </c>
      <c r="AB886">
        <v>35</v>
      </c>
      <c r="AC886">
        <v>-25.764700000000001</v>
      </c>
      <c r="AD886">
        <v>-1.0925232289621001</v>
      </c>
      <c r="AE886">
        <v>-2.1223999999999701</v>
      </c>
      <c r="AF886">
        <v>16.395578773051199</v>
      </c>
      <c r="AG886">
        <v>-1.0925232289621001</v>
      </c>
      <c r="AH886">
        <v>19.928083464741398</v>
      </c>
      <c r="AI886">
        <v>92.4242385146092</v>
      </c>
      <c r="AJ886">
        <v>50.554592270374997</v>
      </c>
      <c r="AK886">
        <v>25.828997674839201</v>
      </c>
      <c r="AL886">
        <v>79.947668002181004</v>
      </c>
      <c r="AM886">
        <v>82.228288775439097</v>
      </c>
      <c r="AN886">
        <v>1.00000003036812</v>
      </c>
    </row>
    <row r="887" spans="1:40" x14ac:dyDescent="0.3">
      <c r="A887" t="str">
        <f>"20200111150739630"</f>
        <v>20200111150739630</v>
      </c>
      <c r="B887" t="str">
        <f>"1578726459621522"</f>
        <v>1578726459621522</v>
      </c>
      <c r="C887" t="s">
        <v>40</v>
      </c>
      <c r="D887">
        <v>5.4659709999999997</v>
      </c>
      <c r="E887">
        <v>0.73188730000000002</v>
      </c>
      <c r="F887" t="s">
        <v>56</v>
      </c>
      <c r="G887">
        <v>-352.55</v>
      </c>
      <c r="H887">
        <v>49.605670000000003</v>
      </c>
      <c r="I887">
        <v>264.15350000000001</v>
      </c>
      <c r="J887">
        <v>-196.97710000000001</v>
      </c>
      <c r="K887">
        <v>1.092536</v>
      </c>
      <c r="L887">
        <v>289.2987</v>
      </c>
      <c r="M887">
        <v>-0.73062709999999997</v>
      </c>
      <c r="N887">
        <v>0</v>
      </c>
      <c r="O887">
        <v>-0.68256700000000003</v>
      </c>
      <c r="P887">
        <v>-0.80106630000000001</v>
      </c>
      <c r="Q887">
        <v>0.16342039999999999</v>
      </c>
      <c r="R887">
        <v>-0.5758354</v>
      </c>
      <c r="S887">
        <v>-3.2022089999999999</v>
      </c>
      <c r="T887">
        <v>0.99674339999999995</v>
      </c>
      <c r="U887">
        <v>-0.52194209999999996</v>
      </c>
      <c r="V887">
        <v>0.13361419999999999</v>
      </c>
      <c r="W887">
        <v>0.1744289</v>
      </c>
      <c r="X887">
        <v>0.97556229999999999</v>
      </c>
      <c r="Y887">
        <v>0.50771940000000004</v>
      </c>
      <c r="Z887">
        <v>-0.26406200000000002</v>
      </c>
      <c r="AA887">
        <v>0.82005629999999996</v>
      </c>
      <c r="AB887">
        <v>35</v>
      </c>
      <c r="AC887">
        <v>-155.5729</v>
      </c>
      <c r="AD887">
        <v>48.513134000000001</v>
      </c>
      <c r="AE887">
        <v>-25.1451999999999</v>
      </c>
      <c r="AF887">
        <v>80.226978030822494</v>
      </c>
      <c r="AG887">
        <v>48.513134000000001</v>
      </c>
      <c r="AH887">
        <v>119.521284837644</v>
      </c>
      <c r="AI887">
        <v>71.375517510523295</v>
      </c>
      <c r="AJ887">
        <v>56.129069596670703</v>
      </c>
      <c r="AK887">
        <v>151.905331386694</v>
      </c>
      <c r="AL887">
        <v>79.954574644434103</v>
      </c>
      <c r="AM887">
        <v>82.201222868279899</v>
      </c>
      <c r="AN887">
        <v>0.99999999838906894</v>
      </c>
    </row>
    <row r="888" spans="1:40" x14ac:dyDescent="0.3">
      <c r="A888" t="str">
        <f>"20200111150739650"</f>
        <v>20200111150739650</v>
      </c>
      <c r="B888" t="str">
        <f>"1578726459642017"</f>
        <v>1578726459642017</v>
      </c>
      <c r="C888" t="s">
        <v>40</v>
      </c>
      <c r="D888">
        <v>5.4230269999999896</v>
      </c>
      <c r="E888">
        <v>0.72966589999999998</v>
      </c>
      <c r="F888" t="s">
        <v>55</v>
      </c>
      <c r="G888">
        <v>-226.29220000000001</v>
      </c>
      <c r="H888" s="1">
        <v>1.8116130000000001E-6</v>
      </c>
      <c r="I888">
        <v>287.28930000000003</v>
      </c>
      <c r="J888">
        <v>-197.2268</v>
      </c>
      <c r="K888">
        <v>1.0925530000000001</v>
      </c>
      <c r="L888">
        <v>289.07960000000003</v>
      </c>
      <c r="M888">
        <v>-0.74189930000000004</v>
      </c>
      <c r="N888">
        <v>0</v>
      </c>
      <c r="O888">
        <v>-0.67029799999999995</v>
      </c>
      <c r="P888">
        <v>-0.81059209999999904</v>
      </c>
      <c r="Q888">
        <v>0.16425979999999901</v>
      </c>
      <c r="R888">
        <v>-0.56210260000000001</v>
      </c>
      <c r="S888">
        <v>-3.5952000000000002</v>
      </c>
      <c r="T888">
        <v>-0.1339881</v>
      </c>
      <c r="U888">
        <v>-0.24642939999999999</v>
      </c>
      <c r="V888">
        <v>0.13389690000000001</v>
      </c>
      <c r="W888">
        <v>0.17526029999999901</v>
      </c>
      <c r="X888">
        <v>0.97537450000000003</v>
      </c>
      <c r="Y888">
        <v>0.61727209999999999</v>
      </c>
      <c r="Z888">
        <v>3.4445770000000001E-2</v>
      </c>
      <c r="AA888">
        <v>0.78599519999999901</v>
      </c>
      <c r="AB888">
        <v>35</v>
      </c>
      <c r="AC888">
        <v>-29.0654</v>
      </c>
      <c r="AD888">
        <v>-1.092551188387</v>
      </c>
      <c r="AE888">
        <v>-1.7903</v>
      </c>
      <c r="AF888">
        <v>18.131331887342998</v>
      </c>
      <c r="AG888">
        <v>-1.092551188387</v>
      </c>
      <c r="AH888">
        <v>22.734888394335101</v>
      </c>
      <c r="AI888">
        <v>92.151654274915899</v>
      </c>
      <c r="AJ888">
        <v>51.427241412389797</v>
      </c>
      <c r="AK888">
        <v>29.100068976054001</v>
      </c>
      <c r="AL888">
        <v>79.906193525670602</v>
      </c>
      <c r="AM888">
        <v>82.183439830379797</v>
      </c>
      <c r="AN888">
        <v>0.99999998391797396</v>
      </c>
    </row>
    <row r="889" spans="1:40" x14ac:dyDescent="0.3">
      <c r="A889" t="str">
        <f>"20200111150739672"</f>
        <v>20200111150739672</v>
      </c>
      <c r="B889" t="str">
        <f>"1578726459661538"</f>
        <v>1578726459661538</v>
      </c>
      <c r="C889" t="s">
        <v>40</v>
      </c>
      <c r="D889">
        <v>5.4509019999999904</v>
      </c>
      <c r="E889">
        <v>0.72614319999999999</v>
      </c>
      <c r="F889" t="s">
        <v>55</v>
      </c>
      <c r="G889">
        <v>-227.27430000000001</v>
      </c>
      <c r="H889" s="1">
        <v>2.3342469999999998E-6</v>
      </c>
      <c r="I889">
        <v>287.40469999999999</v>
      </c>
      <c r="J889">
        <v>-197.49019999999999</v>
      </c>
      <c r="K889">
        <v>1.092573</v>
      </c>
      <c r="L889">
        <v>288.85629999999998</v>
      </c>
      <c r="M889">
        <v>-0.75341709999999995</v>
      </c>
      <c r="N889">
        <v>0</v>
      </c>
      <c r="O889">
        <v>-0.6573253</v>
      </c>
      <c r="P889">
        <v>-0.82024349999999902</v>
      </c>
      <c r="Q889">
        <v>0.16474269999999999</v>
      </c>
      <c r="R889">
        <v>-0.54777749999999903</v>
      </c>
      <c r="S889">
        <v>-3.5887150000000001</v>
      </c>
      <c r="T889">
        <v>-0.1304883</v>
      </c>
      <c r="U889">
        <v>-0.20004269999999999</v>
      </c>
      <c r="V889">
        <v>0.1340567</v>
      </c>
      <c r="W889">
        <v>0.17574289999999901</v>
      </c>
      <c r="X889">
        <v>0.97526570000000001</v>
      </c>
      <c r="Y889">
        <v>0.61369340000000006</v>
      </c>
      <c r="Z889">
        <v>3.3238089999999998E-2</v>
      </c>
      <c r="AA889">
        <v>0.78884460000000001</v>
      </c>
      <c r="AB889">
        <v>35</v>
      </c>
      <c r="AC889">
        <v>-29.784099999999999</v>
      </c>
      <c r="AD889">
        <v>-1.0925706657529899</v>
      </c>
      <c r="AE889">
        <v>-1.45159999999998</v>
      </c>
      <c r="AF889">
        <v>18.4620426900056</v>
      </c>
      <c r="AG889">
        <v>-1.0925706657529899</v>
      </c>
      <c r="AH889">
        <v>23.366003352753399</v>
      </c>
      <c r="AI889">
        <v>92.101166084622193</v>
      </c>
      <c r="AJ889">
        <v>51.686886153888899</v>
      </c>
      <c r="AK889">
        <v>29.799510795114401</v>
      </c>
      <c r="AL889">
        <v>79.8781065648934</v>
      </c>
      <c r="AM889">
        <v>82.173364416653698</v>
      </c>
      <c r="AN889">
        <v>0.99999997565589405</v>
      </c>
    </row>
    <row r="890" spans="1:40" x14ac:dyDescent="0.3">
      <c r="A890" t="str">
        <f>"20200111150739693"</f>
        <v>20200111150739693</v>
      </c>
      <c r="B890" t="str">
        <f>"1578726459682033"</f>
        <v>1578726459682033</v>
      </c>
      <c r="C890" t="s">
        <v>40</v>
      </c>
      <c r="D890">
        <v>5.2493339999999904</v>
      </c>
      <c r="E890">
        <v>0.72279479999999996</v>
      </c>
      <c r="F890" t="s">
        <v>55</v>
      </c>
      <c r="G890">
        <v>-226.5145</v>
      </c>
      <c r="H890" s="1">
        <v>1.929886E-6</v>
      </c>
      <c r="I890">
        <v>287.55419999999998</v>
      </c>
      <c r="J890">
        <v>-197.76320000000001</v>
      </c>
      <c r="K890">
        <v>1.0926</v>
      </c>
      <c r="L890">
        <v>288.63310000000001</v>
      </c>
      <c r="M890">
        <v>-0.76496790000000003</v>
      </c>
      <c r="N890">
        <v>0</v>
      </c>
      <c r="O890">
        <v>-0.64384619999999904</v>
      </c>
      <c r="P890">
        <v>-0.82927530000000005</v>
      </c>
      <c r="Q890">
        <v>0.16627919999999999</v>
      </c>
      <c r="R890">
        <v>-0.5335297</v>
      </c>
      <c r="S890">
        <v>-3.577286</v>
      </c>
      <c r="T890">
        <v>-0.1346608</v>
      </c>
      <c r="U890">
        <v>-0.16049189999999999</v>
      </c>
      <c r="V890">
        <v>0.13344449999999999</v>
      </c>
      <c r="W890">
        <v>0.17731050000000001</v>
      </c>
      <c r="X890">
        <v>0.97506590000000004</v>
      </c>
      <c r="Y890">
        <v>0.60818300000000003</v>
      </c>
      <c r="Z890">
        <v>3.3959080000000003E-2</v>
      </c>
      <c r="AA890">
        <v>0.79307019999999995</v>
      </c>
      <c r="AB890">
        <v>35</v>
      </c>
      <c r="AC890">
        <v>-28.751299999999901</v>
      </c>
      <c r="AD890">
        <v>-1.0925980701139999</v>
      </c>
      <c r="AE890">
        <v>-1.0789000000000299</v>
      </c>
      <c r="AF890">
        <v>17.663150659144801</v>
      </c>
      <c r="AG890">
        <v>-1.0925980701139999</v>
      </c>
      <c r="AH890">
        <v>22.659037916388598</v>
      </c>
      <c r="AI890">
        <v>92.177893421134101</v>
      </c>
      <c r="AJ890">
        <v>52.062907580941001</v>
      </c>
      <c r="AK890">
        <v>28.750872352796598</v>
      </c>
      <c r="AL890">
        <v>79.786856717746801</v>
      </c>
      <c r="AM890">
        <v>82.207089619659001</v>
      </c>
      <c r="AN890">
        <v>0.99999997866665402</v>
      </c>
    </row>
    <row r="891" spans="1:40" x14ac:dyDescent="0.3">
      <c r="A891" t="str">
        <f>"20200111150739728"</f>
        <v>20200111150739728</v>
      </c>
      <c r="B891" t="str">
        <f>"1578726459722050"</f>
        <v>1578726459722050</v>
      </c>
      <c r="C891" t="s">
        <v>40</v>
      </c>
      <c r="D891">
        <v>5.3922230000000004</v>
      </c>
      <c r="E891">
        <v>0.71648979999999995</v>
      </c>
      <c r="F891" t="s">
        <v>55</v>
      </c>
      <c r="G891">
        <v>-230.55350000000001</v>
      </c>
      <c r="H891" s="1">
        <v>-1.3691050000000001E-6</v>
      </c>
      <c r="I891">
        <v>287.5179</v>
      </c>
      <c r="J891">
        <v>-198.19210000000001</v>
      </c>
      <c r="K891">
        <v>1.0926480000000001</v>
      </c>
      <c r="L891">
        <v>288.29860000000002</v>
      </c>
      <c r="M891">
        <v>-0.7823485</v>
      </c>
      <c r="N891">
        <v>0</v>
      </c>
      <c r="O891">
        <v>-0.62261099999999903</v>
      </c>
      <c r="P891">
        <v>-0.84240159999999997</v>
      </c>
      <c r="Q891">
        <v>0.16774</v>
      </c>
      <c r="R891">
        <v>-0.512077</v>
      </c>
      <c r="S891">
        <v>-3.5634610000000002</v>
      </c>
      <c r="T891">
        <v>-0.1187376</v>
      </c>
      <c r="U891">
        <v>-0.1211853</v>
      </c>
      <c r="V891">
        <v>0.13156679999999901</v>
      </c>
      <c r="W891">
        <v>0.17886270000000001</v>
      </c>
      <c r="X891">
        <v>0.97503759999999995</v>
      </c>
      <c r="Y891">
        <v>0.59511669999999905</v>
      </c>
      <c r="Z891">
        <v>2.9326999999999999E-2</v>
      </c>
      <c r="AA891">
        <v>0.80310400000000004</v>
      </c>
      <c r="AB891">
        <v>35</v>
      </c>
      <c r="AC891">
        <v>-32.361400000000003</v>
      </c>
      <c r="AD891">
        <v>-1.0926493691050001</v>
      </c>
      <c r="AE891">
        <v>-0.78070000000002404</v>
      </c>
      <c r="AF891">
        <v>19.518344151004602</v>
      </c>
      <c r="AG891">
        <v>-1.0926493691050001</v>
      </c>
      <c r="AH891">
        <v>25.7782903486493</v>
      </c>
      <c r="AI891">
        <v>91.935437303915407</v>
      </c>
      <c r="AJ891">
        <v>52.868375193696501</v>
      </c>
      <c r="AK891">
        <v>32.352432587676198</v>
      </c>
      <c r="AL891">
        <v>79.6964777408526</v>
      </c>
      <c r="AM891">
        <v>82.315203973610807</v>
      </c>
      <c r="AN891">
        <v>1.0000000048636399</v>
      </c>
    </row>
    <row r="892" spans="1:40" x14ac:dyDescent="0.3">
      <c r="A892" t="str">
        <f>"20200111150739749"</f>
        <v>20200111150739749</v>
      </c>
      <c r="B892" t="str">
        <f>"1578726459741571"</f>
        <v>1578726459741571</v>
      </c>
      <c r="C892" t="s">
        <v>40</v>
      </c>
      <c r="D892">
        <v>5.3903689999999997</v>
      </c>
      <c r="E892">
        <v>0.71537769999999901</v>
      </c>
      <c r="F892" t="s">
        <v>55</v>
      </c>
      <c r="G892">
        <v>-229.245</v>
      </c>
      <c r="H892" s="1">
        <v>3.382961E-6</v>
      </c>
      <c r="I892">
        <v>287.65260000000001</v>
      </c>
      <c r="J892">
        <v>-198.4743</v>
      </c>
      <c r="K892">
        <v>1.0926659999999999</v>
      </c>
      <c r="L892">
        <v>288.08879999999999</v>
      </c>
      <c r="M892">
        <v>-0.79329749999999999</v>
      </c>
      <c r="N892">
        <v>0</v>
      </c>
      <c r="O892">
        <v>-0.60859909999999995</v>
      </c>
      <c r="P892">
        <v>-0.85065199999999996</v>
      </c>
      <c r="Q892">
        <v>0.16716629999999999</v>
      </c>
      <c r="R892">
        <v>-0.49844440000000001</v>
      </c>
      <c r="S892">
        <v>-3.54129</v>
      </c>
      <c r="T892">
        <v>-0.1246057</v>
      </c>
      <c r="U892">
        <v>-7.3669429999999994E-2</v>
      </c>
      <c r="V892">
        <v>0.12995950000000001</v>
      </c>
      <c r="W892">
        <v>0.17836859999999999</v>
      </c>
      <c r="X892">
        <v>0.97534359999999998</v>
      </c>
      <c r="Y892">
        <v>0.5913562</v>
      </c>
      <c r="Z892">
        <v>3.0541459999999999E-2</v>
      </c>
      <c r="AA892">
        <v>0.80583190000000005</v>
      </c>
      <c r="AB892">
        <v>35</v>
      </c>
      <c r="AC892">
        <v>-30.770700000000001</v>
      </c>
      <c r="AD892">
        <v>-1.0926626170389999</v>
      </c>
      <c r="AE892">
        <v>-0.43619999999998499</v>
      </c>
      <c r="AF892">
        <v>18.3604679937452</v>
      </c>
      <c r="AG892">
        <v>-1.0926626170389999</v>
      </c>
      <c r="AH892">
        <v>24.648248389885101</v>
      </c>
      <c r="AI892">
        <v>92.036066753999293</v>
      </c>
      <c r="AJ892">
        <v>53.317592328439702</v>
      </c>
      <c r="AK892">
        <v>30.754460574581501</v>
      </c>
      <c r="AL892">
        <v>79.725250058038299</v>
      </c>
      <c r="AM892">
        <v>82.4103385307954</v>
      </c>
      <c r="AN892">
        <v>0.999999983583584</v>
      </c>
    </row>
    <row r="893" spans="1:40" x14ac:dyDescent="0.3">
      <c r="A893" t="str">
        <f>"20200111150739772"</f>
        <v>20200111150739772</v>
      </c>
      <c r="B893" t="str">
        <f>"1578726459762065"</f>
        <v>1578726459762065</v>
      </c>
      <c r="C893" t="s">
        <v>40</v>
      </c>
      <c r="D893">
        <v>5.3820969999999999</v>
      </c>
      <c r="E893">
        <v>0.7134916</v>
      </c>
      <c r="F893" t="s">
        <v>55</v>
      </c>
      <c r="G893">
        <v>-228.26759999999999</v>
      </c>
      <c r="H893" s="1">
        <v>2.8627940000000002E-6</v>
      </c>
      <c r="I893">
        <v>287.88119999999998</v>
      </c>
      <c r="J893">
        <v>-198.767</v>
      </c>
      <c r="K893">
        <v>1.0926880000000001</v>
      </c>
      <c r="L893">
        <v>287.87939999999998</v>
      </c>
      <c r="M893">
        <v>-0.80426309999999901</v>
      </c>
      <c r="N893">
        <v>0</v>
      </c>
      <c r="O893">
        <v>-0.59403249999999996</v>
      </c>
      <c r="P893">
        <v>-0.85891779999999995</v>
      </c>
      <c r="Q893">
        <v>0.1648975</v>
      </c>
      <c r="R893">
        <v>-0.48483910000000002</v>
      </c>
      <c r="S893">
        <v>-3.537766</v>
      </c>
      <c r="T893">
        <v>-0.12974720000000001</v>
      </c>
      <c r="U893">
        <v>-2.4658200000000002E-2</v>
      </c>
      <c r="V893">
        <v>0.12785070000000001</v>
      </c>
      <c r="W893">
        <v>0.176204799999999</v>
      </c>
      <c r="X893">
        <v>0.97601539999999998</v>
      </c>
      <c r="Y893">
        <v>0.58774630000000005</v>
      </c>
      <c r="Z893">
        <v>3.1363429999999998E-2</v>
      </c>
      <c r="AA893">
        <v>0.80843719999999997</v>
      </c>
      <c r="AB893">
        <v>35</v>
      </c>
      <c r="AC893">
        <v>-29.500599999999899</v>
      </c>
      <c r="AD893">
        <v>-1.09268513720599</v>
      </c>
      <c r="AE893">
        <v>1.8000000000029099E-3</v>
      </c>
      <c r="AF893">
        <v>17.5042573818614</v>
      </c>
      <c r="AG893">
        <v>-1.09268513720599</v>
      </c>
      <c r="AH893">
        <v>23.696062132120801</v>
      </c>
      <c r="AI893">
        <v>92.124140280001299</v>
      </c>
      <c r="AJ893">
        <v>53.5467549495364</v>
      </c>
      <c r="AK893">
        <v>29.480440089470299</v>
      </c>
      <c r="AL893">
        <v>79.851222326457005</v>
      </c>
      <c r="AM893">
        <v>82.537173830600693</v>
      </c>
      <c r="AN893">
        <v>0.99999999703534503</v>
      </c>
    </row>
    <row r="894" spans="1:40" x14ac:dyDescent="0.3">
      <c r="A894" t="str">
        <f>"20200111150739795"</f>
        <v>20200111150739795</v>
      </c>
      <c r="B894" t="str">
        <f>"1578726459792321"</f>
        <v>1578726459792321</v>
      </c>
      <c r="C894" t="s">
        <v>40</v>
      </c>
      <c r="D894">
        <v>5.4053659999999999</v>
      </c>
      <c r="E894">
        <v>0.71028719999999901</v>
      </c>
      <c r="F894" t="s">
        <v>55</v>
      </c>
      <c r="G894">
        <v>-226.29130000000001</v>
      </c>
      <c r="H894" s="1">
        <v>1.8111220000000001E-6</v>
      </c>
      <c r="I894">
        <v>288.03449999999998</v>
      </c>
      <c r="J894">
        <v>-199.06200000000001</v>
      </c>
      <c r="K894">
        <v>1.0927119999999999</v>
      </c>
      <c r="L894">
        <v>287.67630000000003</v>
      </c>
      <c r="M894">
        <v>-0.81493070000000001</v>
      </c>
      <c r="N894">
        <v>0</v>
      </c>
      <c r="O894">
        <v>-0.57931129999999997</v>
      </c>
      <c r="P894">
        <v>-0.86746979999999996</v>
      </c>
      <c r="Q894">
        <v>0.16269839999999999</v>
      </c>
      <c r="R894">
        <v>-0.47013310000000003</v>
      </c>
      <c r="S894">
        <v>-3.5309300000000001</v>
      </c>
      <c r="T894">
        <v>-0.1401741</v>
      </c>
      <c r="U894">
        <v>1.9897459999999999E-2</v>
      </c>
      <c r="V894">
        <v>0.12687089999999901</v>
      </c>
      <c r="W894">
        <v>0.174059299999999</v>
      </c>
      <c r="X894">
        <v>0.97652810000000001</v>
      </c>
      <c r="Y894">
        <v>0.58310810000000002</v>
      </c>
      <c r="Z894">
        <v>3.339926E-2</v>
      </c>
      <c r="AA894">
        <v>0.81170769999999903</v>
      </c>
      <c r="AB894">
        <v>35</v>
      </c>
      <c r="AC894">
        <v>-27.229299999999899</v>
      </c>
      <c r="AD894">
        <v>-1.092710188878</v>
      </c>
      <c r="AE894">
        <v>0.358199999999953</v>
      </c>
      <c r="AF894">
        <v>16.042619539875702</v>
      </c>
      <c r="AG894">
        <v>-1.092710188878</v>
      </c>
      <c r="AH894">
        <v>21.9502885660103</v>
      </c>
      <c r="AI894">
        <v>92.301540411922502</v>
      </c>
      <c r="AJ894">
        <v>53.838370645750302</v>
      </c>
      <c r="AK894">
        <v>27.209829572954</v>
      </c>
      <c r="AL894">
        <v>79.976080137708394</v>
      </c>
      <c r="AM894">
        <v>82.597574098194002</v>
      </c>
      <c r="AN894">
        <v>0.99999999763645497</v>
      </c>
    </row>
    <row r="895" spans="1:40" x14ac:dyDescent="0.3">
      <c r="A895" t="str">
        <f>"20200111150739816"</f>
        <v>20200111150739816</v>
      </c>
      <c r="B895" t="str">
        <f>"1578726459811841"</f>
        <v>1578726459811841</v>
      </c>
      <c r="C895" t="s">
        <v>40</v>
      </c>
      <c r="D895">
        <v>5.3632220000000004</v>
      </c>
      <c r="E895">
        <v>0.70868089999999995</v>
      </c>
      <c r="F895" t="s">
        <v>55</v>
      </c>
      <c r="G895">
        <v>-224.2585</v>
      </c>
      <c r="H895" s="1">
        <v>7.2937839999999995E-7</v>
      </c>
      <c r="I895">
        <v>288.08440000000002</v>
      </c>
      <c r="J895">
        <v>-199.3546</v>
      </c>
      <c r="K895">
        <v>1.0927359999999999</v>
      </c>
      <c r="L895">
        <v>287.48250000000002</v>
      </c>
      <c r="M895">
        <v>-0.82514149999999997</v>
      </c>
      <c r="N895">
        <v>0</v>
      </c>
      <c r="O895">
        <v>-0.56467250000000002</v>
      </c>
      <c r="P895">
        <v>-0.87592819999999905</v>
      </c>
      <c r="Q895">
        <v>0.1612944</v>
      </c>
      <c r="R895">
        <v>-0.45467980000000002</v>
      </c>
      <c r="S895">
        <v>-3.5178219999999998</v>
      </c>
      <c r="T895">
        <v>-0.15255920000000001</v>
      </c>
      <c r="U895">
        <v>5.6976319999999997E-2</v>
      </c>
      <c r="V895">
        <v>0.12682979999999999</v>
      </c>
      <c r="W895">
        <v>0.17266599999999999</v>
      </c>
      <c r="X895">
        <v>0.9767808</v>
      </c>
      <c r="Y895">
        <v>0.57701930000000001</v>
      </c>
      <c r="Z895">
        <v>3.5839639999999999E-2</v>
      </c>
      <c r="AA895">
        <v>0.8159438</v>
      </c>
      <c r="AB895">
        <v>35</v>
      </c>
      <c r="AC895">
        <v>-24.9039</v>
      </c>
      <c r="AD895">
        <v>-1.0927352706216</v>
      </c>
      <c r="AE895">
        <v>0.60189999999999999</v>
      </c>
      <c r="AF895">
        <v>14.5333215349117</v>
      </c>
      <c r="AG895">
        <v>-1.0927352706216</v>
      </c>
      <c r="AH895">
        <v>20.173443393530199</v>
      </c>
      <c r="AI895">
        <v>92.516511289516004</v>
      </c>
      <c r="AJ895">
        <v>54.230324620162499</v>
      </c>
      <c r="AK895">
        <v>24.887332592320099</v>
      </c>
      <c r="AL895">
        <v>80.057138134455201</v>
      </c>
      <c r="AM895">
        <v>82.601838775560395</v>
      </c>
      <c r="AN895">
        <v>1.0000000384863299</v>
      </c>
    </row>
    <row r="896" spans="1:40" x14ac:dyDescent="0.3">
      <c r="A896" t="str">
        <f>"20200111150739840"</f>
        <v>20200111150739840</v>
      </c>
      <c r="B896" t="str">
        <f>"1578726459832337"</f>
        <v>1578726459832337</v>
      </c>
      <c r="C896" t="s">
        <v>40</v>
      </c>
      <c r="D896">
        <v>5.393497</v>
      </c>
      <c r="E896">
        <v>0.706453</v>
      </c>
      <c r="F896" t="s">
        <v>55</v>
      </c>
      <c r="G896">
        <v>-223.96289999999999</v>
      </c>
      <c r="H896" s="1">
        <v>5.7208889999999996E-7</v>
      </c>
      <c r="I896">
        <v>288.23809999999997</v>
      </c>
      <c r="J896">
        <v>-199.66239999999999</v>
      </c>
      <c r="K896">
        <v>1.0927530000000001</v>
      </c>
      <c r="L896">
        <v>287.28680000000003</v>
      </c>
      <c r="M896">
        <v>-0.83549300000000004</v>
      </c>
      <c r="N896">
        <v>0</v>
      </c>
      <c r="O896">
        <v>-0.54924050000000002</v>
      </c>
      <c r="P896">
        <v>-0.88431530000000003</v>
      </c>
      <c r="Q896">
        <v>0.1605366</v>
      </c>
      <c r="R896">
        <v>-0.4384227</v>
      </c>
      <c r="S896">
        <v>-3.5095670000000001</v>
      </c>
      <c r="T896">
        <v>-0.155842799999999</v>
      </c>
      <c r="U896">
        <v>0.1077576</v>
      </c>
      <c r="V896">
        <v>0.12675249999999999</v>
      </c>
      <c r="W896">
        <v>0.17191909999999999</v>
      </c>
      <c r="X896">
        <v>0.97692250000000003</v>
      </c>
      <c r="Y896">
        <v>0.57364309999999996</v>
      </c>
      <c r="Z896">
        <v>3.6061160000000002E-2</v>
      </c>
      <c r="AA896">
        <v>0.81831119999999902</v>
      </c>
      <c r="AB896">
        <v>35</v>
      </c>
      <c r="AC896">
        <v>-24.3005</v>
      </c>
      <c r="AD896">
        <v>-1.0927524279110901</v>
      </c>
      <c r="AE896">
        <v>0.95129999999994597</v>
      </c>
      <c r="AF896">
        <v>14.1151489535401</v>
      </c>
      <c r="AG896">
        <v>-1.0927524279110901</v>
      </c>
      <c r="AH896">
        <v>19.743374577483799</v>
      </c>
      <c r="AI896">
        <v>92.577979410929302</v>
      </c>
      <c r="AJ896">
        <v>54.437851149207297</v>
      </c>
      <c r="AK896">
        <v>24.294698548369801</v>
      </c>
      <c r="AL896">
        <v>80.100581355283296</v>
      </c>
      <c r="AM896">
        <v>82.607358460708397</v>
      </c>
      <c r="AN896">
        <v>0.99999997210365399</v>
      </c>
    </row>
    <row r="897" spans="1:40" x14ac:dyDescent="0.3">
      <c r="A897" t="str">
        <f>"20200111150739861"</f>
        <v>20200111150739861</v>
      </c>
      <c r="B897" t="str">
        <f>"1578726459851857"</f>
        <v>1578726459851857</v>
      </c>
      <c r="C897" t="s">
        <v>40</v>
      </c>
      <c r="D897">
        <v>5.389443</v>
      </c>
      <c r="E897">
        <v>0.70529589999999998</v>
      </c>
      <c r="F897" t="s">
        <v>55</v>
      </c>
      <c r="G897">
        <v>-224.41059999999999</v>
      </c>
      <c r="H897" s="1">
        <v>8.1029650000000001E-7</v>
      </c>
      <c r="I897">
        <v>288.40910000000002</v>
      </c>
      <c r="J897">
        <v>-199.96440000000001</v>
      </c>
      <c r="K897">
        <v>1.0927830000000001</v>
      </c>
      <c r="L897">
        <v>287.10300000000001</v>
      </c>
      <c r="M897">
        <v>-0.84527059999999998</v>
      </c>
      <c r="N897">
        <v>0</v>
      </c>
      <c r="O897">
        <v>-0.53407059999999995</v>
      </c>
      <c r="P897">
        <v>-0.892011199999999</v>
      </c>
      <c r="Q897">
        <v>0.16015170000000001</v>
      </c>
      <c r="R897">
        <v>-0.42269099999999998</v>
      </c>
      <c r="S897">
        <v>-3.4991910000000002</v>
      </c>
      <c r="T897">
        <v>-0.154506</v>
      </c>
      <c r="U897">
        <v>0.15869140000000001</v>
      </c>
      <c r="V897">
        <v>0.12643180000000001</v>
      </c>
      <c r="W897">
        <v>0.17155509999999999</v>
      </c>
      <c r="X897">
        <v>0.97702809999999995</v>
      </c>
      <c r="Y897">
        <v>0.5708609</v>
      </c>
      <c r="Z897">
        <v>3.5235870000000002E-2</v>
      </c>
      <c r="AA897">
        <v>0.82029030000000003</v>
      </c>
      <c r="AB897">
        <v>35</v>
      </c>
      <c r="AC897">
        <v>-24.446199999999902</v>
      </c>
      <c r="AD897">
        <v>-1.0927821897034999</v>
      </c>
      <c r="AE897">
        <v>1.30610000000001</v>
      </c>
      <c r="AF897">
        <v>14.1338691451759</v>
      </c>
      <c r="AG897">
        <v>-1.0927821897034999</v>
      </c>
      <c r="AH897">
        <v>19.929252574931901</v>
      </c>
      <c r="AI897">
        <v>92.560949732917905</v>
      </c>
      <c r="AJ897">
        <v>54.655651446220503</v>
      </c>
      <c r="AK897">
        <v>24.456809647264301</v>
      </c>
      <c r="AL897">
        <v>80.121752129742404</v>
      </c>
      <c r="AM897">
        <v>82.626644909840095</v>
      </c>
      <c r="AN897">
        <v>1.00000003028842</v>
      </c>
    </row>
    <row r="898" spans="1:40" x14ac:dyDescent="0.3">
      <c r="A898" t="str">
        <f>"20200111150739884"</f>
        <v>20200111150739884</v>
      </c>
      <c r="B898" t="str">
        <f>"1578726459882113"</f>
        <v>1578726459882113</v>
      </c>
      <c r="C898" t="s">
        <v>40</v>
      </c>
      <c r="D898">
        <v>5.3872939999999998</v>
      </c>
      <c r="E898">
        <v>0.67145509999999997</v>
      </c>
      <c r="F898" t="s">
        <v>55</v>
      </c>
      <c r="G898">
        <v>-224.61429999999999</v>
      </c>
      <c r="H898" s="1">
        <v>9.1869099999999995E-7</v>
      </c>
      <c r="I898">
        <v>288.60419999999999</v>
      </c>
      <c r="J898">
        <v>-200.26580000000001</v>
      </c>
      <c r="K898">
        <v>1.0928180000000001</v>
      </c>
      <c r="L898">
        <v>286.92700000000002</v>
      </c>
      <c r="M898">
        <v>-0.85467119999999996</v>
      </c>
      <c r="N898">
        <v>0</v>
      </c>
      <c r="O898">
        <v>-0.51889439999999998</v>
      </c>
      <c r="P898">
        <v>-0.89937769999999995</v>
      </c>
      <c r="Q898">
        <v>0.1598995</v>
      </c>
      <c r="R898">
        <v>-0.40688099999999999</v>
      </c>
      <c r="S898">
        <v>-3.4917449999999999</v>
      </c>
      <c r="T898">
        <v>-0.1547965</v>
      </c>
      <c r="U898">
        <v>0.21264649999999999</v>
      </c>
      <c r="V898">
        <v>0.12623429999999999</v>
      </c>
      <c r="W898">
        <v>0.17131689999999999</v>
      </c>
      <c r="X898">
        <v>0.97709539999999995</v>
      </c>
      <c r="Y898">
        <v>0.568936</v>
      </c>
      <c r="Z898">
        <v>3.4758810000000001E-2</v>
      </c>
      <c r="AA898">
        <v>0.82164689999999996</v>
      </c>
      <c r="AB898">
        <v>35</v>
      </c>
      <c r="AC898">
        <v>-24.348499999999898</v>
      </c>
      <c r="AD898">
        <v>-1.0928170813089999</v>
      </c>
      <c r="AE898">
        <v>1.67719999999997</v>
      </c>
      <c r="AF898">
        <v>14.041612976778501</v>
      </c>
      <c r="AG898">
        <v>-1.0928170813089999</v>
      </c>
      <c r="AH898">
        <v>19.9026184881231</v>
      </c>
      <c r="AI898">
        <v>92.568908835520304</v>
      </c>
      <c r="AJ898">
        <v>54.7964246587064</v>
      </c>
      <c r="AK898">
        <v>24.381865532534899</v>
      </c>
      <c r="AL898">
        <v>80.135604768639595</v>
      </c>
      <c r="AM898">
        <v>82.638537939610003</v>
      </c>
      <c r="AN898">
        <v>0.99999999971162901</v>
      </c>
    </row>
    <row r="899" spans="1:40" x14ac:dyDescent="0.3">
      <c r="A899" t="str">
        <f>"20200111150739905"</f>
        <v>20200111150739905</v>
      </c>
      <c r="B899" t="str">
        <f>"1578726459901633"</f>
        <v>1578726459901633</v>
      </c>
      <c r="C899" t="s">
        <v>40</v>
      </c>
      <c r="D899">
        <v>5.3770519999999999</v>
      </c>
      <c r="E899">
        <v>0.66759080000000004</v>
      </c>
      <c r="F899" t="s">
        <v>55</v>
      </c>
      <c r="G899">
        <v>-221.15199999999999</v>
      </c>
      <c r="H899" s="1">
        <v>-9.2373230000000001E-7</v>
      </c>
      <c r="I899">
        <v>287.09359999999998</v>
      </c>
      <c r="J899">
        <v>-200.5573</v>
      </c>
      <c r="K899">
        <v>1.092849</v>
      </c>
      <c r="L899">
        <v>286.76350000000002</v>
      </c>
      <c r="M899">
        <v>-0.863432599999999</v>
      </c>
      <c r="N899">
        <v>0</v>
      </c>
      <c r="O899">
        <v>-0.50418050000000003</v>
      </c>
      <c r="P899">
        <v>-0.90573490000000001</v>
      </c>
      <c r="Q899">
        <v>0.1593186</v>
      </c>
      <c r="R899">
        <v>-0.39276169999999999</v>
      </c>
      <c r="S899">
        <v>-3.3792879999999998</v>
      </c>
      <c r="T899">
        <v>-0.17681250000000001</v>
      </c>
      <c r="U899">
        <v>2.6947019999999999E-2</v>
      </c>
      <c r="V899">
        <v>0.1247987</v>
      </c>
      <c r="W899">
        <v>0.17080479999999901</v>
      </c>
      <c r="X899">
        <v>0.97736940000000005</v>
      </c>
      <c r="Y899">
        <v>0.50978469999999998</v>
      </c>
      <c r="Z899">
        <v>3.8739900000000001E-2</v>
      </c>
      <c r="AA899">
        <v>0.85942940000000001</v>
      </c>
      <c r="AB899">
        <v>35</v>
      </c>
      <c r="AC899">
        <v>-20.5947</v>
      </c>
      <c r="AD899">
        <v>-1.0928499237322999</v>
      </c>
      <c r="AE899">
        <v>0.33009999999995898</v>
      </c>
      <c r="AF899">
        <v>10.640038962992699</v>
      </c>
      <c r="AG899">
        <v>-1.0928499237322999</v>
      </c>
      <c r="AH899">
        <v>17.5687680796322</v>
      </c>
      <c r="AI899">
        <v>93.045674302014703</v>
      </c>
      <c r="AJ899">
        <v>58.799964659352497</v>
      </c>
      <c r="AK899">
        <v>20.568577051553898</v>
      </c>
      <c r="AL899">
        <v>80.165384584028303</v>
      </c>
      <c r="AM899">
        <v>82.723371963639394</v>
      </c>
      <c r="AN899">
        <v>0.99999996964054405</v>
      </c>
    </row>
    <row r="900" spans="1:40" x14ac:dyDescent="0.3">
      <c r="A900" t="str">
        <f>"20200111150739927"</f>
        <v>20200111150739927</v>
      </c>
      <c r="B900" t="str">
        <f>"1578726459922129"</f>
        <v>1578726459922129</v>
      </c>
      <c r="C900" t="s">
        <v>40</v>
      </c>
      <c r="D900">
        <v>5.412363</v>
      </c>
      <c r="E900">
        <v>0.65294770000000002</v>
      </c>
      <c r="F900" t="s">
        <v>55</v>
      </c>
      <c r="G900">
        <v>-220.04490000000001</v>
      </c>
      <c r="H900" s="1">
        <v>-1.5129050000000001E-6</v>
      </c>
      <c r="I900">
        <v>287.06580000000002</v>
      </c>
      <c r="J900">
        <v>-200.86349999999999</v>
      </c>
      <c r="K900">
        <v>1.092876</v>
      </c>
      <c r="L900">
        <v>286.59890000000001</v>
      </c>
      <c r="M900">
        <v>-0.87229140000000005</v>
      </c>
      <c r="N900">
        <v>0</v>
      </c>
      <c r="O900">
        <v>-0.48869400000000002</v>
      </c>
      <c r="P900">
        <v>-0.9115721</v>
      </c>
      <c r="Q900">
        <v>0.15911919999999999</v>
      </c>
      <c r="R900">
        <v>-0.37910110000000002</v>
      </c>
      <c r="S900">
        <v>-3.3681030000000001</v>
      </c>
      <c r="T900">
        <v>-0.18888089999999999</v>
      </c>
      <c r="U900">
        <v>5.2246090000000002E-2</v>
      </c>
      <c r="V900">
        <v>0.122043899999999</v>
      </c>
      <c r="W900">
        <v>0.1707311</v>
      </c>
      <c r="X900">
        <v>0.97773010000000005</v>
      </c>
      <c r="Y900">
        <v>0.5007315</v>
      </c>
      <c r="Z900">
        <v>4.050699E-2</v>
      </c>
      <c r="AA900">
        <v>0.86465439999999905</v>
      </c>
      <c r="AB900">
        <v>35</v>
      </c>
      <c r="AC900">
        <v>-19.1814</v>
      </c>
      <c r="AD900">
        <v>-1.0928775129049999</v>
      </c>
      <c r="AE900">
        <v>0.46690000000000897</v>
      </c>
      <c r="AF900">
        <v>9.7508713435690009</v>
      </c>
      <c r="AG900">
        <v>-1.0928775129049999</v>
      </c>
      <c r="AH900">
        <v>16.452581010740499</v>
      </c>
      <c r="AI900">
        <v>93.270543000520206</v>
      </c>
      <c r="AJ900">
        <v>59.3462554926314</v>
      </c>
      <c r="AK900">
        <v>19.156233845201101</v>
      </c>
      <c r="AL900">
        <v>80.1696703887187</v>
      </c>
      <c r="AM900">
        <v>82.884929055967504</v>
      </c>
      <c r="AN900">
        <v>0.99999998524021405</v>
      </c>
    </row>
    <row r="901" spans="1:40" x14ac:dyDescent="0.3">
      <c r="A901" t="str">
        <f>"20200111150739950"</f>
        <v>20200111150739950</v>
      </c>
      <c r="B901" t="str">
        <f>"1578726459941651"</f>
        <v>1578726459941651</v>
      </c>
      <c r="C901" t="s">
        <v>40</v>
      </c>
      <c r="D901">
        <v>5.377338</v>
      </c>
      <c r="E901">
        <v>0.64427029999999996</v>
      </c>
      <c r="F901" t="s">
        <v>55</v>
      </c>
      <c r="G901">
        <v>-216.75049999999999</v>
      </c>
      <c r="H901" s="1">
        <v>2.0555160000000001E-6</v>
      </c>
      <c r="I901">
        <v>286.584</v>
      </c>
      <c r="J901">
        <v>-201.19300000000001</v>
      </c>
      <c r="K901">
        <v>1.092916</v>
      </c>
      <c r="L901">
        <v>286.42959999999999</v>
      </c>
      <c r="M901">
        <v>-0.88144270000000002</v>
      </c>
      <c r="N901">
        <v>0</v>
      </c>
      <c r="O901">
        <v>-0.47198830000000003</v>
      </c>
      <c r="P901">
        <v>-0.91726719999999895</v>
      </c>
      <c r="Q901">
        <v>0.16084909999999999</v>
      </c>
      <c r="R901">
        <v>-0.36434680000000003</v>
      </c>
      <c r="S901">
        <v>-3.3296969999999999</v>
      </c>
      <c r="T901">
        <v>-0.22905030000000001</v>
      </c>
      <c r="U901">
        <v>-3.1433110000000002E-3</v>
      </c>
      <c r="V901">
        <v>0.1191017</v>
      </c>
      <c r="W901">
        <v>0.17259089999999999</v>
      </c>
      <c r="X901">
        <v>0.97776649999999998</v>
      </c>
      <c r="Y901">
        <v>0.46906969999999998</v>
      </c>
      <c r="Z901">
        <v>4.7525400000000002E-2</v>
      </c>
      <c r="AA901">
        <v>0.88188149999999998</v>
      </c>
      <c r="AB901">
        <v>35</v>
      </c>
      <c r="AC901">
        <v>-15.557499999999999</v>
      </c>
      <c r="AD901">
        <v>-1.0929139444839999</v>
      </c>
      <c r="AE901">
        <v>0.154400000000009</v>
      </c>
      <c r="AF901">
        <v>7.4433918010205096</v>
      </c>
      <c r="AG901">
        <v>-1.0929139444839999</v>
      </c>
      <c r="AH901">
        <v>13.5751320126598</v>
      </c>
      <c r="AI901">
        <v>94.037990785742906</v>
      </c>
      <c r="AJ901">
        <v>61.263564616264198</v>
      </c>
      <c r="AK901">
        <v>15.5203979186968</v>
      </c>
      <c r="AL901">
        <v>80.061507059466294</v>
      </c>
      <c r="AM901">
        <v>83.055017535672903</v>
      </c>
      <c r="AN901">
        <v>1.00000008111397</v>
      </c>
    </row>
    <row r="902" spans="1:40" x14ac:dyDescent="0.3">
      <c r="A902" t="str">
        <f>"20200111150739972"</f>
        <v>20200111150739972</v>
      </c>
      <c r="B902" t="str">
        <f>"1578726459962145"</f>
        <v>1578726459962145</v>
      </c>
      <c r="C902" t="s">
        <v>40</v>
      </c>
      <c r="D902">
        <v>5.3694240000000004</v>
      </c>
      <c r="E902">
        <v>0.64077530000000005</v>
      </c>
      <c r="F902" t="s">
        <v>55</v>
      </c>
      <c r="G902">
        <v>-215.65479999999999</v>
      </c>
      <c r="H902" s="1">
        <v>1.4724409999999999E-6</v>
      </c>
      <c r="I902">
        <v>286.37049999999999</v>
      </c>
      <c r="J902">
        <v>-201.5009</v>
      </c>
      <c r="K902">
        <v>1.0929519999999999</v>
      </c>
      <c r="L902">
        <v>286.27839999999998</v>
      </c>
      <c r="M902">
        <v>-0.88964330000000003</v>
      </c>
      <c r="N902">
        <v>0</v>
      </c>
      <c r="O902">
        <v>-0.45634340000000001</v>
      </c>
      <c r="P902">
        <v>-0.92257940000000005</v>
      </c>
      <c r="Q902">
        <v>0.16226099999999999</v>
      </c>
      <c r="R902">
        <v>-0.35002680000000003</v>
      </c>
      <c r="S902">
        <v>-3.3090359999999999</v>
      </c>
      <c r="T902">
        <v>-0.25007089999999998</v>
      </c>
      <c r="U902">
        <v>-1.351929E-2</v>
      </c>
      <c r="V902">
        <v>0.1169755</v>
      </c>
      <c r="W902">
        <v>0.1740969</v>
      </c>
      <c r="X902">
        <v>0.97775610000000002</v>
      </c>
      <c r="Y902">
        <v>0.45026139999999998</v>
      </c>
      <c r="Z902">
        <v>5.0417980000000001E-2</v>
      </c>
      <c r="AA902">
        <v>0.89147219999999905</v>
      </c>
      <c r="AB902">
        <v>35</v>
      </c>
      <c r="AC902">
        <v>-14.153899999999901</v>
      </c>
      <c r="AD902">
        <v>-1.0929505275589999</v>
      </c>
      <c r="AE902">
        <v>9.2100000000016197E-2</v>
      </c>
      <c r="AF902">
        <v>6.5031338092014597</v>
      </c>
      <c r="AG902">
        <v>-1.0929505275589999</v>
      </c>
      <c r="AH902">
        <v>12.4772887840432</v>
      </c>
      <c r="AI902">
        <v>94.4416916923375</v>
      </c>
      <c r="AJ902">
        <v>62.471579361651401</v>
      </c>
      <c r="AK902">
        <v>14.112690232428401</v>
      </c>
      <c r="AL902">
        <v>79.973892383528494</v>
      </c>
      <c r="AM902">
        <v>83.177748299252599</v>
      </c>
      <c r="AN902">
        <v>0.99999999463853495</v>
      </c>
    </row>
    <row r="903" spans="1:40" x14ac:dyDescent="0.3">
      <c r="A903" t="str">
        <f>"20200111150739995"</f>
        <v>20200111150739995</v>
      </c>
      <c r="B903" t="str">
        <f>"1578726459992401"</f>
        <v>1578726459992401</v>
      </c>
      <c r="C903" t="s">
        <v>40</v>
      </c>
      <c r="D903">
        <v>5.3745580000000004</v>
      </c>
      <c r="E903">
        <v>0.63572489999999904</v>
      </c>
      <c r="F903" t="s">
        <v>55</v>
      </c>
      <c r="G903">
        <v>-215.8878</v>
      </c>
      <c r="H903" s="1">
        <v>1.596419E-6</v>
      </c>
      <c r="I903">
        <v>286.32580000000002</v>
      </c>
      <c r="J903">
        <v>-201.82759999999999</v>
      </c>
      <c r="K903">
        <v>1.0929799999999901</v>
      </c>
      <c r="L903">
        <v>286.12520000000001</v>
      </c>
      <c r="M903">
        <v>-0.89797969999999905</v>
      </c>
      <c r="N903">
        <v>0</v>
      </c>
      <c r="O903">
        <v>-0.43971270000000001</v>
      </c>
      <c r="P903">
        <v>-0.92816379999999998</v>
      </c>
      <c r="Q903">
        <v>0.161301799999999</v>
      </c>
      <c r="R903">
        <v>-0.33540130000000001</v>
      </c>
      <c r="S903">
        <v>-3.299973</v>
      </c>
      <c r="T903">
        <v>-0.25069370000000002</v>
      </c>
      <c r="U903">
        <v>1.0864260000000001E-2</v>
      </c>
      <c r="V903">
        <v>0.1142522</v>
      </c>
      <c r="W903">
        <v>0.17326150000000001</v>
      </c>
      <c r="X903">
        <v>0.97822640000000005</v>
      </c>
      <c r="Y903">
        <v>0.44026120000000002</v>
      </c>
      <c r="Z903">
        <v>4.9169129999999998E-2</v>
      </c>
      <c r="AA903">
        <v>0.89652240000000005</v>
      </c>
      <c r="AB903">
        <v>34</v>
      </c>
      <c r="AC903">
        <v>-14.0602</v>
      </c>
      <c r="AD903">
        <v>-1.09297840358099</v>
      </c>
      <c r="AE903">
        <v>0.20060000000000799</v>
      </c>
      <c r="AF903">
        <v>6.3252759604366799</v>
      </c>
      <c r="AG903">
        <v>-1.09297840358099</v>
      </c>
      <c r="AH903">
        <v>12.464053259000901</v>
      </c>
      <c r="AI903">
        <v>94.471277067578001</v>
      </c>
      <c r="AJ903">
        <v>63.093051129558397</v>
      </c>
      <c r="AK903">
        <v>14.0198552563707</v>
      </c>
      <c r="AL903">
        <v>80.022496008083806</v>
      </c>
      <c r="AM903">
        <v>83.3383065330828</v>
      </c>
      <c r="AN903">
        <v>1.00000000112202</v>
      </c>
    </row>
    <row r="904" spans="1:40" x14ac:dyDescent="0.3">
      <c r="A904" t="str">
        <f>"20200111150740018"</f>
        <v>20200111150740018</v>
      </c>
      <c r="B904" t="str">
        <f>"1578726460011921"</f>
        <v>1578726460011921</v>
      </c>
      <c r="C904" t="s">
        <v>40</v>
      </c>
      <c r="D904">
        <v>5.3224429999999998</v>
      </c>
      <c r="E904">
        <v>0.63306180000000001</v>
      </c>
      <c r="F904" t="s">
        <v>55</v>
      </c>
      <c r="G904">
        <v>-216.0224</v>
      </c>
      <c r="H904" s="1">
        <v>1.668047E-6</v>
      </c>
      <c r="I904">
        <v>286.2423</v>
      </c>
      <c r="J904">
        <v>-202.14429999999999</v>
      </c>
      <c r="K904">
        <v>1.093005</v>
      </c>
      <c r="L904">
        <v>285.98390000000001</v>
      </c>
      <c r="M904">
        <v>-0.90570419999999996</v>
      </c>
      <c r="N904">
        <v>0</v>
      </c>
      <c r="O904">
        <v>-0.4235738</v>
      </c>
      <c r="P904">
        <v>-0.93351459999999997</v>
      </c>
      <c r="Q904">
        <v>0.1586872</v>
      </c>
      <c r="R904">
        <v>-0.32151069999999998</v>
      </c>
      <c r="S904">
        <v>-3.285965</v>
      </c>
      <c r="T904">
        <v>-0.25301430000000003</v>
      </c>
      <c r="U904">
        <v>2.709961E-2</v>
      </c>
      <c r="V904">
        <v>0.1114076</v>
      </c>
      <c r="W904">
        <v>0.1707795</v>
      </c>
      <c r="X904">
        <v>0.97899069999999999</v>
      </c>
      <c r="Y904">
        <v>0.42862729999999999</v>
      </c>
      <c r="Z904">
        <v>4.8255989999999999E-2</v>
      </c>
      <c r="AA904">
        <v>0.90219179999999999</v>
      </c>
      <c r="AB904">
        <v>34</v>
      </c>
      <c r="AC904">
        <v>-13.8781</v>
      </c>
      <c r="AD904">
        <v>-1.0930033319529999</v>
      </c>
      <c r="AE904">
        <v>0.25839999999999402</v>
      </c>
      <c r="AF904">
        <v>6.0756326941203298</v>
      </c>
      <c r="AG904">
        <v>-1.0930033319529999</v>
      </c>
      <c r="AH904">
        <v>12.3849846729043</v>
      </c>
      <c r="AI904">
        <v>94.530196845575006</v>
      </c>
      <c r="AJ904">
        <v>63.8690746449142</v>
      </c>
      <c r="AK904">
        <v>13.838201265540199</v>
      </c>
      <c r="AL904">
        <v>80.166856490405806</v>
      </c>
      <c r="AM904">
        <v>83.507759403462202</v>
      </c>
      <c r="AN904">
        <v>1.00000004082224</v>
      </c>
    </row>
    <row r="905" spans="1:40" x14ac:dyDescent="0.3">
      <c r="A905" t="str">
        <f>"20200111150740040"</f>
        <v>20200111150740040</v>
      </c>
      <c r="B905" t="str">
        <f>"1578726460032417"</f>
        <v>1578726460032417</v>
      </c>
      <c r="C905" t="s">
        <v>40</v>
      </c>
      <c r="D905">
        <v>5.3245500000000003</v>
      </c>
      <c r="E905">
        <v>0.6305364</v>
      </c>
      <c r="F905" t="s">
        <v>55</v>
      </c>
      <c r="G905">
        <v>-215.8202</v>
      </c>
      <c r="H905" s="1">
        <v>1.5604210000000001E-6</v>
      </c>
      <c r="I905">
        <v>286.22809999999998</v>
      </c>
      <c r="J905">
        <v>-202.4649</v>
      </c>
      <c r="K905">
        <v>1.0930340000000001</v>
      </c>
      <c r="L905">
        <v>285.84769999999997</v>
      </c>
      <c r="M905">
        <v>-0.91316509999999995</v>
      </c>
      <c r="N905">
        <v>0</v>
      </c>
      <c r="O905">
        <v>-0.4072403</v>
      </c>
      <c r="P905">
        <v>-0.93925270000000005</v>
      </c>
      <c r="Q905">
        <v>0.15751119999999999</v>
      </c>
      <c r="R905">
        <v>-0.30494979999999999</v>
      </c>
      <c r="S905">
        <v>-3.2783660000000001</v>
      </c>
      <c r="T905">
        <v>-0.26201380000000002</v>
      </c>
      <c r="U905">
        <v>5.8532710000000002E-2</v>
      </c>
      <c r="V905">
        <v>0.111152399999999</v>
      </c>
      <c r="W905">
        <v>0.16961979999999999</v>
      </c>
      <c r="X905">
        <v>0.97922129999999996</v>
      </c>
      <c r="Y905">
        <v>0.42095090000000002</v>
      </c>
      <c r="Z905">
        <v>4.8583269999999998E-2</v>
      </c>
      <c r="AA905">
        <v>0.90578139999999996</v>
      </c>
      <c r="AB905">
        <v>34</v>
      </c>
      <c r="AC905">
        <v>-13.3553</v>
      </c>
      <c r="AD905">
        <v>-1.0930324395790001</v>
      </c>
      <c r="AE905">
        <v>0.38040000000000801</v>
      </c>
      <c r="AF905">
        <v>5.7485349366244396</v>
      </c>
      <c r="AG905">
        <v>-1.0930324395790001</v>
      </c>
      <c r="AH905">
        <v>11.962333560609601</v>
      </c>
      <c r="AI905">
        <v>94.708080450576901</v>
      </c>
      <c r="AJ905">
        <v>64.333249630710696</v>
      </c>
      <c r="AK905">
        <v>13.316823872337199</v>
      </c>
      <c r="AL905">
        <v>80.234286260414805</v>
      </c>
      <c r="AM905">
        <v>83.5240170070022</v>
      </c>
      <c r="AN905">
        <v>1.0000000434757399</v>
      </c>
    </row>
    <row r="906" spans="1:40" x14ac:dyDescent="0.3">
      <c r="A906" t="str">
        <f>"20200111150740062"</f>
        <v>20200111150740062</v>
      </c>
      <c r="B906" t="str">
        <f>"1578726460051938"</f>
        <v>1578726460051938</v>
      </c>
      <c r="C906" t="s">
        <v>40</v>
      </c>
      <c r="D906">
        <v>5.3678189999999999</v>
      </c>
      <c r="E906">
        <v>0.62916470000000002</v>
      </c>
      <c r="F906" t="s">
        <v>55</v>
      </c>
      <c r="G906">
        <v>-215.54409999999999</v>
      </c>
      <c r="H906" s="1">
        <v>1.4135000000000001E-6</v>
      </c>
      <c r="I906">
        <v>286.22399999999999</v>
      </c>
      <c r="J906">
        <v>-202.7911</v>
      </c>
      <c r="K906">
        <v>1.093081</v>
      </c>
      <c r="L906">
        <v>285.71660000000003</v>
      </c>
      <c r="M906">
        <v>-0.92037670000000005</v>
      </c>
      <c r="N906">
        <v>0</v>
      </c>
      <c r="O906">
        <v>-0.39066889999999999</v>
      </c>
      <c r="P906">
        <v>-0.9449729</v>
      </c>
      <c r="Q906">
        <v>0.15669430000000001</v>
      </c>
      <c r="R906">
        <v>-0.28718059999999901</v>
      </c>
      <c r="S906">
        <v>-3.270416</v>
      </c>
      <c r="T906">
        <v>-0.2733102</v>
      </c>
      <c r="U906">
        <v>9.408569E-2</v>
      </c>
      <c r="V906">
        <v>0.111914899999999</v>
      </c>
      <c r="W906">
        <v>0.16877239999999999</v>
      </c>
      <c r="X906">
        <v>0.97928079999999995</v>
      </c>
      <c r="Y906">
        <v>0.41427839999999999</v>
      </c>
      <c r="Z906">
        <v>4.9236700000000001E-2</v>
      </c>
      <c r="AA906">
        <v>0.90881749999999994</v>
      </c>
      <c r="AB906">
        <v>34</v>
      </c>
      <c r="AC906">
        <v>-12.752999999999901</v>
      </c>
      <c r="AD906">
        <v>-1.0930795865</v>
      </c>
      <c r="AE906">
        <v>0.50739999999996099</v>
      </c>
      <c r="AF906">
        <v>5.41029130740543</v>
      </c>
      <c r="AG906">
        <v>-1.0930795865</v>
      </c>
      <c r="AH906">
        <v>11.4569456033071</v>
      </c>
      <c r="AI906">
        <v>94.9308120375008</v>
      </c>
      <c r="AJ906">
        <v>64.722003815778507</v>
      </c>
      <c r="AK906">
        <v>12.7172197264397</v>
      </c>
      <c r="AL906">
        <v>80.283548296286099</v>
      </c>
      <c r="AM906">
        <v>83.480366064106704</v>
      </c>
      <c r="AN906">
        <v>0.99999997654620398</v>
      </c>
    </row>
    <row r="907" spans="1:40" x14ac:dyDescent="0.3">
      <c r="A907" t="str">
        <f>"20200111150740085"</f>
        <v>20200111150740085</v>
      </c>
      <c r="B907" t="str">
        <f>"1578726460082193"</f>
        <v>1578726460082193</v>
      </c>
      <c r="C907" t="s">
        <v>40</v>
      </c>
      <c r="D907">
        <v>5.3354470000000003</v>
      </c>
      <c r="E907">
        <v>0.60704169999999902</v>
      </c>
      <c r="F907" t="s">
        <v>55</v>
      </c>
      <c r="G907">
        <v>-215.60210000000001</v>
      </c>
      <c r="H907" s="1">
        <v>1.4443389999999999E-6</v>
      </c>
      <c r="I907">
        <v>286.27319999999997</v>
      </c>
      <c r="J907">
        <v>-203.1123</v>
      </c>
      <c r="K907">
        <v>1.09314</v>
      </c>
      <c r="L907">
        <v>285.59399999999999</v>
      </c>
      <c r="M907">
        <v>-0.92711529999999998</v>
      </c>
      <c r="N907">
        <v>0</v>
      </c>
      <c r="O907">
        <v>-0.37439810000000001</v>
      </c>
      <c r="P907">
        <v>-0.95026189999999999</v>
      </c>
      <c r="Q907">
        <v>0.152843799999999</v>
      </c>
      <c r="R907">
        <v>-0.27136939999999998</v>
      </c>
      <c r="S907">
        <v>-3.2639770000000001</v>
      </c>
      <c r="T907">
        <v>-0.27849559999999901</v>
      </c>
      <c r="U907">
        <v>0.1418152</v>
      </c>
      <c r="V907">
        <v>0.1110529</v>
      </c>
      <c r="W907">
        <v>0.16496329999999901</v>
      </c>
      <c r="X907">
        <v>0.98002769999999995</v>
      </c>
      <c r="Y907">
        <v>0.41153689999999998</v>
      </c>
      <c r="Z907">
        <v>4.8855830000000003E-2</v>
      </c>
      <c r="AA907">
        <v>0.91008270000000002</v>
      </c>
      <c r="AB907">
        <v>34</v>
      </c>
      <c r="AC907">
        <v>-12.489800000000001</v>
      </c>
      <c r="AD907">
        <v>-1.093138555661</v>
      </c>
      <c r="AE907">
        <v>0.67919999999998004</v>
      </c>
      <c r="AF907">
        <v>5.2663832492846696</v>
      </c>
      <c r="AG907">
        <v>-1.093138555661</v>
      </c>
      <c r="AH907">
        <v>11.2409440825828</v>
      </c>
      <c r="AI907">
        <v>95.032533397946594</v>
      </c>
      <c r="AJ907">
        <v>64.896905856143306</v>
      </c>
      <c r="AK907">
        <v>12.4614833907514</v>
      </c>
      <c r="AL907">
        <v>80.504897164973002</v>
      </c>
      <c r="AM907">
        <v>83.535043751437001</v>
      </c>
      <c r="AN907">
        <v>0.99999996485629405</v>
      </c>
    </row>
    <row r="908" spans="1:40" x14ac:dyDescent="0.3">
      <c r="A908" t="str">
        <f>"20200111150740106"</f>
        <v>20200111150740106</v>
      </c>
      <c r="B908" t="str">
        <f>"1578726460101714"</f>
        <v>1578726460101714</v>
      </c>
      <c r="C908" t="s">
        <v>40</v>
      </c>
      <c r="D908">
        <v>5.3218759999999996</v>
      </c>
      <c r="E908">
        <v>0.60422959999999903</v>
      </c>
      <c r="F908" t="s">
        <v>55</v>
      </c>
      <c r="G908">
        <v>-214.3835</v>
      </c>
      <c r="H908" s="1">
        <v>7.9589879999999996E-7</v>
      </c>
      <c r="I908">
        <v>285.69139999999999</v>
      </c>
      <c r="J908">
        <v>-203.43600000000001</v>
      </c>
      <c r="K908">
        <v>1.0932109999999999</v>
      </c>
      <c r="L908">
        <v>285.4769</v>
      </c>
      <c r="M908">
        <v>-0.93354170000000003</v>
      </c>
      <c r="N908">
        <v>0</v>
      </c>
      <c r="O908">
        <v>-0.35807470000000002</v>
      </c>
      <c r="P908">
        <v>-0.95540829999999999</v>
      </c>
      <c r="Q908">
        <v>0.147664299999999</v>
      </c>
      <c r="R908">
        <v>-0.25571509999999997</v>
      </c>
      <c r="S908">
        <v>-3.215103</v>
      </c>
      <c r="T908">
        <v>-0.31181569999999997</v>
      </c>
      <c r="U908">
        <v>2.7771000000000001E-2</v>
      </c>
      <c r="V908">
        <v>0.1100029</v>
      </c>
      <c r="W908">
        <v>0.15983240000000001</v>
      </c>
      <c r="X908">
        <v>0.98099590000000003</v>
      </c>
      <c r="Y908">
        <v>0.36284899999999998</v>
      </c>
      <c r="Z908">
        <v>5.1622359999999999E-2</v>
      </c>
      <c r="AA908">
        <v>0.93041689999999999</v>
      </c>
      <c r="AB908">
        <v>34</v>
      </c>
      <c r="AC908">
        <v>-10.9475</v>
      </c>
      <c r="AD908">
        <v>-1.0932102041012</v>
      </c>
      <c r="AE908">
        <v>0.21449999999998601</v>
      </c>
      <c r="AF908">
        <v>4.0801779170642396</v>
      </c>
      <c r="AG908">
        <v>-1.0932102041012</v>
      </c>
      <c r="AH908">
        <v>10.0444495701881</v>
      </c>
      <c r="AI908">
        <v>95.757980059704707</v>
      </c>
      <c r="AJ908">
        <v>67.892410856386505</v>
      </c>
      <c r="AK908">
        <v>10.896509879466</v>
      </c>
      <c r="AL908">
        <v>80.802831697678201</v>
      </c>
      <c r="AM908">
        <v>83.601927714869205</v>
      </c>
      <c r="AN908">
        <v>0.99999999495749003</v>
      </c>
    </row>
    <row r="909" spans="1:40" x14ac:dyDescent="0.3">
      <c r="A909" t="str">
        <f>"20200111150740129"</f>
        <v>20200111150740129</v>
      </c>
      <c r="B909" t="str">
        <f>"1578726460122209"</f>
        <v>1578726460122209</v>
      </c>
      <c r="C909" t="s">
        <v>40</v>
      </c>
      <c r="D909">
        <v>5.294835</v>
      </c>
      <c r="E909">
        <v>0.60068089999999996</v>
      </c>
      <c r="F909" t="s">
        <v>55</v>
      </c>
      <c r="G909">
        <v>-214.32740000000001</v>
      </c>
      <c r="H909" s="1">
        <v>7.6601949999999996E-7</v>
      </c>
      <c r="I909">
        <v>285.6798</v>
      </c>
      <c r="J909">
        <v>-203.768</v>
      </c>
      <c r="K909">
        <v>1.0933189999999999</v>
      </c>
      <c r="L909">
        <v>285.36340000000001</v>
      </c>
      <c r="M909">
        <v>-0.93973870000000004</v>
      </c>
      <c r="N909">
        <v>0</v>
      </c>
      <c r="O909">
        <v>-0.3414816</v>
      </c>
      <c r="P909">
        <v>-0.96045559999999996</v>
      </c>
      <c r="Q909">
        <v>0.14147879999999999</v>
      </c>
      <c r="R909">
        <v>-0.23980989999999999</v>
      </c>
      <c r="S909">
        <v>-3.2057500000000001</v>
      </c>
      <c r="T909">
        <v>-0.32177489999999997</v>
      </c>
      <c r="U909">
        <v>5.9722900000000002E-2</v>
      </c>
      <c r="V909">
        <v>0.10893269999999999</v>
      </c>
      <c r="W909">
        <v>0.15369749999999999</v>
      </c>
      <c r="X909">
        <v>0.9820951</v>
      </c>
      <c r="Y909">
        <v>0.35552339999999999</v>
      </c>
      <c r="Z909">
        <v>5.1484349999999998E-2</v>
      </c>
      <c r="AA909">
        <v>0.93324830000000003</v>
      </c>
      <c r="AB909">
        <v>34</v>
      </c>
      <c r="AC909">
        <v>-10.5594</v>
      </c>
      <c r="AD909">
        <v>-1.0933182339804901</v>
      </c>
      <c r="AE909">
        <v>0.31639999999998702</v>
      </c>
      <c r="AF909">
        <v>3.8623544097194098</v>
      </c>
      <c r="AG909">
        <v>-1.0933182339804901</v>
      </c>
      <c r="AH909">
        <v>9.7123856232453996</v>
      </c>
      <c r="AI909">
        <v>95.971529128573394</v>
      </c>
      <c r="AJ909">
        <v>68.313615478403904</v>
      </c>
      <c r="AK909">
        <v>10.5092131409376</v>
      </c>
      <c r="AL909">
        <v>81.158736838265796</v>
      </c>
      <c r="AM909">
        <v>83.670699063537896</v>
      </c>
      <c r="AN909">
        <v>1.0000000200397701</v>
      </c>
    </row>
    <row r="910" spans="1:40" x14ac:dyDescent="0.3">
      <c r="A910" t="str">
        <f>"20200111150740151"</f>
        <v>20200111150740151</v>
      </c>
      <c r="B910" t="str">
        <f>"1578726460141931"</f>
        <v>1578726460141931</v>
      </c>
      <c r="C910" t="s">
        <v>40</v>
      </c>
      <c r="D910">
        <v>5.3285559999999998</v>
      </c>
      <c r="E910">
        <v>0.58723939999999997</v>
      </c>
      <c r="F910" t="s">
        <v>55</v>
      </c>
      <c r="G910">
        <v>-213.9152</v>
      </c>
      <c r="H910" s="1">
        <v>5.4667129999999996E-7</v>
      </c>
      <c r="I910">
        <v>285.6354</v>
      </c>
      <c r="J910">
        <v>-204.09630000000001</v>
      </c>
      <c r="K910">
        <v>1.093485</v>
      </c>
      <c r="L910">
        <v>285.25740000000002</v>
      </c>
      <c r="M910">
        <v>-0.94547309999999996</v>
      </c>
      <c r="N910">
        <v>0</v>
      </c>
      <c r="O910">
        <v>-0.32527099999999998</v>
      </c>
      <c r="P910">
        <v>-0.96453270000000002</v>
      </c>
      <c r="Q910">
        <v>0.1376368</v>
      </c>
      <c r="R910">
        <v>-0.22524</v>
      </c>
      <c r="S910">
        <v>-3.1956329999999999</v>
      </c>
      <c r="T910">
        <v>-0.34431600000000001</v>
      </c>
      <c r="U910">
        <v>8.5662840000000004E-2</v>
      </c>
      <c r="V910">
        <v>0.10687000000000001</v>
      </c>
      <c r="W910">
        <v>0.14993919999999999</v>
      </c>
      <c r="X910">
        <v>0.98290230000000001</v>
      </c>
      <c r="Y910">
        <v>0.34669620000000001</v>
      </c>
      <c r="Z910">
        <v>5.3112600000000003E-2</v>
      </c>
      <c r="AA910">
        <v>0.93647250000000004</v>
      </c>
      <c r="AB910">
        <v>34</v>
      </c>
      <c r="AC910">
        <v>-9.8188999999999798</v>
      </c>
      <c r="AD910">
        <v>-1.09348445332869</v>
      </c>
      <c r="AE910">
        <v>0.37799999999998501</v>
      </c>
      <c r="AF910">
        <v>3.5082428245521702</v>
      </c>
      <c r="AG910">
        <v>-1.09348445332869</v>
      </c>
      <c r="AH910">
        <v>9.0497622716491293</v>
      </c>
      <c r="AI910">
        <v>96.427893108556901</v>
      </c>
      <c r="AJ910">
        <v>68.810614474455406</v>
      </c>
      <c r="AK910">
        <v>9.7673780073803496</v>
      </c>
      <c r="AL910">
        <v>81.376596403115897</v>
      </c>
      <c r="AM910">
        <v>83.794662814496803</v>
      </c>
      <c r="AN910">
        <v>0.99999994597096298</v>
      </c>
    </row>
    <row r="911" spans="1:40" x14ac:dyDescent="0.3">
      <c r="A911" t="str">
        <f>"20200111150740173"</f>
        <v>20200111150740173</v>
      </c>
      <c r="B911" t="str">
        <f>"1578726460162427"</f>
        <v>1578726460162427</v>
      </c>
      <c r="C911" t="s">
        <v>40</v>
      </c>
      <c r="D911">
        <v>5.3767950000000004</v>
      </c>
      <c r="E911">
        <v>0.58845709999999996</v>
      </c>
      <c r="F911" t="s">
        <v>55</v>
      </c>
      <c r="G911">
        <v>-215.1722</v>
      </c>
      <c r="H911" s="1">
        <v>1.2155949999999999E-6</v>
      </c>
      <c r="I911">
        <v>285.35309999999998</v>
      </c>
      <c r="J911">
        <v>-204.4188</v>
      </c>
      <c r="K911">
        <v>1.093691</v>
      </c>
      <c r="L911">
        <v>285.15910000000002</v>
      </c>
      <c r="M911">
        <v>-0.95071559999999999</v>
      </c>
      <c r="N911">
        <v>0</v>
      </c>
      <c r="O911">
        <v>-0.30961719999999998</v>
      </c>
      <c r="P911">
        <v>-0.96759919999999999</v>
      </c>
      <c r="Q911">
        <v>0.13574140000000001</v>
      </c>
      <c r="R911">
        <v>-0.2128997</v>
      </c>
      <c r="S911">
        <v>-3.1612399999999998</v>
      </c>
      <c r="T911">
        <v>-0.31209789999999998</v>
      </c>
      <c r="U911">
        <v>2.7313230000000001E-2</v>
      </c>
      <c r="V911">
        <v>0.1031161</v>
      </c>
      <c r="W911">
        <v>0.14818990000000001</v>
      </c>
      <c r="X911">
        <v>0.98356840000000001</v>
      </c>
      <c r="Y911">
        <v>0.31486370000000002</v>
      </c>
      <c r="Z911">
        <v>4.5626720000000003E-2</v>
      </c>
      <c r="AA911">
        <v>0.94803959999999998</v>
      </c>
      <c r="AB911">
        <v>34</v>
      </c>
      <c r="AC911">
        <v>-10.753399999999999</v>
      </c>
      <c r="AD911">
        <v>-1.093689784405</v>
      </c>
      <c r="AE911">
        <v>0.19399999999996001</v>
      </c>
      <c r="AF911">
        <v>3.4783937861068401</v>
      </c>
      <c r="AG911">
        <v>-1.093689784405</v>
      </c>
      <c r="AH911">
        <v>10.060731196902999</v>
      </c>
      <c r="AI911">
        <v>95.866067605741307</v>
      </c>
      <c r="AJ911">
        <v>70.927702555697905</v>
      </c>
      <c r="AK911">
        <v>10.701107087216499</v>
      </c>
      <c r="AL911">
        <v>81.477956729689197</v>
      </c>
      <c r="AM911">
        <v>84.015044339226804</v>
      </c>
      <c r="AN911">
        <v>0.99999998700988901</v>
      </c>
    </row>
    <row r="912" spans="1:40" x14ac:dyDescent="0.3">
      <c r="A912" t="str">
        <f>"20200111150740197"</f>
        <v>20200111150740197</v>
      </c>
      <c r="B912" t="str">
        <f>"1578726460191706"</f>
        <v>1578726460191706</v>
      </c>
      <c r="C912" t="s">
        <v>40</v>
      </c>
      <c r="D912">
        <v>5.3494020000000004</v>
      </c>
      <c r="E912">
        <v>0.58871200000000001</v>
      </c>
      <c r="F912" t="s">
        <v>55</v>
      </c>
      <c r="G912">
        <v>-215.3296</v>
      </c>
      <c r="H912" s="1">
        <v>1.2993340000000001E-6</v>
      </c>
      <c r="I912">
        <v>285.42489999999998</v>
      </c>
      <c r="J912">
        <v>-204.77449999999999</v>
      </c>
      <c r="K912">
        <v>1.0939950000000001</v>
      </c>
      <c r="L912">
        <v>285.05700000000002</v>
      </c>
      <c r="M912">
        <v>-0.95604999999999996</v>
      </c>
      <c r="N912">
        <v>0</v>
      </c>
      <c r="O912">
        <v>-0.292736</v>
      </c>
      <c r="P912">
        <v>-0.97063200000000005</v>
      </c>
      <c r="Q912">
        <v>0.1352448</v>
      </c>
      <c r="R912">
        <v>-0.19895360000000001</v>
      </c>
      <c r="S912">
        <v>-3.16188</v>
      </c>
      <c r="T912">
        <v>-0.31694559999999999</v>
      </c>
      <c r="U912">
        <v>7.7026369999999997E-2</v>
      </c>
      <c r="V912">
        <v>9.9734619999999996E-2</v>
      </c>
      <c r="W912">
        <v>0.14781359999999999</v>
      </c>
      <c r="X912">
        <v>0.9839736</v>
      </c>
      <c r="Y912">
        <v>0.31296940000000001</v>
      </c>
      <c r="Z912">
        <v>4.4611970000000001E-2</v>
      </c>
      <c r="AA912">
        <v>0.94871490000000003</v>
      </c>
      <c r="AB912">
        <v>34</v>
      </c>
      <c r="AC912">
        <v>-10.555099999999999</v>
      </c>
      <c r="AD912">
        <v>-1.0939937006659901</v>
      </c>
      <c r="AE912">
        <v>0.36789999999996298</v>
      </c>
      <c r="AF912">
        <v>3.4055208173639402</v>
      </c>
      <c r="AG912">
        <v>-1.0939937006659901</v>
      </c>
      <c r="AH912">
        <v>9.8788789787022608</v>
      </c>
      <c r="AI912">
        <v>95.976777711895195</v>
      </c>
      <c r="AJ912">
        <v>70.979521489954095</v>
      </c>
      <c r="AK912">
        <v>10.506504848446999</v>
      </c>
      <c r="AL912">
        <v>81.499756902798595</v>
      </c>
      <c r="AM912">
        <v>84.212320958420406</v>
      </c>
      <c r="AN912">
        <v>0.99999995013423004</v>
      </c>
    </row>
    <row r="913" spans="1:40" x14ac:dyDescent="0.3">
      <c r="A913" t="str">
        <f>"20200111150740220"</f>
        <v>20200111150740220</v>
      </c>
      <c r="B913" t="str">
        <f>"1578726460212202"</f>
        <v>1578726460212202</v>
      </c>
      <c r="C913" t="s">
        <v>40</v>
      </c>
      <c r="D913">
        <v>5.3071149999999996</v>
      </c>
      <c r="E913">
        <v>0.58838809999999997</v>
      </c>
      <c r="F913" t="s">
        <v>55</v>
      </c>
      <c r="G913">
        <v>-216.39519999999999</v>
      </c>
      <c r="H913" s="1">
        <v>1.8664010000000001E-6</v>
      </c>
      <c r="I913">
        <v>285.50670000000002</v>
      </c>
      <c r="J913">
        <v>-205.1182</v>
      </c>
      <c r="K913">
        <v>1.0943750000000001</v>
      </c>
      <c r="L913">
        <v>284.96449999999999</v>
      </c>
      <c r="M913">
        <v>-0.96075330000000003</v>
      </c>
      <c r="N913">
        <v>0</v>
      </c>
      <c r="O913">
        <v>-0.27691589999999999</v>
      </c>
      <c r="P913">
        <v>-0.97329829999999995</v>
      </c>
      <c r="Q913">
        <v>0.13538629999999999</v>
      </c>
      <c r="R913">
        <v>-0.18536739999999999</v>
      </c>
      <c r="S913">
        <v>-3.1572110000000002</v>
      </c>
      <c r="T913">
        <v>-0.29722539999999997</v>
      </c>
      <c r="U913">
        <v>0.1221619</v>
      </c>
      <c r="V913">
        <v>9.710328E-2</v>
      </c>
      <c r="W913">
        <v>0.14804</v>
      </c>
      <c r="X913">
        <v>0.98420280000000004</v>
      </c>
      <c r="Y913">
        <v>0.31131819999999999</v>
      </c>
      <c r="Z913">
        <v>4.0396830000000002E-2</v>
      </c>
      <c r="AA913">
        <v>0.94944669999999998</v>
      </c>
      <c r="AB913">
        <v>34</v>
      </c>
      <c r="AC913">
        <v>-11.2769999999999</v>
      </c>
      <c r="AD913">
        <v>-1.0943731335989999</v>
      </c>
      <c r="AE913">
        <v>0.54220000000003599</v>
      </c>
      <c r="AF913">
        <v>3.6102723308753499</v>
      </c>
      <c r="AG913">
        <v>-1.0943731335989999</v>
      </c>
      <c r="AH913">
        <v>10.5862495563286</v>
      </c>
      <c r="AI913">
        <v>95.588232479135996</v>
      </c>
      <c r="AJ913">
        <v>71.168872312513997</v>
      </c>
      <c r="AK913">
        <v>11.2383450083851</v>
      </c>
      <c r="AL913">
        <v>81.486641438486004</v>
      </c>
      <c r="AM913">
        <v>84.365327479030697</v>
      </c>
      <c r="AN913">
        <v>1.0000000200572901</v>
      </c>
    </row>
    <row r="914" spans="1:40" x14ac:dyDescent="0.3">
      <c r="A914" t="str">
        <f>"20200111150740240"</f>
        <v>20200111150740240</v>
      </c>
      <c r="B914" t="str">
        <f>"1578726460231724"</f>
        <v>1578726460231724</v>
      </c>
      <c r="C914" t="s">
        <v>40</v>
      </c>
      <c r="D914">
        <v>5.3251900000000001</v>
      </c>
      <c r="E914">
        <v>0.58736630000000001</v>
      </c>
      <c r="F914" t="s">
        <v>55</v>
      </c>
      <c r="G914">
        <v>-217.0718</v>
      </c>
      <c r="H914" s="1">
        <v>2.2264789999999998E-6</v>
      </c>
      <c r="I914">
        <v>285.57560000000001</v>
      </c>
      <c r="J914">
        <v>-205.4265</v>
      </c>
      <c r="K914">
        <v>1.0947910000000001</v>
      </c>
      <c r="L914">
        <v>284.88659999999999</v>
      </c>
      <c r="M914">
        <v>-0.96458630000000001</v>
      </c>
      <c r="N914">
        <v>0</v>
      </c>
      <c r="O914">
        <v>-0.26326050000000001</v>
      </c>
      <c r="P914">
        <v>-0.97538239999999998</v>
      </c>
      <c r="Q914">
        <v>0.13635120000000001</v>
      </c>
      <c r="R914">
        <v>-0.173314</v>
      </c>
      <c r="S914">
        <v>-3.153152</v>
      </c>
      <c r="T914">
        <v>-0.28867569999999998</v>
      </c>
      <c r="U914">
        <v>0.1611938</v>
      </c>
      <c r="V914">
        <v>9.5162990000000003E-2</v>
      </c>
      <c r="W914">
        <v>0.1490609</v>
      </c>
      <c r="X914">
        <v>0.98423819999999995</v>
      </c>
      <c r="Y914">
        <v>0.30982670000000001</v>
      </c>
      <c r="Z914">
        <v>3.800713E-2</v>
      </c>
      <c r="AA914">
        <v>0.95003309999999996</v>
      </c>
      <c r="AB914">
        <v>34</v>
      </c>
      <c r="AC914">
        <v>-11.645299999999899</v>
      </c>
      <c r="AD914">
        <v>-1.094788773521</v>
      </c>
      <c r="AE914">
        <v>0.68900000000002104</v>
      </c>
      <c r="AF914">
        <v>3.6982741688054599</v>
      </c>
      <c r="AG914">
        <v>-1.094788773521</v>
      </c>
      <c r="AH914">
        <v>10.9564901648556</v>
      </c>
      <c r="AI914">
        <v>95.408279843022598</v>
      </c>
      <c r="AJ914">
        <v>71.348307661514397</v>
      </c>
      <c r="AK914">
        <v>11.6155271520004</v>
      </c>
      <c r="AL914">
        <v>81.427491645808701</v>
      </c>
      <c r="AM914">
        <v>84.477412176043501</v>
      </c>
      <c r="AN914">
        <v>0.99999999045689403</v>
      </c>
    </row>
    <row r="915" spans="1:40" x14ac:dyDescent="0.3">
      <c r="A915" t="str">
        <f>"20200111150740262"</f>
        <v>20200111150740262</v>
      </c>
      <c r="B915" t="str">
        <f>"1578726460252218"</f>
        <v>1578726460252218</v>
      </c>
      <c r="C915" t="s">
        <v>40</v>
      </c>
      <c r="D915">
        <v>5.3591759999999997</v>
      </c>
      <c r="E915">
        <v>0.58680489999999996</v>
      </c>
      <c r="F915" t="s">
        <v>55</v>
      </c>
      <c r="G915">
        <v>-217.70529999999999</v>
      </c>
      <c r="H915" s="1">
        <v>2.5635760000000001E-6</v>
      </c>
      <c r="I915">
        <v>285.63049999999998</v>
      </c>
      <c r="J915">
        <v>-205.76179999999999</v>
      </c>
      <c r="K915">
        <v>1.095262</v>
      </c>
      <c r="L915">
        <v>284.80700000000002</v>
      </c>
      <c r="M915">
        <v>-0.96837960000000001</v>
      </c>
      <c r="N915">
        <v>0</v>
      </c>
      <c r="O915">
        <v>-0.24895419999999999</v>
      </c>
      <c r="P915">
        <v>-0.97712460000000001</v>
      </c>
      <c r="Q915">
        <v>0.13673879999999999</v>
      </c>
      <c r="R915">
        <v>-0.16288150000000001</v>
      </c>
      <c r="S915">
        <v>-3.1488649999999998</v>
      </c>
      <c r="T915">
        <v>-0.28075600000000001</v>
      </c>
      <c r="U915">
        <v>0.1907654</v>
      </c>
      <c r="V915">
        <v>9.0928670000000003E-2</v>
      </c>
      <c r="W915">
        <v>0.149581399999999</v>
      </c>
      <c r="X915">
        <v>0.98455950000000003</v>
      </c>
      <c r="Y915">
        <v>0.30491639999999998</v>
      </c>
      <c r="Z915">
        <v>3.5554229999999999E-2</v>
      </c>
      <c r="AA915">
        <v>0.95171519999999998</v>
      </c>
      <c r="AB915">
        <v>34</v>
      </c>
      <c r="AC915">
        <v>-11.9435</v>
      </c>
      <c r="AD915">
        <v>-1.095259436424</v>
      </c>
      <c r="AE915">
        <v>0.82349999999996704</v>
      </c>
      <c r="AF915">
        <v>3.7400375203240901</v>
      </c>
      <c r="AG915">
        <v>-1.095259436424</v>
      </c>
      <c r="AH915">
        <v>11.268010716608099</v>
      </c>
      <c r="AI915">
        <v>95.270726086046096</v>
      </c>
      <c r="AJ915">
        <v>71.638148225415506</v>
      </c>
      <c r="AK915">
        <v>11.9228997897367</v>
      </c>
      <c r="AL915">
        <v>81.397331255019694</v>
      </c>
      <c r="AM915">
        <v>84.723435039716904</v>
      </c>
      <c r="AN915">
        <v>1.0000000136470799</v>
      </c>
    </row>
    <row r="916" spans="1:40" x14ac:dyDescent="0.3">
      <c r="A916" t="str">
        <f>"20200111150740285"</f>
        <v>20200111150740285</v>
      </c>
      <c r="B916" t="str">
        <f>"1578726460282474"</f>
        <v>1578726460282474</v>
      </c>
      <c r="C916" t="s">
        <v>40</v>
      </c>
      <c r="D916">
        <v>5.3382069999999997</v>
      </c>
      <c r="E916">
        <v>0.57370949999999998</v>
      </c>
      <c r="F916" t="s">
        <v>55</v>
      </c>
      <c r="G916">
        <v>-218.12280000000001</v>
      </c>
      <c r="H916" s="1">
        <v>2.7857650000000002E-6</v>
      </c>
      <c r="I916">
        <v>285.66419999999999</v>
      </c>
      <c r="J916">
        <v>-206.09719999999999</v>
      </c>
      <c r="K916">
        <v>1.0957809999999999</v>
      </c>
      <c r="L916">
        <v>284.7321</v>
      </c>
      <c r="M916">
        <v>-0.97179839999999995</v>
      </c>
      <c r="N916">
        <v>0</v>
      </c>
      <c r="O916">
        <v>-0.23526349999999999</v>
      </c>
      <c r="P916">
        <v>-0.97847110000000004</v>
      </c>
      <c r="Q916">
        <v>0.13814089999999901</v>
      </c>
      <c r="R916">
        <v>-0.153334</v>
      </c>
      <c r="S916">
        <v>-3.1455989999999998</v>
      </c>
      <c r="T916">
        <v>-0.27871810000000002</v>
      </c>
      <c r="U916">
        <v>0.21813959999999999</v>
      </c>
      <c r="V916">
        <v>8.6451710000000001E-2</v>
      </c>
      <c r="W916">
        <v>0.15112149999999999</v>
      </c>
      <c r="X916">
        <v>0.98472760000000004</v>
      </c>
      <c r="Y916">
        <v>0.29988710000000002</v>
      </c>
      <c r="Z916">
        <v>3.3921069999999998E-2</v>
      </c>
      <c r="AA916">
        <v>0.95337150000000004</v>
      </c>
      <c r="AB916">
        <v>34</v>
      </c>
      <c r="AC916">
        <v>-12.025600000000001</v>
      </c>
      <c r="AD916">
        <v>-1.0957782142350001</v>
      </c>
      <c r="AE916">
        <v>0.93209999999999105</v>
      </c>
      <c r="AF916">
        <v>3.7049038427922998</v>
      </c>
      <c r="AG916">
        <v>-1.0957782142350001</v>
      </c>
      <c r="AH916">
        <v>11.3747747151974</v>
      </c>
      <c r="AI916">
        <v>95.233561691463194</v>
      </c>
      <c r="AJ916">
        <v>71.958934136702496</v>
      </c>
      <c r="AK916">
        <v>12.0130155331883</v>
      </c>
      <c r="AL916">
        <v>81.308075519622605</v>
      </c>
      <c r="AM916">
        <v>84.982723443024796</v>
      </c>
      <c r="AN916">
        <v>1.00000002606296</v>
      </c>
    </row>
    <row r="917" spans="1:40" x14ac:dyDescent="0.3">
      <c r="A917" t="str">
        <f>"20200111150740306"</f>
        <v>20200111150740306</v>
      </c>
      <c r="B917" t="str">
        <f>"1578726460301994"</f>
        <v>1578726460301994</v>
      </c>
      <c r="C917" t="s">
        <v>40</v>
      </c>
      <c r="D917">
        <v>5.2548940000000002</v>
      </c>
      <c r="E917">
        <v>0.5730885</v>
      </c>
      <c r="F917" t="s">
        <v>55</v>
      </c>
      <c r="G917">
        <v>-219.26050000000001</v>
      </c>
      <c r="H917" s="1">
        <v>3.391208E-6</v>
      </c>
      <c r="I917">
        <v>285.3322</v>
      </c>
      <c r="J917">
        <v>-206.42160000000001</v>
      </c>
      <c r="K917">
        <v>1.096322</v>
      </c>
      <c r="L917">
        <v>284.66399999999999</v>
      </c>
      <c r="M917">
        <v>-0.97476050000000003</v>
      </c>
      <c r="N917">
        <v>0</v>
      </c>
      <c r="O917">
        <v>-0.2226812</v>
      </c>
      <c r="P917">
        <v>-0.97969859999999998</v>
      </c>
      <c r="Q917">
        <v>0.13876289999999999</v>
      </c>
      <c r="R917">
        <v>-0.1446905</v>
      </c>
      <c r="S917">
        <v>-3.1250610000000001</v>
      </c>
      <c r="T917">
        <v>-0.2601444</v>
      </c>
      <c r="U917">
        <v>0.1424561</v>
      </c>
      <c r="V917">
        <v>8.2207970000000005E-2</v>
      </c>
      <c r="W917">
        <v>0.15186949999999999</v>
      </c>
      <c r="X917">
        <v>0.98497590000000002</v>
      </c>
      <c r="Y917">
        <v>0.26519409999999999</v>
      </c>
      <c r="Z917">
        <v>2.94167E-2</v>
      </c>
      <c r="AA917">
        <v>0.9637462</v>
      </c>
      <c r="AB917">
        <v>34</v>
      </c>
      <c r="AC917">
        <v>-12.838899999999899</v>
      </c>
      <c r="AD917">
        <v>-1.096318608792</v>
      </c>
      <c r="AE917">
        <v>0.66820000000001301</v>
      </c>
      <c r="AF917">
        <v>3.4854190225534101</v>
      </c>
      <c r="AG917">
        <v>-1.096318608792</v>
      </c>
      <c r="AH917">
        <v>12.278348345295999</v>
      </c>
      <c r="AI917">
        <v>94.909375256383996</v>
      </c>
      <c r="AJ917">
        <v>74.152500594397395</v>
      </c>
      <c r="AK917">
        <v>12.810460504728001</v>
      </c>
      <c r="AL917">
        <v>81.264717693903194</v>
      </c>
      <c r="AM917">
        <v>85.229042288288696</v>
      </c>
      <c r="AN917">
        <v>1.00000000947129</v>
      </c>
    </row>
    <row r="918" spans="1:40" x14ac:dyDescent="0.3">
      <c r="A918" t="str">
        <f>"20200111150740329"</f>
        <v>20200111150740329</v>
      </c>
      <c r="B918" t="str">
        <f>"1578726460322490"</f>
        <v>1578726460322490</v>
      </c>
      <c r="C918" t="s">
        <v>40</v>
      </c>
      <c r="D918">
        <v>5.1805979999999998</v>
      </c>
      <c r="E918">
        <v>0.5723068</v>
      </c>
      <c r="F918" t="s">
        <v>55</v>
      </c>
      <c r="G918">
        <v>-219.6919</v>
      </c>
      <c r="H918" s="1">
        <v>3.6207700000000001E-6</v>
      </c>
      <c r="I918">
        <v>285.3569</v>
      </c>
      <c r="J918">
        <v>-206.75710000000001</v>
      </c>
      <c r="K918">
        <v>1.0969249999999999</v>
      </c>
      <c r="L918">
        <v>284.59769999999997</v>
      </c>
      <c r="M918">
        <v>-0.97747830000000002</v>
      </c>
      <c r="N918">
        <v>0</v>
      </c>
      <c r="O918">
        <v>-0.21044199999999999</v>
      </c>
      <c r="P918">
        <v>-0.98086859999999998</v>
      </c>
      <c r="Q918">
        <v>0.1388636</v>
      </c>
      <c r="R918">
        <v>-0.13643229999999901</v>
      </c>
      <c r="S918">
        <v>-3.1227870000000002</v>
      </c>
      <c r="T918">
        <v>-0.25798690000000002</v>
      </c>
      <c r="U918">
        <v>0.16305539999999999</v>
      </c>
      <c r="V918">
        <v>7.7917879999999995E-2</v>
      </c>
      <c r="W918">
        <v>0.15209149999999999</v>
      </c>
      <c r="X918">
        <v>0.98529029999999995</v>
      </c>
      <c r="Y918">
        <v>0.25956449999999998</v>
      </c>
      <c r="Z918">
        <v>2.7968199999999999E-2</v>
      </c>
      <c r="AA918">
        <v>0.96532070000000003</v>
      </c>
      <c r="AB918">
        <v>34</v>
      </c>
      <c r="AC918">
        <v>-12.9347999999999</v>
      </c>
      <c r="AD918">
        <v>-1.0969213792300001</v>
      </c>
      <c r="AE918">
        <v>0.75920000000002097</v>
      </c>
      <c r="AF918">
        <v>3.4399065461914802</v>
      </c>
      <c r="AG918">
        <v>-1.0969213792300001</v>
      </c>
      <c r="AH918">
        <v>12.396436238112299</v>
      </c>
      <c r="AI918">
        <v>94.873533535974403</v>
      </c>
      <c r="AJ918">
        <v>74.491113980859595</v>
      </c>
      <c r="AK918">
        <v>12.9115384429714</v>
      </c>
      <c r="AL918">
        <v>81.251848433681403</v>
      </c>
      <c r="AM918">
        <v>85.478394558875195</v>
      </c>
      <c r="AN918">
        <v>0.99999999783501703</v>
      </c>
    </row>
    <row r="919" spans="1:40" x14ac:dyDescent="0.3">
      <c r="A919" t="str">
        <f>"20200111150740352"</f>
        <v>20200111150740352</v>
      </c>
      <c r="B919" t="str">
        <f>"1578726460342010"</f>
        <v>1578726460342010</v>
      </c>
      <c r="C919" t="s">
        <v>40</v>
      </c>
      <c r="D919">
        <v>5.2677339999999999</v>
      </c>
      <c r="E919">
        <v>0.56037879999999995</v>
      </c>
      <c r="F919" t="s">
        <v>55</v>
      </c>
      <c r="G919">
        <v>-219.9735</v>
      </c>
      <c r="H919" s="1">
        <v>-1.5508879999999999E-6</v>
      </c>
      <c r="I919">
        <v>285.36950000000002</v>
      </c>
      <c r="J919">
        <v>-207.11170000000001</v>
      </c>
      <c r="K919">
        <v>1.097653</v>
      </c>
      <c r="L919">
        <v>284.5317</v>
      </c>
      <c r="M919">
        <v>-0.97998859999999999</v>
      </c>
      <c r="N919">
        <v>0</v>
      </c>
      <c r="O919">
        <v>-0.1984351</v>
      </c>
      <c r="P919">
        <v>-0.98208300000000004</v>
      </c>
      <c r="Q919">
        <v>0.1396269</v>
      </c>
      <c r="R919">
        <v>-0.1265597</v>
      </c>
      <c r="S919">
        <v>-3.1205289999999999</v>
      </c>
      <c r="T919">
        <v>-0.25899610000000001</v>
      </c>
      <c r="U919">
        <v>0.182251</v>
      </c>
      <c r="V919">
        <v>7.5465359999999995E-2</v>
      </c>
      <c r="W919">
        <v>0.15291009999999999</v>
      </c>
      <c r="X919">
        <v>0.98535450000000002</v>
      </c>
      <c r="Y919">
        <v>0.25371949999999999</v>
      </c>
      <c r="Z919">
        <v>2.6872670000000001E-2</v>
      </c>
      <c r="AA919">
        <v>0.96690449999999994</v>
      </c>
      <c r="AB919">
        <v>34</v>
      </c>
      <c r="AC919">
        <v>-12.861799999999899</v>
      </c>
      <c r="AD919">
        <v>-1.097654550888</v>
      </c>
      <c r="AE919">
        <v>0.83780000000001498</v>
      </c>
      <c r="AF919">
        <v>3.3493902369748398</v>
      </c>
      <c r="AG919">
        <v>-1.097654550888</v>
      </c>
      <c r="AH919">
        <v>12.3501281524441</v>
      </c>
      <c r="AI919">
        <v>94.902794581431706</v>
      </c>
      <c r="AJ919">
        <v>74.826207651763198</v>
      </c>
      <c r="AK919">
        <v>12.843244366374901</v>
      </c>
      <c r="AL919">
        <v>81.204391077200398</v>
      </c>
      <c r="AM919">
        <v>85.620436794367805</v>
      </c>
      <c r="AN919">
        <v>1.00000000495609</v>
      </c>
    </row>
    <row r="920" spans="1:40" x14ac:dyDescent="0.3">
      <c r="A920" t="str">
        <f>"20200111150740374"</f>
        <v>20200111150740374</v>
      </c>
      <c r="B920" t="str">
        <f>"1578726460361530"</f>
        <v>1578726460361530</v>
      </c>
      <c r="C920" t="s">
        <v>40</v>
      </c>
      <c r="D920">
        <v>5.3508879999999897</v>
      </c>
      <c r="E920">
        <v>0.56010340000000003</v>
      </c>
      <c r="F920" t="s">
        <v>55</v>
      </c>
      <c r="G920">
        <v>-219.3511</v>
      </c>
      <c r="H920" s="1">
        <v>3.439421E-6</v>
      </c>
      <c r="I920">
        <v>284.98849999999999</v>
      </c>
      <c r="J920">
        <v>-207.43170000000001</v>
      </c>
      <c r="K920">
        <v>1.0984</v>
      </c>
      <c r="L920">
        <v>284.47550000000001</v>
      </c>
      <c r="M920">
        <v>-0.98195049999999995</v>
      </c>
      <c r="N920">
        <v>0</v>
      </c>
      <c r="O920">
        <v>-0.18849869999999999</v>
      </c>
      <c r="P920">
        <v>-0.98296150000000004</v>
      </c>
      <c r="Q920">
        <v>0.139298799999999</v>
      </c>
      <c r="R920">
        <v>-0.1199274</v>
      </c>
      <c r="S920">
        <v>-3.1093289999999998</v>
      </c>
      <c r="T920">
        <v>-0.27884890000000001</v>
      </c>
      <c r="U920">
        <v>0.1160583</v>
      </c>
      <c r="V920">
        <v>7.1853410000000006E-2</v>
      </c>
      <c r="W920">
        <v>0.152677799999999</v>
      </c>
      <c r="X920">
        <v>0.98566050000000005</v>
      </c>
      <c r="Y920">
        <v>0.2233745</v>
      </c>
      <c r="Z920">
        <v>2.6798289999999999E-2</v>
      </c>
      <c r="AA920">
        <v>0.97436429999999996</v>
      </c>
      <c r="AB920">
        <v>34</v>
      </c>
      <c r="AC920">
        <v>-11.9193999999999</v>
      </c>
      <c r="AD920">
        <v>-1.098396560579</v>
      </c>
      <c r="AE920">
        <v>0.51299999999997603</v>
      </c>
      <c r="AF920">
        <v>2.72774299614774</v>
      </c>
      <c r="AG920">
        <v>-1.098396560579</v>
      </c>
      <c r="AH920">
        <v>11.511388695668799</v>
      </c>
      <c r="AI920">
        <v>95.304542212121206</v>
      </c>
      <c r="AJ920">
        <v>76.669052409855993</v>
      </c>
      <c r="AK920">
        <v>11.8810406345613</v>
      </c>
      <c r="AL920">
        <v>81.217859179135402</v>
      </c>
      <c r="AM920">
        <v>85.830585080957903</v>
      </c>
      <c r="AN920">
        <v>1.00000002220085</v>
      </c>
    </row>
    <row r="921" spans="1:40" x14ac:dyDescent="0.3">
      <c r="A921" t="str">
        <f>"20200111150740396"</f>
        <v>20200111150740396</v>
      </c>
      <c r="B921" t="str">
        <f>"1578726460391786"</f>
        <v>1578726460391786</v>
      </c>
      <c r="C921" t="s">
        <v>40</v>
      </c>
      <c r="D921">
        <v>5.3642519999999996</v>
      </c>
      <c r="E921">
        <v>0.55804569999999998</v>
      </c>
      <c r="F921" t="s">
        <v>55</v>
      </c>
      <c r="G921">
        <v>-220.50620000000001</v>
      </c>
      <c r="H921" s="1">
        <v>-1.2674210000000001E-6</v>
      </c>
      <c r="I921">
        <v>285.03289999999998</v>
      </c>
      <c r="J921">
        <v>-207.76830000000001</v>
      </c>
      <c r="K921">
        <v>1.099267</v>
      </c>
      <c r="L921">
        <v>284.41930000000002</v>
      </c>
      <c r="M921">
        <v>-0.98372599999999999</v>
      </c>
      <c r="N921">
        <v>0</v>
      </c>
      <c r="O921">
        <v>-0.17901449999999999</v>
      </c>
      <c r="P921">
        <v>-0.9838403</v>
      </c>
      <c r="Q921">
        <v>0.13633879999999901</v>
      </c>
      <c r="R921">
        <v>-0.11606080000000001</v>
      </c>
      <c r="S921">
        <v>-3.1051329999999999</v>
      </c>
      <c r="T921">
        <v>-0.2608644</v>
      </c>
      <c r="U921">
        <v>0.13238529999999901</v>
      </c>
      <c r="V921">
        <v>6.5885369999999999E-2</v>
      </c>
      <c r="W921">
        <v>0.14988080000000001</v>
      </c>
      <c r="X921">
        <v>0.98650640000000001</v>
      </c>
      <c r="Y921">
        <v>0.2193822</v>
      </c>
      <c r="Z921">
        <v>2.4155659999999999E-2</v>
      </c>
      <c r="AA921">
        <v>0.97533990000000004</v>
      </c>
      <c r="AB921">
        <v>34</v>
      </c>
      <c r="AC921">
        <v>-12.7378999999999</v>
      </c>
      <c r="AD921">
        <v>-1.0992682674209999</v>
      </c>
      <c r="AE921">
        <v>0.61359999999996195</v>
      </c>
      <c r="AF921">
        <v>2.8629522906341598</v>
      </c>
      <c r="AG921">
        <v>-1.0992682674209999</v>
      </c>
      <c r="AH921">
        <v>12.3306121398941</v>
      </c>
      <c r="AI921">
        <v>94.963088888559497</v>
      </c>
      <c r="AJ921">
        <v>76.928527175473704</v>
      </c>
      <c r="AK921">
        <v>12.706253668438601</v>
      </c>
      <c r="AL921">
        <v>81.379981248409607</v>
      </c>
      <c r="AM921">
        <v>86.179086168558797</v>
      </c>
      <c r="AN921">
        <v>1.00000000671481</v>
      </c>
    </row>
    <row r="922" spans="1:40" x14ac:dyDescent="0.3">
      <c r="A922" t="str">
        <f>"20200111150740418"</f>
        <v>20200111150740418</v>
      </c>
      <c r="B922" t="str">
        <f>"1578726460412282"</f>
        <v>1578726460412282</v>
      </c>
      <c r="C922" t="s">
        <v>40</v>
      </c>
      <c r="D922">
        <v>5.3212729999999997</v>
      </c>
      <c r="E922">
        <v>0.55704639999999905</v>
      </c>
      <c r="F922" t="s">
        <v>55</v>
      </c>
      <c r="G922">
        <v>-220.7715</v>
      </c>
      <c r="H922" s="1">
        <v>-1.1262600000000001E-6</v>
      </c>
      <c r="I922">
        <v>284.96170000000001</v>
      </c>
      <c r="J922">
        <v>-208.08760000000001</v>
      </c>
      <c r="K922">
        <v>1.1001529999999999</v>
      </c>
      <c r="L922">
        <v>284.36829999999998</v>
      </c>
      <c r="M922">
        <v>-0.98515109999999995</v>
      </c>
      <c r="N922">
        <v>0</v>
      </c>
      <c r="O922">
        <v>-0.1710091</v>
      </c>
      <c r="P922">
        <v>-0.98431409999999997</v>
      </c>
      <c r="Q922">
        <v>0.1349764</v>
      </c>
      <c r="R922">
        <v>-0.1136104</v>
      </c>
      <c r="S922">
        <v>-3.1008450000000001</v>
      </c>
      <c r="T922">
        <v>-0.26214159999999997</v>
      </c>
      <c r="U922">
        <v>0.12936400000000001</v>
      </c>
      <c r="V922">
        <v>5.9988310000000003E-2</v>
      </c>
      <c r="W922">
        <v>0.14866570000000001</v>
      </c>
      <c r="X922">
        <v>0.98706629999999995</v>
      </c>
      <c r="Y922">
        <v>0.2105921</v>
      </c>
      <c r="Z922">
        <v>2.3267739999999999E-2</v>
      </c>
      <c r="AA922">
        <v>0.97729710000000003</v>
      </c>
      <c r="AB922">
        <v>34</v>
      </c>
      <c r="AC922">
        <v>-12.6838999999999</v>
      </c>
      <c r="AD922">
        <v>-1.1001541262600001</v>
      </c>
      <c r="AE922">
        <v>0.59340000000003101</v>
      </c>
      <c r="AF922">
        <v>2.73345276937658</v>
      </c>
      <c r="AG922">
        <v>-1.1001541262600001</v>
      </c>
      <c r="AH922">
        <v>12.303169810381499</v>
      </c>
      <c r="AI922">
        <v>94.988811567407595</v>
      </c>
      <c r="AJ922">
        <v>77.473788304069302</v>
      </c>
      <c r="AK922">
        <v>12.651090487662399</v>
      </c>
      <c r="AL922">
        <v>81.450390023142106</v>
      </c>
      <c r="AM922">
        <v>86.522164015471503</v>
      </c>
      <c r="AN922">
        <v>0.99999998414441704</v>
      </c>
    </row>
    <row r="923" spans="1:40" x14ac:dyDescent="0.3">
      <c r="A923" t="str">
        <f>"20200111150740443"</f>
        <v>20200111150740443</v>
      </c>
      <c r="B923" t="str">
        <f>"1578726460431802"</f>
        <v>1578726460431802</v>
      </c>
      <c r="C923" t="s">
        <v>40</v>
      </c>
      <c r="D923">
        <v>5.3458410000000001</v>
      </c>
      <c r="E923">
        <v>0.55544340000000003</v>
      </c>
      <c r="F923" t="s">
        <v>55</v>
      </c>
      <c r="G923">
        <v>-220.4306</v>
      </c>
      <c r="H923" s="1">
        <v>-1.307662E-6</v>
      </c>
      <c r="I923">
        <v>284.88010000000003</v>
      </c>
      <c r="J923">
        <v>-208.4607</v>
      </c>
      <c r="K923">
        <v>1.1012580000000001</v>
      </c>
      <c r="L923">
        <v>284.31139999999999</v>
      </c>
      <c r="M923">
        <v>-0.98652399999999996</v>
      </c>
      <c r="N923">
        <v>0</v>
      </c>
      <c r="O923">
        <v>-0.16291749999999999</v>
      </c>
      <c r="P923">
        <v>-0.9846625</v>
      </c>
      <c r="Q923">
        <v>0.13614609999999999</v>
      </c>
      <c r="R923">
        <v>-0.1091058</v>
      </c>
      <c r="S923">
        <v>-3.1005250000000002</v>
      </c>
      <c r="T923">
        <v>-0.27635599999999999</v>
      </c>
      <c r="U923">
        <v>0.12853999999999999</v>
      </c>
      <c r="V923">
        <v>5.6006569999999999E-2</v>
      </c>
      <c r="W923">
        <v>0.149919</v>
      </c>
      <c r="X923">
        <v>0.98711070000000001</v>
      </c>
      <c r="Y923">
        <v>0.2022214</v>
      </c>
      <c r="Z923">
        <v>2.3441839999999999E-2</v>
      </c>
      <c r="AA923">
        <v>0.97905920000000002</v>
      </c>
      <c r="AB923">
        <v>34</v>
      </c>
      <c r="AC923">
        <v>-11.9698999999999</v>
      </c>
      <c r="AD923">
        <v>-1.1012593076620001</v>
      </c>
      <c r="AE923">
        <v>0.56870000000003496</v>
      </c>
      <c r="AF923">
        <v>2.4903967266009501</v>
      </c>
      <c r="AG923">
        <v>-1.1012593076620001</v>
      </c>
      <c r="AH923">
        <v>11.6191518742657</v>
      </c>
      <c r="AI923">
        <v>95.294753463425806</v>
      </c>
      <c r="AJ923">
        <v>77.902515671447205</v>
      </c>
      <c r="AK923">
        <v>11.933965736327099</v>
      </c>
      <c r="AL923">
        <v>81.377767376893601</v>
      </c>
      <c r="AM923">
        <v>86.752640480192895</v>
      </c>
      <c r="AN923">
        <v>0.99999998824932701</v>
      </c>
    </row>
    <row r="924" spans="1:40" x14ac:dyDescent="0.3">
      <c r="A924" t="str">
        <f>"20200111150740464"</f>
        <v>20200111150740464</v>
      </c>
      <c r="B924" t="str">
        <f>"1578726460452298"</f>
        <v>1578726460452298</v>
      </c>
      <c r="C924" t="s">
        <v>40</v>
      </c>
      <c r="D924">
        <v>5.2483019999999998</v>
      </c>
      <c r="E924">
        <v>0.55410360000000003</v>
      </c>
      <c r="F924" t="s">
        <v>55</v>
      </c>
      <c r="G924">
        <v>-220.84299999999999</v>
      </c>
      <c r="H924" s="1">
        <v>-1.0881579999999999E-6</v>
      </c>
      <c r="I924">
        <v>284.8177</v>
      </c>
      <c r="J924">
        <v>-208.77529999999999</v>
      </c>
      <c r="K924">
        <v>1.102195</v>
      </c>
      <c r="L924">
        <v>284.26510000000002</v>
      </c>
      <c r="M924">
        <v>-0.98747099999999999</v>
      </c>
      <c r="N924">
        <v>0</v>
      </c>
      <c r="O924">
        <v>-0.15708629999999901</v>
      </c>
      <c r="P924">
        <v>-0.98467610000000005</v>
      </c>
      <c r="Q924">
        <v>0.13754259999999999</v>
      </c>
      <c r="R924">
        <v>-0.1072145</v>
      </c>
      <c r="S924">
        <v>-3.098862</v>
      </c>
      <c r="T924">
        <v>-0.27560570000000001</v>
      </c>
      <c r="U924">
        <v>0.12670899999999999</v>
      </c>
      <c r="V924">
        <v>5.172877E-2</v>
      </c>
      <c r="W924">
        <v>0.15139629999999901</v>
      </c>
      <c r="X924">
        <v>0.98711870000000002</v>
      </c>
      <c r="Y924">
        <v>0.19593070000000001</v>
      </c>
      <c r="Z924">
        <v>2.2598750000000001E-2</v>
      </c>
      <c r="AA924">
        <v>0.98035729999999999</v>
      </c>
      <c r="AB924">
        <v>34</v>
      </c>
      <c r="AC924">
        <v>-12.0677</v>
      </c>
      <c r="AD924">
        <v>-1.102196088158</v>
      </c>
      <c r="AE924">
        <v>0.55259999999998399</v>
      </c>
      <c r="AF924">
        <v>2.4214638995901598</v>
      </c>
      <c r="AG924">
        <v>-1.102196088158</v>
      </c>
      <c r="AH924">
        <v>11.733353983408101</v>
      </c>
      <c r="AI924">
        <v>95.256318723126498</v>
      </c>
      <c r="AJ924">
        <v>78.339322764252699</v>
      </c>
      <c r="AK924">
        <v>12.031206063139599</v>
      </c>
      <c r="AL924">
        <v>81.292147290314702</v>
      </c>
      <c r="AM924">
        <v>87.000227425571595</v>
      </c>
      <c r="AN924">
        <v>1.00000001659454</v>
      </c>
    </row>
    <row r="925" spans="1:40" x14ac:dyDescent="0.3">
      <c r="A925" t="str">
        <f>"20200111150740487"</f>
        <v>20200111150740487</v>
      </c>
      <c r="B925" t="str">
        <f>"1578726460481578"</f>
        <v>1578726460481578</v>
      </c>
      <c r="C925" t="s">
        <v>40</v>
      </c>
      <c r="D925">
        <v>5.3361539999999996</v>
      </c>
      <c r="E925">
        <v>0.55285130000000005</v>
      </c>
      <c r="F925" t="s">
        <v>55</v>
      </c>
      <c r="G925">
        <v>-221.09280000000001</v>
      </c>
      <c r="H925" s="1">
        <v>-9.5524140000000002E-7</v>
      </c>
      <c r="I925">
        <v>284.74360000000001</v>
      </c>
      <c r="J925">
        <v>-209.13149999999999</v>
      </c>
      <c r="K925">
        <v>1.103172</v>
      </c>
      <c r="L925">
        <v>284.21429999999998</v>
      </c>
      <c r="M925">
        <v>-0.98835899999999999</v>
      </c>
      <c r="N925">
        <v>0</v>
      </c>
      <c r="O925">
        <v>-0.1514114</v>
      </c>
      <c r="P925">
        <v>-0.98483180000000003</v>
      </c>
      <c r="Q925">
        <v>0.13617589999999999</v>
      </c>
      <c r="R925">
        <v>-0.1075295</v>
      </c>
      <c r="S925">
        <v>-3.0985260000000001</v>
      </c>
      <c r="T925">
        <v>-0.27726200000000001</v>
      </c>
      <c r="U925">
        <v>0.1203613</v>
      </c>
      <c r="V925">
        <v>4.5388539999999998E-2</v>
      </c>
      <c r="W925">
        <v>0.15013299999999999</v>
      </c>
      <c r="X925">
        <v>0.98762340000000004</v>
      </c>
      <c r="Y925">
        <v>0.18832789999999999</v>
      </c>
      <c r="Z925">
        <v>2.189466E-2</v>
      </c>
      <c r="AA925">
        <v>0.98186209999999996</v>
      </c>
      <c r="AB925">
        <v>34</v>
      </c>
      <c r="AC925">
        <v>-11.9613</v>
      </c>
      <c r="AD925">
        <v>-1.10317295524139</v>
      </c>
      <c r="AE925">
        <v>0.52930000000003397</v>
      </c>
      <c r="AF925">
        <v>2.3148220336627601</v>
      </c>
      <c r="AG925">
        <v>-1.10317295524139</v>
      </c>
      <c r="AH925">
        <v>11.6443600800922</v>
      </c>
      <c r="AI925">
        <v>95.308711852204098</v>
      </c>
      <c r="AJ925">
        <v>78.756556561665306</v>
      </c>
      <c r="AK925">
        <v>11.923359983308</v>
      </c>
      <c r="AL925">
        <v>81.365365896857597</v>
      </c>
      <c r="AM925">
        <v>87.368690102002802</v>
      </c>
      <c r="AN925">
        <v>1.0000000087399401</v>
      </c>
    </row>
    <row r="926" spans="1:40" x14ac:dyDescent="0.3">
      <c r="A926" t="str">
        <f>"20200111150740506"</f>
        <v>20200111150740506</v>
      </c>
      <c r="B926" t="str">
        <f>"1578726460502074"</f>
        <v>1578726460502074</v>
      </c>
      <c r="C926" t="s">
        <v>40</v>
      </c>
      <c r="D926">
        <v>5.3324790000000002</v>
      </c>
      <c r="E926">
        <v>0.55194560000000004</v>
      </c>
      <c r="F926" t="s">
        <v>41</v>
      </c>
      <c r="G926">
        <v>-210.05709999999999</v>
      </c>
      <c r="H926">
        <v>1.0202450000000001</v>
      </c>
      <c r="I926">
        <v>284.24700000000001</v>
      </c>
      <c r="J926">
        <v>-209.42750000000001</v>
      </c>
      <c r="K926">
        <v>1.103936</v>
      </c>
      <c r="L926">
        <v>284.17309999999998</v>
      </c>
      <c r="M926">
        <v>-0.98896620000000002</v>
      </c>
      <c r="N926">
        <v>0</v>
      </c>
      <c r="O926">
        <v>-0.14740259999999999</v>
      </c>
      <c r="P926">
        <v>-0.98477380000000003</v>
      </c>
      <c r="Q926">
        <v>0.13420770000000001</v>
      </c>
      <c r="R926">
        <v>-0.1104945</v>
      </c>
      <c r="S926">
        <v>-3.096527</v>
      </c>
      <c r="T926">
        <v>-0.27743119999999999</v>
      </c>
      <c r="U926">
        <v>0.10943600000000001</v>
      </c>
      <c r="V926">
        <v>3.8136139999999999E-2</v>
      </c>
      <c r="W926">
        <v>0.14826489999999901</v>
      </c>
      <c r="X926">
        <v>0.98821210000000004</v>
      </c>
      <c r="Y926">
        <v>0.1809482</v>
      </c>
      <c r="Z926">
        <v>2.1236959999999999E-2</v>
      </c>
      <c r="AA926">
        <v>0.98326329999999995</v>
      </c>
      <c r="AB926">
        <v>34</v>
      </c>
      <c r="AC926">
        <v>-0.62959999999998195</v>
      </c>
      <c r="AD926">
        <v>-8.3690999999999904E-2</v>
      </c>
      <c r="AE926">
        <v>7.3900000000037297E-2</v>
      </c>
      <c r="AF926">
        <v>0.163065241440776</v>
      </c>
      <c r="AG926">
        <v>-8.3690999999999904E-2</v>
      </c>
      <c r="AH926">
        <v>0.60134569038022301</v>
      </c>
      <c r="AI926">
        <v>97.650292686640796</v>
      </c>
      <c r="AJ926">
        <v>74.828110276018506</v>
      </c>
      <c r="AK926">
        <v>0.62865817085758602</v>
      </c>
      <c r="AL926">
        <v>81.473611659259703</v>
      </c>
      <c r="AM926">
        <v>87.789992519686194</v>
      </c>
      <c r="AN926">
        <v>1.0000000001662499</v>
      </c>
    </row>
    <row r="927" spans="1:40" x14ac:dyDescent="0.3">
      <c r="A927" t="str">
        <f>"20200111150740529"</f>
        <v>20200111150740529</v>
      </c>
      <c r="B927" t="str">
        <f>"1578726460521595"</f>
        <v>1578726460521595</v>
      </c>
      <c r="C927" t="s">
        <v>40</v>
      </c>
      <c r="D927">
        <v>6.0157930000000004</v>
      </c>
      <c r="E927">
        <v>0.55126940000000002</v>
      </c>
      <c r="F927" t="s">
        <v>41</v>
      </c>
      <c r="G927">
        <v>-210.3503</v>
      </c>
      <c r="H927">
        <v>1.018332</v>
      </c>
      <c r="I927">
        <v>284.2013</v>
      </c>
      <c r="J927">
        <v>-209.75659999999999</v>
      </c>
      <c r="K927">
        <v>1.1047530000000001</v>
      </c>
      <c r="L927">
        <v>284.12819999999999</v>
      </c>
      <c r="M927">
        <v>-0.98951270000000002</v>
      </c>
      <c r="N927">
        <v>0</v>
      </c>
      <c r="O927">
        <v>-0.14369879999999999</v>
      </c>
      <c r="P927">
        <v>-0.98441730000000005</v>
      </c>
      <c r="Q927">
        <v>0.13431009999999999</v>
      </c>
      <c r="R927">
        <v>-0.11350440000000001</v>
      </c>
      <c r="S927">
        <v>-3.096085</v>
      </c>
      <c r="T927">
        <v>-0.28731440000000003</v>
      </c>
      <c r="U927">
        <v>9.3902589999999994E-2</v>
      </c>
      <c r="V927">
        <v>3.1114329999999999E-2</v>
      </c>
      <c r="W927">
        <v>0.14843229999999999</v>
      </c>
      <c r="X927">
        <v>0.98843300000000001</v>
      </c>
      <c r="Y927">
        <v>0.17229430000000001</v>
      </c>
      <c r="Z927">
        <v>2.1252839999999999E-2</v>
      </c>
      <c r="AA927">
        <v>0.98481629999999998</v>
      </c>
      <c r="AB927">
        <v>34</v>
      </c>
      <c r="AC927">
        <v>-0.593700000000012</v>
      </c>
      <c r="AD927">
        <v>-8.6420999999999998E-2</v>
      </c>
      <c r="AE927">
        <v>7.3100000000010795E-2</v>
      </c>
      <c r="AF927">
        <v>0.15444079514631701</v>
      </c>
      <c r="AG927">
        <v>-8.6420999999999998E-2</v>
      </c>
      <c r="AH927">
        <v>0.56523370234838199</v>
      </c>
      <c r="AI927">
        <v>98.389948492250994</v>
      </c>
      <c r="AJ927">
        <v>74.717886934644</v>
      </c>
      <c r="AK927">
        <v>0.59229189317167497</v>
      </c>
      <c r="AL927">
        <v>81.463913222504601</v>
      </c>
      <c r="AM927">
        <v>88.197013542178993</v>
      </c>
      <c r="AN927">
        <v>1.00000002235181</v>
      </c>
    </row>
    <row r="928" spans="1:40" x14ac:dyDescent="0.3">
      <c r="A928" t="str">
        <f>"20200111150740552"</f>
        <v>20200111150740552</v>
      </c>
      <c r="B928" t="str">
        <f>"1578726460542090"</f>
        <v>1578726460542090</v>
      </c>
      <c r="C928" t="s">
        <v>40</v>
      </c>
      <c r="D928">
        <v>5.381081</v>
      </c>
      <c r="E928">
        <v>0.54985130000000004</v>
      </c>
      <c r="F928" t="s">
        <v>41</v>
      </c>
      <c r="G928">
        <v>-210.64769999999999</v>
      </c>
      <c r="H928">
        <v>1.023093</v>
      </c>
      <c r="I928">
        <v>284.15140000000002</v>
      </c>
      <c r="J928">
        <v>-210.10390000000001</v>
      </c>
      <c r="K928">
        <v>1.1055969999999999</v>
      </c>
      <c r="L928">
        <v>284.08170000000001</v>
      </c>
      <c r="M928">
        <v>-0.98996649999999997</v>
      </c>
      <c r="N928">
        <v>0</v>
      </c>
      <c r="O928">
        <v>-0.14054829999999999</v>
      </c>
      <c r="P928">
        <v>-0.98376580000000002</v>
      </c>
      <c r="Q928">
        <v>0.13669809999999999</v>
      </c>
      <c r="R928">
        <v>-0.11626839999999999</v>
      </c>
      <c r="S928">
        <v>-3.095459</v>
      </c>
      <c r="T928">
        <v>-0.28368989999999999</v>
      </c>
      <c r="U928">
        <v>8.0291749999999995E-2</v>
      </c>
      <c r="V928">
        <v>2.4863779999999999E-2</v>
      </c>
      <c r="W928">
        <v>0.15084719999999999</v>
      </c>
      <c r="X928">
        <v>0.98824440000000002</v>
      </c>
      <c r="Y928">
        <v>0.1649109</v>
      </c>
      <c r="Z928">
        <v>2.036659E-2</v>
      </c>
      <c r="AA928">
        <v>0.98609820000000004</v>
      </c>
      <c r="AB928">
        <v>34</v>
      </c>
      <c r="AC928">
        <v>-0.54379999999997597</v>
      </c>
      <c r="AD928">
        <v>-8.2503999999999897E-2</v>
      </c>
      <c r="AE928">
        <v>6.97000000000116E-2</v>
      </c>
      <c r="AF928">
        <v>0.14222542294707399</v>
      </c>
      <c r="AG928">
        <v>-8.2503999999999897E-2</v>
      </c>
      <c r="AH928">
        <v>0.51689797028623097</v>
      </c>
      <c r="AI928">
        <v>98.748863718900495</v>
      </c>
      <c r="AJ928">
        <v>74.615661419769197</v>
      </c>
      <c r="AK928">
        <v>0.54241911160513101</v>
      </c>
      <c r="AL928">
        <v>81.323974128811599</v>
      </c>
      <c r="AM928">
        <v>88.5587682751963</v>
      </c>
      <c r="AN928">
        <v>1.0000000397175399</v>
      </c>
    </row>
    <row r="929" spans="1:40" x14ac:dyDescent="0.3">
      <c r="A929" t="str">
        <f>"20200111150740574"</f>
        <v>20200111150740574</v>
      </c>
      <c r="B929" t="str">
        <f>"1578726460572346"</f>
        <v>1578726460572346</v>
      </c>
      <c r="C929" t="s">
        <v>40</v>
      </c>
      <c r="D929">
        <v>5.1784160000000004</v>
      </c>
      <c r="E929">
        <v>0.54819209999999996</v>
      </c>
      <c r="F929" t="s">
        <v>41</v>
      </c>
      <c r="G929">
        <v>-210.9468</v>
      </c>
      <c r="H929">
        <v>1.0309250000000001</v>
      </c>
      <c r="I929">
        <v>284.09789999999998</v>
      </c>
      <c r="J929">
        <v>-210.4265</v>
      </c>
      <c r="K929">
        <v>1.1063670000000001</v>
      </c>
      <c r="L929">
        <v>284.03879999999998</v>
      </c>
      <c r="M929">
        <v>-0.99029120000000004</v>
      </c>
      <c r="N929">
        <v>0</v>
      </c>
      <c r="O929">
        <v>-0.13825190000000001</v>
      </c>
      <c r="P929">
        <v>-0.9828519</v>
      </c>
      <c r="Q929">
        <v>0.1384581</v>
      </c>
      <c r="R929">
        <v>-0.12178700000000001</v>
      </c>
      <c r="S929">
        <v>-3.0946039999999999</v>
      </c>
      <c r="T929">
        <v>-0.27425620000000001</v>
      </c>
      <c r="U929">
        <v>5.911255E-2</v>
      </c>
      <c r="V929">
        <v>1.6718469999999999E-2</v>
      </c>
      <c r="W929">
        <v>0.15264049999999901</v>
      </c>
      <c r="X929">
        <v>0.98814029999999997</v>
      </c>
      <c r="Y929">
        <v>0.156005</v>
      </c>
      <c r="Z929">
        <v>1.910187E-2</v>
      </c>
      <c r="AA929">
        <v>0.98757150000000005</v>
      </c>
      <c r="AB929">
        <v>33</v>
      </c>
      <c r="AC929">
        <v>-0.52029999999999099</v>
      </c>
      <c r="AD929">
        <v>-7.5441999999999995E-2</v>
      </c>
      <c r="AE929">
        <v>5.9100000000000798E-2</v>
      </c>
      <c r="AF929">
        <v>0.12781929441280199</v>
      </c>
      <c r="AG929">
        <v>-7.5441999999999995E-2</v>
      </c>
      <c r="AH929">
        <v>0.49681886187486002</v>
      </c>
      <c r="AI929">
        <v>98.366011356721202</v>
      </c>
      <c r="AJ929">
        <v>75.572101466380303</v>
      </c>
      <c r="AK929">
        <v>0.518515427834908</v>
      </c>
      <c r="AL929">
        <v>81.220020939560698</v>
      </c>
      <c r="AM929">
        <v>89.030697983856399</v>
      </c>
      <c r="AN929">
        <v>0.99999994098173794</v>
      </c>
    </row>
    <row r="930" spans="1:40" x14ac:dyDescent="0.3">
      <c r="A930" t="str">
        <f>"20200111150740596"</f>
        <v>20200111150740596</v>
      </c>
      <c r="B930" t="str">
        <f>"1578726460591866"</f>
        <v>1578726460591866</v>
      </c>
      <c r="C930" t="s">
        <v>40</v>
      </c>
      <c r="D930">
        <v>5.4785199999999996</v>
      </c>
      <c r="E930">
        <v>0.51428160000000001</v>
      </c>
      <c r="F930" t="s">
        <v>41</v>
      </c>
      <c r="G930">
        <v>-211.24160000000001</v>
      </c>
      <c r="H930">
        <v>1.033121</v>
      </c>
      <c r="I930">
        <v>284.04599999999999</v>
      </c>
      <c r="J930">
        <v>-210.7543</v>
      </c>
      <c r="K930">
        <v>1.1071120000000001</v>
      </c>
      <c r="L930">
        <v>283.99540000000002</v>
      </c>
      <c r="M930">
        <v>-0.99053480000000005</v>
      </c>
      <c r="N930">
        <v>0</v>
      </c>
      <c r="O930">
        <v>-0.13650290000000001</v>
      </c>
      <c r="P930">
        <v>-0.98180979999999995</v>
      </c>
      <c r="Q930">
        <v>0.1387071</v>
      </c>
      <c r="R930">
        <v>-0.12965199999999999</v>
      </c>
      <c r="S930">
        <v>-3.09491</v>
      </c>
      <c r="T930">
        <v>-0.278099599999999</v>
      </c>
      <c r="U930">
        <v>2.7221680000000002E-2</v>
      </c>
      <c r="V930">
        <v>6.7660309999999996E-3</v>
      </c>
      <c r="W930">
        <v>0.15291569999999999</v>
      </c>
      <c r="X930">
        <v>0.98821610000000004</v>
      </c>
      <c r="Y930">
        <v>0.14409649999999999</v>
      </c>
      <c r="Z930">
        <v>1.867603E-2</v>
      </c>
      <c r="AA930">
        <v>0.98938740000000003</v>
      </c>
      <c r="AB930">
        <v>33</v>
      </c>
      <c r="AC930">
        <v>-0.48730000000000401</v>
      </c>
      <c r="AD930">
        <v>-7.3991000000000098E-2</v>
      </c>
      <c r="AE930">
        <v>5.0599999999974402E-2</v>
      </c>
      <c r="AF930">
        <v>0.114049677011077</v>
      </c>
      <c r="AG930">
        <v>-7.3991000000000098E-2</v>
      </c>
      <c r="AH930">
        <v>0.46521879198033</v>
      </c>
      <c r="AI930">
        <v>98.781158057641704</v>
      </c>
      <c r="AJ930">
        <v>76.2254420074172</v>
      </c>
      <c r="AK930">
        <v>0.48467568674214401</v>
      </c>
      <c r="AL930">
        <v>81.204066583721698</v>
      </c>
      <c r="AM930">
        <v>89.607718430269799</v>
      </c>
      <c r="AN930">
        <v>1.0000000253905901</v>
      </c>
    </row>
    <row r="931" spans="1:40" x14ac:dyDescent="0.3">
      <c r="A931" t="str">
        <f>"20200111150740619"</f>
        <v>20200111150740619</v>
      </c>
      <c r="B931" t="str">
        <f>"1578726460612364"</f>
        <v>1578726460612364</v>
      </c>
      <c r="C931" t="s">
        <v>40</v>
      </c>
      <c r="D931">
        <v>5.5106289999999998</v>
      </c>
      <c r="E931">
        <v>0.52709419999999996</v>
      </c>
      <c r="F931" t="s">
        <v>45</v>
      </c>
      <c r="G931">
        <v>-234.19739999999999</v>
      </c>
      <c r="H931">
        <v>8.9586609999999993</v>
      </c>
      <c r="I931">
        <v>281.70139999999998</v>
      </c>
      <c r="J931">
        <v>-211.09200000000001</v>
      </c>
      <c r="K931">
        <v>1.107842</v>
      </c>
      <c r="L931">
        <v>283.95069999999998</v>
      </c>
      <c r="M931">
        <v>-0.99070210000000003</v>
      </c>
      <c r="N931">
        <v>0</v>
      </c>
      <c r="O931">
        <v>-0.1352911</v>
      </c>
      <c r="P931">
        <v>-0.98123760000000004</v>
      </c>
      <c r="Q931">
        <v>0.1365044</v>
      </c>
      <c r="R931">
        <v>-0.13615959999999999</v>
      </c>
      <c r="S931">
        <v>-2.8819889999999999</v>
      </c>
      <c r="T931">
        <v>0.96524140000000003</v>
      </c>
      <c r="U931">
        <v>-0.28201290000000001</v>
      </c>
      <c r="V931">
        <v>-1.250428E-3</v>
      </c>
      <c r="W931">
        <v>0.150702</v>
      </c>
      <c r="X931">
        <v>0.98857839999999997</v>
      </c>
      <c r="Y931">
        <v>2.9328420000000001E-2</v>
      </c>
      <c r="Z931">
        <v>-4.8610899999999999E-2</v>
      </c>
      <c r="AA931">
        <v>0.99838709999999997</v>
      </c>
      <c r="AB931">
        <v>33</v>
      </c>
      <c r="AC931">
        <v>-23.1053999999999</v>
      </c>
      <c r="AD931">
        <v>7.8508189999999898</v>
      </c>
      <c r="AE931">
        <v>-2.2492999999999999</v>
      </c>
      <c r="AF931">
        <v>0.80553339130013901</v>
      </c>
      <c r="AG931">
        <v>7.8508189999999898</v>
      </c>
      <c r="AH931">
        <v>20.816510412662701</v>
      </c>
      <c r="AI931">
        <v>69.350490484310299</v>
      </c>
      <c r="AJ931">
        <v>87.783939488562396</v>
      </c>
      <c r="AK931">
        <v>22.262330263828002</v>
      </c>
      <c r="AL931">
        <v>81.332388937937495</v>
      </c>
      <c r="AM931">
        <v>90.072471954451899</v>
      </c>
      <c r="AN931">
        <v>0.99999995466036995</v>
      </c>
    </row>
    <row r="932" spans="1:40" x14ac:dyDescent="0.3">
      <c r="A932" t="str">
        <f>"20200111150740642"</f>
        <v>20200111150740642</v>
      </c>
      <c r="B932" t="str">
        <f>"1578726460631882"</f>
        <v>1578726460631882</v>
      </c>
      <c r="C932" t="s">
        <v>40</v>
      </c>
      <c r="D932">
        <v>5.3580779999999999</v>
      </c>
      <c r="E932">
        <v>0.54766419999999905</v>
      </c>
      <c r="F932" t="s">
        <v>57</v>
      </c>
      <c r="G932">
        <v>-512.85720000000003</v>
      </c>
      <c r="H932">
        <v>96.773049999999998</v>
      </c>
      <c r="I932">
        <v>263.30340000000001</v>
      </c>
      <c r="J932">
        <v>-211.422</v>
      </c>
      <c r="K932">
        <v>1.1084909999999999</v>
      </c>
      <c r="L932">
        <v>283.90679999999998</v>
      </c>
      <c r="M932">
        <v>-0.99078569999999999</v>
      </c>
      <c r="N932">
        <v>0</v>
      </c>
      <c r="O932">
        <v>-0.13468440000000001</v>
      </c>
      <c r="P932">
        <v>-0.98091830000000002</v>
      </c>
      <c r="Q932">
        <v>0.13468529999999901</v>
      </c>
      <c r="R932">
        <v>-0.1402109</v>
      </c>
      <c r="S932">
        <v>-2.9018250000000001</v>
      </c>
      <c r="T932">
        <v>0.91993259999999999</v>
      </c>
      <c r="U932">
        <v>-0.19854740000000001</v>
      </c>
      <c r="V932">
        <v>-6.1583849999999997E-3</v>
      </c>
      <c r="W932">
        <v>0.14884069999999999</v>
      </c>
      <c r="X932">
        <v>0.988842</v>
      </c>
      <c r="Y932">
        <v>5.7417009999999997E-2</v>
      </c>
      <c r="Z932">
        <v>-5.0363810000000002E-2</v>
      </c>
      <c r="AA932">
        <v>0.9970791</v>
      </c>
      <c r="AB932">
        <v>33</v>
      </c>
      <c r="AC932">
        <v>-301.43520000000001</v>
      </c>
      <c r="AD932">
        <v>95.664558999999997</v>
      </c>
      <c r="AE932">
        <v>-20.603399999999901</v>
      </c>
      <c r="AF932">
        <v>18.347737804307499</v>
      </c>
      <c r="AG932">
        <v>95.664558999999997</v>
      </c>
      <c r="AH932">
        <v>273.99501046482101</v>
      </c>
      <c r="AI932">
        <v>70.793354843642504</v>
      </c>
      <c r="AJ932">
        <v>86.1689782754585</v>
      </c>
      <c r="AK932">
        <v>290.79479550159999</v>
      </c>
      <c r="AL932">
        <v>81.440250505547098</v>
      </c>
      <c r="AM932">
        <v>90.356826376001905</v>
      </c>
      <c r="AN932">
        <v>0.99999999032314901</v>
      </c>
    </row>
    <row r="933" spans="1:40" x14ac:dyDescent="0.3">
      <c r="A933" t="str">
        <f>"20200111150740665"</f>
        <v>20200111150740665</v>
      </c>
      <c r="B933" t="str">
        <f>"1578726460662138"</f>
        <v>1578726460662138</v>
      </c>
      <c r="C933" t="s">
        <v>40</v>
      </c>
      <c r="D933">
        <v>5.3774649999999999</v>
      </c>
      <c r="E933">
        <v>0.54735519999999904</v>
      </c>
      <c r="F933" t="s">
        <v>41</v>
      </c>
      <c r="G933">
        <v>-212.4196</v>
      </c>
      <c r="H933">
        <v>1.0219400000000001</v>
      </c>
      <c r="I933">
        <v>283.89429999999999</v>
      </c>
      <c r="J933">
        <v>-211.7689</v>
      </c>
      <c r="K933">
        <v>1.109102</v>
      </c>
      <c r="L933">
        <v>283.86040000000003</v>
      </c>
      <c r="M933">
        <v>-0.99080369999999995</v>
      </c>
      <c r="N933">
        <v>0</v>
      </c>
      <c r="O933">
        <v>-0.1345594</v>
      </c>
      <c r="P933">
        <v>-0.98076470000000004</v>
      </c>
      <c r="Q933">
        <v>0.13452900000000001</v>
      </c>
      <c r="R933">
        <v>-0.14143159999999999</v>
      </c>
      <c r="S933">
        <v>-3.089569</v>
      </c>
      <c r="T933">
        <v>-0.26809050000000001</v>
      </c>
      <c r="U933">
        <v>-3.9031980000000001E-2</v>
      </c>
      <c r="V933">
        <v>-7.7302029999999997E-3</v>
      </c>
      <c r="W933">
        <v>0.1486191</v>
      </c>
      <c r="X933">
        <v>0.98886430000000003</v>
      </c>
      <c r="Y933">
        <v>0.1210869</v>
      </c>
      <c r="Z933">
        <v>1.6869229999999999E-2</v>
      </c>
      <c r="AA933">
        <v>0.99249860000000001</v>
      </c>
      <c r="AB933">
        <v>33</v>
      </c>
      <c r="AC933">
        <v>-0.65069999999999995</v>
      </c>
      <c r="AD933">
        <v>-8.7161999999999906E-2</v>
      </c>
      <c r="AE933">
        <v>3.3899999999959997E-2</v>
      </c>
      <c r="AF933">
        <v>0.119028339067782</v>
      </c>
      <c r="AG933">
        <v>-8.7161999999999906E-2</v>
      </c>
      <c r="AH933">
        <v>0.62896410842402595</v>
      </c>
      <c r="AI933">
        <v>97.753904468136795</v>
      </c>
      <c r="AJ933">
        <v>79.283787465349505</v>
      </c>
      <c r="AK933">
        <v>0.64603468129107799</v>
      </c>
      <c r="AL933">
        <v>81.453090123007698</v>
      </c>
      <c r="AM933">
        <v>90.447886514918807</v>
      </c>
      <c r="AN933">
        <v>0.99999999836886</v>
      </c>
    </row>
    <row r="934" spans="1:40" x14ac:dyDescent="0.3">
      <c r="A934" t="str">
        <f>"20200111150740686"</f>
        <v>20200111150740686</v>
      </c>
      <c r="B934" t="str">
        <f>"1578726460681658"</f>
        <v>1578726460681658</v>
      </c>
      <c r="C934" t="s">
        <v>40</v>
      </c>
      <c r="D934">
        <v>5.3475609999999998</v>
      </c>
      <c r="E934">
        <v>0.54648169999999996</v>
      </c>
      <c r="F934" t="s">
        <v>41</v>
      </c>
      <c r="G934">
        <v>-212.71190000000001</v>
      </c>
      <c r="H934">
        <v>1.0191539999999999</v>
      </c>
      <c r="I934">
        <v>283.84660000000002</v>
      </c>
      <c r="J934">
        <v>-212.08619999999999</v>
      </c>
      <c r="K934">
        <v>1.1095889999999999</v>
      </c>
      <c r="L934">
        <v>283.81740000000002</v>
      </c>
      <c r="M934">
        <v>-0.99077280000000001</v>
      </c>
      <c r="N934">
        <v>0</v>
      </c>
      <c r="O934">
        <v>-0.13479089999999999</v>
      </c>
      <c r="P934">
        <v>-0.98059929999999995</v>
      </c>
      <c r="Q934">
        <v>0.13637969999999999</v>
      </c>
      <c r="R934">
        <v>-0.1408046</v>
      </c>
      <c r="S934">
        <v>-3.0927730000000002</v>
      </c>
      <c r="T934">
        <v>-0.29492459999999998</v>
      </c>
      <c r="U934">
        <v>-4.5288090000000003E-2</v>
      </c>
      <c r="V934">
        <v>-7.0629459999999996E-3</v>
      </c>
      <c r="W934">
        <v>0.15040599999999901</v>
      </c>
      <c r="X934">
        <v>0.98859909999999995</v>
      </c>
      <c r="Y934">
        <v>0.11913360000000001</v>
      </c>
      <c r="Z934">
        <v>1.8459550000000002E-2</v>
      </c>
      <c r="AA934">
        <v>0.99270659999999999</v>
      </c>
      <c r="AB934">
        <v>33</v>
      </c>
      <c r="AC934">
        <v>-0.62570000000002302</v>
      </c>
      <c r="AD934">
        <v>-9.0434999999999793E-2</v>
      </c>
      <c r="AE934">
        <v>2.9200000000002901E-2</v>
      </c>
      <c r="AF934">
        <v>0.11096751240104299</v>
      </c>
      <c r="AG934">
        <v>-9.0434999999999793E-2</v>
      </c>
      <c r="AH934">
        <v>0.60347323437992895</v>
      </c>
      <c r="AI934">
        <v>98.384261569432397</v>
      </c>
      <c r="AJ934">
        <v>79.580763520194296</v>
      </c>
      <c r="AK934">
        <v>0.62021949553883604</v>
      </c>
      <c r="AL934">
        <v>81.349544555308896</v>
      </c>
      <c r="AM934">
        <v>90.409336921009796</v>
      </c>
      <c r="AN934">
        <v>1.0000000152815001</v>
      </c>
    </row>
    <row r="935" spans="1:40" x14ac:dyDescent="0.3">
      <c r="A935" t="str">
        <f>"20200111150740708"</f>
        <v>20200111150740708</v>
      </c>
      <c r="B935" t="str">
        <f>"1578726460702154"</f>
        <v>1578726460702154</v>
      </c>
      <c r="C935" t="s">
        <v>40</v>
      </c>
      <c r="D935">
        <v>5.3837359999999999</v>
      </c>
      <c r="E935">
        <v>0.54619379999999995</v>
      </c>
      <c r="F935" t="s">
        <v>41</v>
      </c>
      <c r="G935">
        <v>-213.00579999999999</v>
      </c>
      <c r="H935">
        <v>1.019083</v>
      </c>
      <c r="I935">
        <v>283.80290000000002</v>
      </c>
      <c r="J935">
        <v>-212.40379999999999</v>
      </c>
      <c r="K935">
        <v>1.109996</v>
      </c>
      <c r="L935">
        <v>283.77409999999998</v>
      </c>
      <c r="M935">
        <v>-0.990703</v>
      </c>
      <c r="N935">
        <v>0</v>
      </c>
      <c r="O935">
        <v>-0.13530889999999901</v>
      </c>
      <c r="P935">
        <v>-0.98043100000000005</v>
      </c>
      <c r="Q935">
        <v>0.13892119999999999</v>
      </c>
      <c r="R935">
        <v>-0.13948450000000001</v>
      </c>
      <c r="S935">
        <v>-3.0947110000000002</v>
      </c>
      <c r="T935">
        <v>-0.30458639999999998</v>
      </c>
      <c r="U935">
        <v>-4.8797609999999998E-2</v>
      </c>
      <c r="V935">
        <v>-5.3986959999999997E-3</v>
      </c>
      <c r="W935">
        <v>0.15288840000000001</v>
      </c>
      <c r="X935">
        <v>0.98822869999999996</v>
      </c>
      <c r="Y935">
        <v>0.1184622</v>
      </c>
      <c r="Z935">
        <v>1.9066639999999999E-2</v>
      </c>
      <c r="AA935">
        <v>0.99277550000000003</v>
      </c>
      <c r="AB935">
        <v>33</v>
      </c>
      <c r="AC935">
        <v>-0.60200000000000298</v>
      </c>
      <c r="AD935">
        <v>-9.0912999999999994E-2</v>
      </c>
      <c r="AE935">
        <v>2.88000000000465E-2</v>
      </c>
      <c r="AF935">
        <v>0.10755187076049801</v>
      </c>
      <c r="AG935">
        <v>-9.0912999999999994E-2</v>
      </c>
      <c r="AH935">
        <v>0.57938178468283497</v>
      </c>
      <c r="AI935">
        <v>98.770340521920801</v>
      </c>
      <c r="AJ935">
        <v>79.483766375775602</v>
      </c>
      <c r="AK935">
        <v>0.596251482929267</v>
      </c>
      <c r="AL935">
        <v>81.205649021958095</v>
      </c>
      <c r="AM935">
        <v>90.313003881133994</v>
      </c>
      <c r="AN935">
        <v>0.99999998613837504</v>
      </c>
    </row>
    <row r="936" spans="1:40" x14ac:dyDescent="0.3">
      <c r="A936" t="str">
        <f>"20200111150740731"</f>
        <v>20200111150740731</v>
      </c>
      <c r="B936" t="str">
        <f>"1578726460721674"</f>
        <v>1578726460721674</v>
      </c>
      <c r="C936" t="s">
        <v>40</v>
      </c>
      <c r="D936">
        <v>5.5947139999999997</v>
      </c>
      <c r="E936">
        <v>0.54627190000000003</v>
      </c>
      <c r="F936" t="s">
        <v>41</v>
      </c>
      <c r="G936">
        <v>-213.30250000000001</v>
      </c>
      <c r="H936">
        <v>1.0248010000000001</v>
      </c>
      <c r="I936">
        <v>283.76060000000001</v>
      </c>
      <c r="J936">
        <v>-212.74629999999999</v>
      </c>
      <c r="K936">
        <v>1.1103559999999999</v>
      </c>
      <c r="L936">
        <v>283.7269</v>
      </c>
      <c r="M936">
        <v>-0.99059359999999996</v>
      </c>
      <c r="N936">
        <v>0</v>
      </c>
      <c r="O936">
        <v>-0.1361126</v>
      </c>
      <c r="P936">
        <v>-0.9802343</v>
      </c>
      <c r="Q936">
        <v>0.14073069999999999</v>
      </c>
      <c r="R936">
        <v>-0.13905239999999999</v>
      </c>
      <c r="S936">
        <v>-3.0948180000000001</v>
      </c>
      <c r="T936">
        <v>-0.29341339999999999</v>
      </c>
      <c r="U936">
        <v>-4.669189E-2</v>
      </c>
      <c r="V936">
        <v>-4.3207509999999899E-3</v>
      </c>
      <c r="W936">
        <v>0.154644899999999</v>
      </c>
      <c r="X936">
        <v>0.98796070000000002</v>
      </c>
      <c r="Y936">
        <v>0.12002060000000001</v>
      </c>
      <c r="Z936">
        <v>1.8519170000000001E-2</v>
      </c>
      <c r="AA936">
        <v>0.99259869999999994</v>
      </c>
      <c r="AB936">
        <v>33</v>
      </c>
      <c r="AC936">
        <v>-0.55620000000001801</v>
      </c>
      <c r="AD936">
        <v>-8.5554999999999798E-2</v>
      </c>
      <c r="AE936">
        <v>3.3700000000010201E-2</v>
      </c>
      <c r="AF936">
        <v>0.106586912661654</v>
      </c>
      <c r="AG936">
        <v>-8.5554999999999798E-2</v>
      </c>
      <c r="AH936">
        <v>0.53385007691291397</v>
      </c>
      <c r="AI936">
        <v>98.931468090289997</v>
      </c>
      <c r="AJ936">
        <v>78.7089645498735</v>
      </c>
      <c r="AK936">
        <v>0.55106835564716194</v>
      </c>
      <c r="AL936">
        <v>81.103798058423095</v>
      </c>
      <c r="AM936">
        <v>90.250575977675993</v>
      </c>
      <c r="AN936">
        <v>1.0000000293648501</v>
      </c>
    </row>
    <row r="937" spans="1:40" x14ac:dyDescent="0.3">
      <c r="A937" t="str">
        <f>"20200111150740753"</f>
        <v>20200111150740753</v>
      </c>
      <c r="B937" t="str">
        <f>"1578726460742170"</f>
        <v>1578726460742170</v>
      </c>
      <c r="C937" t="s">
        <v>40</v>
      </c>
      <c r="D937">
        <v>5.429945</v>
      </c>
      <c r="E937">
        <v>0.54600939999999998</v>
      </c>
      <c r="F937" t="s">
        <v>41</v>
      </c>
      <c r="G937">
        <v>-213.59909999999999</v>
      </c>
      <c r="H937">
        <v>1.031898</v>
      </c>
      <c r="I937">
        <v>283.71440000000001</v>
      </c>
      <c r="J937">
        <v>-213.06950000000001</v>
      </c>
      <c r="K937">
        <v>1.110619</v>
      </c>
      <c r="L937">
        <v>283.68189999999998</v>
      </c>
      <c r="M937">
        <v>-0.99046920000000005</v>
      </c>
      <c r="N937">
        <v>0</v>
      </c>
      <c r="O937">
        <v>-0.137019</v>
      </c>
      <c r="P937">
        <v>-0.97978960000000004</v>
      </c>
      <c r="Q937">
        <v>0.1423712</v>
      </c>
      <c r="R937">
        <v>-0.14051060000000001</v>
      </c>
      <c r="S937">
        <v>-3.0949550000000001</v>
      </c>
      <c r="T937">
        <v>-0.28464699999999998</v>
      </c>
      <c r="U937">
        <v>-4.4952390000000002E-2</v>
      </c>
      <c r="V937">
        <v>-5.0181089999999998E-3</v>
      </c>
      <c r="W937">
        <v>0.156241299999999</v>
      </c>
      <c r="X937">
        <v>0.98770619999999998</v>
      </c>
      <c r="Y937">
        <v>0.1215444</v>
      </c>
      <c r="Z937">
        <v>1.8120109999999998E-2</v>
      </c>
      <c r="AA937">
        <v>0.99242059999999999</v>
      </c>
      <c r="AB937">
        <v>33</v>
      </c>
      <c r="AC937">
        <v>-0.52959999999998697</v>
      </c>
      <c r="AD937">
        <v>-7.8720999999999999E-2</v>
      </c>
      <c r="AE937">
        <v>3.2500000000027202E-2</v>
      </c>
      <c r="AF937">
        <v>0.102509405912692</v>
      </c>
      <c r="AG937">
        <v>-7.8720999999999999E-2</v>
      </c>
      <c r="AH937">
        <v>0.50894770886783802</v>
      </c>
      <c r="AI937">
        <v>98.622024402003504</v>
      </c>
      <c r="AJ937">
        <v>78.612165583369901</v>
      </c>
      <c r="AK937">
        <v>0.52510279422546902</v>
      </c>
      <c r="AL937">
        <v>81.011205610794903</v>
      </c>
      <c r="AM937">
        <v>90.291092627611604</v>
      </c>
      <c r="AN937">
        <v>1.00000003138103</v>
      </c>
    </row>
    <row r="938" spans="1:40" x14ac:dyDescent="0.3">
      <c r="A938" t="str">
        <f>"20200111150740786"</f>
        <v>20200111150740786</v>
      </c>
      <c r="B938" t="str">
        <f>"1578726460782186"</f>
        <v>1578726460782186</v>
      </c>
      <c r="C938" t="s">
        <v>40</v>
      </c>
      <c r="D938">
        <v>5.4332719999999997</v>
      </c>
      <c r="E938">
        <v>0.5479366</v>
      </c>
      <c r="F938" t="s">
        <v>41</v>
      </c>
      <c r="G938">
        <v>-213.89449999999999</v>
      </c>
      <c r="H938">
        <v>1.0370140000000001</v>
      </c>
      <c r="I938">
        <v>283.66849999999999</v>
      </c>
      <c r="J938">
        <v>-213.5437</v>
      </c>
      <c r="K938">
        <v>1.1108750000000001</v>
      </c>
      <c r="L938">
        <v>283.61489999999998</v>
      </c>
      <c r="M938">
        <v>-0.99026899999999995</v>
      </c>
      <c r="N938">
        <v>0</v>
      </c>
      <c r="O938">
        <v>-0.1384619</v>
      </c>
      <c r="P938">
        <v>-0.97952859999999997</v>
      </c>
      <c r="Q938">
        <v>0.1410295</v>
      </c>
      <c r="R938">
        <v>-0.14364669999999999</v>
      </c>
      <c r="S938">
        <v>-3.0947719999999999</v>
      </c>
      <c r="T938">
        <v>-0.27629480000000001</v>
      </c>
      <c r="U938">
        <v>-5.059814E-2</v>
      </c>
      <c r="V938">
        <v>-6.8163829999999996E-3</v>
      </c>
      <c r="W938">
        <v>0.1548494</v>
      </c>
      <c r="X938">
        <v>0.98791459999999998</v>
      </c>
      <c r="Y938">
        <v>0.1212377</v>
      </c>
      <c r="Z938">
        <v>1.7704870000000001E-2</v>
      </c>
      <c r="AA938">
        <v>0.99246559999999995</v>
      </c>
      <c r="AB938">
        <v>33</v>
      </c>
      <c r="AC938">
        <v>-0.35079999999999201</v>
      </c>
      <c r="AD938">
        <v>-7.3861000000000093E-2</v>
      </c>
      <c r="AE938">
        <v>5.3600000000017099E-2</v>
      </c>
      <c r="AF938">
        <v>9.7439705381414499E-2</v>
      </c>
      <c r="AG938">
        <v>-7.3861000000000093E-2</v>
      </c>
      <c r="AH938">
        <v>0.32588089246306701</v>
      </c>
      <c r="AI938">
        <v>102.251628304997</v>
      </c>
      <c r="AJ938">
        <v>73.353122360176798</v>
      </c>
      <c r="AK938">
        <v>0.34806364299987103</v>
      </c>
      <c r="AL938">
        <v>81.091938200047196</v>
      </c>
      <c r="AM938">
        <v>90.395321397221693</v>
      </c>
      <c r="AN938">
        <v>1.0000000283253601</v>
      </c>
    </row>
    <row r="939" spans="1:40" x14ac:dyDescent="0.3">
      <c r="A939" t="str">
        <f>"20200111150740808"</f>
        <v>20200111150740808</v>
      </c>
      <c r="B939" t="str">
        <f>"1578726460801706"</f>
        <v>1578726460801706</v>
      </c>
      <c r="C939" t="s">
        <v>40</v>
      </c>
      <c r="D939">
        <v>5.3863310000000002</v>
      </c>
      <c r="E939">
        <v>0.54874279999999998</v>
      </c>
      <c r="F939" t="s">
        <v>41</v>
      </c>
      <c r="G939">
        <v>-214.48099999999999</v>
      </c>
      <c r="H939">
        <v>1.0325329999999999</v>
      </c>
      <c r="I939">
        <v>283.60180000000003</v>
      </c>
      <c r="J939">
        <v>-213.88059999999999</v>
      </c>
      <c r="K939">
        <v>1.1109599999999999</v>
      </c>
      <c r="L939">
        <v>283.56689999999998</v>
      </c>
      <c r="M939">
        <v>-0.99012540000000004</v>
      </c>
      <c r="N939">
        <v>0</v>
      </c>
      <c r="O939">
        <v>-0.13948949999999999</v>
      </c>
      <c r="P939">
        <v>-0.9800027</v>
      </c>
      <c r="Q939">
        <v>0.1370622</v>
      </c>
      <c r="R939">
        <v>-0.14425289999999999</v>
      </c>
      <c r="S939">
        <v>-3.0934599999999999</v>
      </c>
      <c r="T939">
        <v>-0.25878299999999999</v>
      </c>
      <c r="U939">
        <v>-4.4250490000000003E-2</v>
      </c>
      <c r="V939">
        <v>-6.3563409999999997E-3</v>
      </c>
      <c r="W939">
        <v>0.15085989999999999</v>
      </c>
      <c r="X939">
        <v>0.98853469999999999</v>
      </c>
      <c r="Y939">
        <v>0.1244069</v>
      </c>
      <c r="Z939">
        <v>1.6811900000000001E-2</v>
      </c>
      <c r="AA939">
        <v>0.99208890000000005</v>
      </c>
      <c r="AB939">
        <v>33</v>
      </c>
      <c r="AC939">
        <v>-0.60040000000000704</v>
      </c>
      <c r="AD939">
        <v>-7.8426999999999997E-2</v>
      </c>
      <c r="AE939">
        <v>3.4900000000050099E-2</v>
      </c>
      <c r="AF939">
        <v>0.11633800608476701</v>
      </c>
      <c r="AG939">
        <v>-7.8426999999999997E-2</v>
      </c>
      <c r="AH939">
        <v>0.57980071736702898</v>
      </c>
      <c r="AI939">
        <v>97.554596868303605</v>
      </c>
      <c r="AJ939">
        <v>78.654167895097899</v>
      </c>
      <c r="AK939">
        <v>0.59653516061343903</v>
      </c>
      <c r="AL939">
        <v>81.323237551174898</v>
      </c>
      <c r="AM939">
        <v>90.368410429413601</v>
      </c>
      <c r="AN939">
        <v>0.99999998280150304</v>
      </c>
    </row>
    <row r="940" spans="1:40" x14ac:dyDescent="0.3">
      <c r="A940" t="str">
        <f>"20200111150740831"</f>
        <v>20200111150740831</v>
      </c>
      <c r="B940" t="str">
        <f>"1578726460822202"</f>
        <v>1578726460822202</v>
      </c>
      <c r="C940" t="s">
        <v>40</v>
      </c>
      <c r="D940">
        <v>8.0825750000000003</v>
      </c>
      <c r="E940">
        <v>0.5492435</v>
      </c>
      <c r="F940" t="s">
        <v>41</v>
      </c>
      <c r="G940">
        <v>-214.77279999999999</v>
      </c>
      <c r="H940">
        <v>1.031755</v>
      </c>
      <c r="I940">
        <v>283.55549999999999</v>
      </c>
      <c r="J940">
        <v>-214.2244</v>
      </c>
      <c r="K940">
        <v>1.110978</v>
      </c>
      <c r="L940">
        <v>283.51749999999998</v>
      </c>
      <c r="M940">
        <v>-0.98998549999999996</v>
      </c>
      <c r="N940">
        <v>0</v>
      </c>
      <c r="O940">
        <v>-0.1404802</v>
      </c>
      <c r="P940">
        <v>-0.98081280000000004</v>
      </c>
      <c r="Q940">
        <v>0.13149549999999999</v>
      </c>
      <c r="R940">
        <v>-0.1439259</v>
      </c>
      <c r="S940">
        <v>-3.0938110000000001</v>
      </c>
      <c r="T940">
        <v>-0.27460230000000002</v>
      </c>
      <c r="U940">
        <v>-3.939819E-2</v>
      </c>
      <c r="V940">
        <v>-4.9336629999999996E-3</v>
      </c>
      <c r="W940">
        <v>0.14527970000000001</v>
      </c>
      <c r="X940">
        <v>0.98937830000000004</v>
      </c>
      <c r="Y940">
        <v>0.12682779999999999</v>
      </c>
      <c r="Z940">
        <v>1.802848E-2</v>
      </c>
      <c r="AA940">
        <v>0.99176089999999995</v>
      </c>
      <c r="AB940">
        <v>33</v>
      </c>
      <c r="AC940">
        <v>-0.54839999999998601</v>
      </c>
      <c r="AD940">
        <v>-7.9223000000000002E-2</v>
      </c>
      <c r="AE940">
        <v>3.80000000000109E-2</v>
      </c>
      <c r="AF940">
        <v>0.11233673038558201</v>
      </c>
      <c r="AG940">
        <v>-7.9223000000000002E-2</v>
      </c>
      <c r="AH940">
        <v>0.52668298169972805</v>
      </c>
      <c r="AI940">
        <v>98.368741591033995</v>
      </c>
      <c r="AJ940">
        <v>77.959745800279805</v>
      </c>
      <c r="AK940">
        <v>0.54432599417521799</v>
      </c>
      <c r="AL940">
        <v>81.646523473775602</v>
      </c>
      <c r="AM940">
        <v>90.285710455147296</v>
      </c>
      <c r="AN940">
        <v>0.99999997638678795</v>
      </c>
    </row>
    <row r="941" spans="1:40" x14ac:dyDescent="0.3">
      <c r="A941" t="str">
        <f>"20200111150740855"</f>
        <v>20200111150740855</v>
      </c>
      <c r="B941" t="str">
        <f>"1578726460851482"</f>
        <v>1578726460851482</v>
      </c>
      <c r="C941" t="s">
        <v>40</v>
      </c>
      <c r="D941">
        <v>5.3790930000000001</v>
      </c>
      <c r="E941">
        <v>0.56114010000000003</v>
      </c>
      <c r="F941" t="s">
        <v>41</v>
      </c>
      <c r="G941">
        <v>-215.0641</v>
      </c>
      <c r="H941">
        <v>1.0307219999999999</v>
      </c>
      <c r="I941">
        <v>283.50850000000003</v>
      </c>
      <c r="J941">
        <v>-214.5532</v>
      </c>
      <c r="K941">
        <v>1.110927</v>
      </c>
      <c r="L941">
        <v>283.47000000000003</v>
      </c>
      <c r="M941">
        <v>-0.98987069999999999</v>
      </c>
      <c r="N941">
        <v>0</v>
      </c>
      <c r="O941">
        <v>-0.14129040000000001</v>
      </c>
      <c r="P941">
        <v>-0.9815372</v>
      </c>
      <c r="Q941">
        <v>0.12686629999999999</v>
      </c>
      <c r="R941">
        <v>-0.14314189999999999</v>
      </c>
      <c r="S941">
        <v>-3.0934140000000001</v>
      </c>
      <c r="T941">
        <v>-0.29576970000000002</v>
      </c>
      <c r="U941">
        <v>-3.3599850000000001E-2</v>
      </c>
      <c r="V941">
        <v>-3.225665E-3</v>
      </c>
      <c r="W941">
        <v>0.1406406</v>
      </c>
      <c r="X941">
        <v>0.99005540000000003</v>
      </c>
      <c r="Y941">
        <v>0.1293134</v>
      </c>
      <c r="Z941">
        <v>1.9610450000000001E-2</v>
      </c>
      <c r="AA941">
        <v>0.99140980000000001</v>
      </c>
      <c r="AB941">
        <v>33</v>
      </c>
      <c r="AC941">
        <v>-0.51089999999999203</v>
      </c>
      <c r="AD941">
        <v>-8.0204999999999999E-2</v>
      </c>
      <c r="AE941">
        <v>3.8499999999999E-2</v>
      </c>
      <c r="AF941">
        <v>0.10766743887211699</v>
      </c>
      <c r="AG941">
        <v>-8.0204999999999999E-2</v>
      </c>
      <c r="AH941">
        <v>0.48836567715755502</v>
      </c>
      <c r="AI941">
        <v>99.111508619619499</v>
      </c>
      <c r="AJ941">
        <v>77.567182588859296</v>
      </c>
      <c r="AK941">
        <v>0.50648411035672003</v>
      </c>
      <c r="AL941">
        <v>81.915082811645902</v>
      </c>
      <c r="AM941">
        <v>90.186672722237404</v>
      </c>
      <c r="AN941">
        <v>0.99999993917610397</v>
      </c>
    </row>
    <row r="942" spans="1:40" x14ac:dyDescent="0.3">
      <c r="A942" t="str">
        <f>"20200111150740876"</f>
        <v>20200111150740876</v>
      </c>
      <c r="B942" t="str">
        <f>"1578726460871979"</f>
        <v>1578726460871979</v>
      </c>
      <c r="C942" t="s">
        <v>40</v>
      </c>
      <c r="D942">
        <v>5.3857429999999997</v>
      </c>
      <c r="E942">
        <v>0.56153850000000005</v>
      </c>
      <c r="F942" t="s">
        <v>41</v>
      </c>
      <c r="G942">
        <v>-215.35489999999999</v>
      </c>
      <c r="H942">
        <v>1.021137</v>
      </c>
      <c r="I942">
        <v>283.48669999999998</v>
      </c>
      <c r="J942">
        <v>-214.86</v>
      </c>
      <c r="K942">
        <v>1.1108199999999999</v>
      </c>
      <c r="L942">
        <v>283.42570000000001</v>
      </c>
      <c r="M942">
        <v>-0.9897899</v>
      </c>
      <c r="N942">
        <v>0</v>
      </c>
      <c r="O942">
        <v>-0.14185590000000001</v>
      </c>
      <c r="P942">
        <v>-0.98222350000000003</v>
      </c>
      <c r="Q942">
        <v>0.1231898</v>
      </c>
      <c r="R942">
        <v>-0.14163770000000001</v>
      </c>
      <c r="S942">
        <v>-3.1109010000000001</v>
      </c>
      <c r="T942">
        <v>-0.34834480000000001</v>
      </c>
      <c r="U942">
        <v>6.4819340000000003E-2</v>
      </c>
      <c r="V942">
        <v>-1.035205E-3</v>
      </c>
      <c r="W942">
        <v>0.13695579999999999</v>
      </c>
      <c r="X942">
        <v>0.99057660000000003</v>
      </c>
      <c r="Y942">
        <v>0.16057360000000001</v>
      </c>
      <c r="Z942">
        <v>2.4761390000000001E-2</v>
      </c>
      <c r="AA942">
        <v>0.98671319999999996</v>
      </c>
      <c r="AB942">
        <v>33</v>
      </c>
      <c r="AC942">
        <v>-0.49489999999997197</v>
      </c>
      <c r="AD942">
        <v>-8.9682999999999902E-2</v>
      </c>
      <c r="AE942">
        <v>6.0999999999978599E-2</v>
      </c>
      <c r="AF942">
        <v>0.12650226536453901</v>
      </c>
      <c r="AG942">
        <v>-8.9682999999999902E-2</v>
      </c>
      <c r="AH942">
        <v>0.46616119860316402</v>
      </c>
      <c r="AI942">
        <v>100.51839221182099</v>
      </c>
      <c r="AJ942">
        <v>74.817276853519004</v>
      </c>
      <c r="AK942">
        <v>0.491276018867702</v>
      </c>
      <c r="AL942">
        <v>82.128270283783195</v>
      </c>
      <c r="AM942">
        <v>90.059877101718598</v>
      </c>
      <c r="AN942">
        <v>0.99999998163529502</v>
      </c>
    </row>
    <row r="943" spans="1:40" x14ac:dyDescent="0.3">
      <c r="A943" t="str">
        <f>"20200111150740899"</f>
        <v>20200111150740899</v>
      </c>
      <c r="B943" t="str">
        <f>"1578726460892004"</f>
        <v>1578726460892004</v>
      </c>
      <c r="C943" t="s">
        <v>40</v>
      </c>
      <c r="D943">
        <v>5.4438209999999998</v>
      </c>
      <c r="E943">
        <v>0.56181680000000001</v>
      </c>
      <c r="F943" t="s">
        <v>41</v>
      </c>
      <c r="G943">
        <v>-215.64750000000001</v>
      </c>
      <c r="H943">
        <v>1.0217700000000001</v>
      </c>
      <c r="I943">
        <v>283.44459999999998</v>
      </c>
      <c r="J943">
        <v>-215.20050000000001</v>
      </c>
      <c r="K943">
        <v>1.1106640000000001</v>
      </c>
      <c r="L943">
        <v>283.37630000000001</v>
      </c>
      <c r="M943">
        <v>-0.98973449999999996</v>
      </c>
      <c r="N943">
        <v>0</v>
      </c>
      <c r="O943">
        <v>-0.14224400000000001</v>
      </c>
      <c r="P943">
        <v>-0.9826783</v>
      </c>
      <c r="Q943">
        <v>0.1217893</v>
      </c>
      <c r="R943">
        <v>-0.13968029999999901</v>
      </c>
      <c r="S943">
        <v>-3.1090849999999999</v>
      </c>
      <c r="T943">
        <v>-0.35176659999999998</v>
      </c>
      <c r="U943">
        <v>7.4096679999999998E-2</v>
      </c>
      <c r="V943">
        <v>1.41033E-3</v>
      </c>
      <c r="W943">
        <v>0.13554289999999999</v>
      </c>
      <c r="X943">
        <v>0.9907705</v>
      </c>
      <c r="Y943">
        <v>0.16385159999999999</v>
      </c>
      <c r="Z943">
        <v>2.5245900000000002E-2</v>
      </c>
      <c r="AA943">
        <v>0.98616190000000004</v>
      </c>
      <c r="AB943">
        <v>33</v>
      </c>
      <c r="AC943">
        <v>-0.44700000000000201</v>
      </c>
      <c r="AD943">
        <v>-8.8893999999999807E-2</v>
      </c>
      <c r="AE943">
        <v>6.8299999999965097E-2</v>
      </c>
      <c r="AF943">
        <v>0.12631302578091699</v>
      </c>
      <c r="AG943">
        <v>-8.8893999999999807E-2</v>
      </c>
      <c r="AH943">
        <v>0.41663624176264602</v>
      </c>
      <c r="AI943">
        <v>101.540237205433</v>
      </c>
      <c r="AJ943">
        <v>73.134092261633796</v>
      </c>
      <c r="AK943">
        <v>0.44434545307455697</v>
      </c>
      <c r="AL943">
        <v>82.209985870405006</v>
      </c>
      <c r="AM943">
        <v>89.918441352318396</v>
      </c>
      <c r="AN943">
        <v>1.00000002522068</v>
      </c>
    </row>
    <row r="944" spans="1:40" x14ac:dyDescent="0.3">
      <c r="A944" t="str">
        <f>"20200111150740921"</f>
        <v>20200111150740921</v>
      </c>
      <c r="B944" t="str">
        <f>"1578726460911525"</f>
        <v>1578726460911525</v>
      </c>
      <c r="C944" t="s">
        <v>40</v>
      </c>
      <c r="D944">
        <v>5.4039219999999997</v>
      </c>
      <c r="E944">
        <v>0.56033069999999996</v>
      </c>
      <c r="F944" t="s">
        <v>41</v>
      </c>
      <c r="G944">
        <v>-215.94069999999999</v>
      </c>
      <c r="H944">
        <v>1.0261819999999999</v>
      </c>
      <c r="I944">
        <v>283.39609999999999</v>
      </c>
      <c r="J944">
        <v>-215.518</v>
      </c>
      <c r="K944">
        <v>1.110487</v>
      </c>
      <c r="L944">
        <v>283.3306</v>
      </c>
      <c r="M944">
        <v>-0.98972599999999999</v>
      </c>
      <c r="N944">
        <v>0</v>
      </c>
      <c r="O944">
        <v>-0.14230519999999999</v>
      </c>
      <c r="P944">
        <v>-0.98312149999999998</v>
      </c>
      <c r="Q944">
        <v>0.1217797</v>
      </c>
      <c r="R944">
        <v>-0.1365362</v>
      </c>
      <c r="S944">
        <v>-3.1085820000000002</v>
      </c>
      <c r="T944">
        <v>-0.35491689999999998</v>
      </c>
      <c r="U944">
        <v>8.2519529999999994E-2</v>
      </c>
      <c r="V944">
        <v>4.7109209999999999E-3</v>
      </c>
      <c r="W944">
        <v>0.13552069999999999</v>
      </c>
      <c r="X944">
        <v>0.99076330000000001</v>
      </c>
      <c r="Y944">
        <v>0.16653280000000001</v>
      </c>
      <c r="Z944">
        <v>2.5634009999999999E-2</v>
      </c>
      <c r="AA944">
        <v>0.98570259999999998</v>
      </c>
      <c r="AB944">
        <v>33</v>
      </c>
      <c r="AC944">
        <v>-0.42269999999999103</v>
      </c>
      <c r="AD944">
        <v>-8.4305000000000005E-2</v>
      </c>
      <c r="AE944">
        <v>6.5499999999985903E-2</v>
      </c>
      <c r="AF944">
        <v>0.120317676261748</v>
      </c>
      <c r="AG944">
        <v>-8.4305000000000005E-2</v>
      </c>
      <c r="AH944">
        <v>0.39377897320173399</v>
      </c>
      <c r="AI944">
        <v>101.57126545074701</v>
      </c>
      <c r="AJ944">
        <v>73.009665990852596</v>
      </c>
      <c r="AK944">
        <v>0.42029222688724399</v>
      </c>
      <c r="AL944">
        <v>82.211269365369205</v>
      </c>
      <c r="AM944">
        <v>89.727569787036202</v>
      </c>
      <c r="AN944">
        <v>0.99999998476602403</v>
      </c>
    </row>
    <row r="945" spans="1:40" x14ac:dyDescent="0.3">
      <c r="A945" t="str">
        <f>"20200111150740943"</f>
        <v>20200111150740943</v>
      </c>
      <c r="B945" t="str">
        <f>"1578726460932020"</f>
        <v>1578726460932020</v>
      </c>
      <c r="C945" t="s">
        <v>40</v>
      </c>
      <c r="D945">
        <v>5.4172570000000002</v>
      </c>
      <c r="E945">
        <v>0.55947199999999997</v>
      </c>
      <c r="F945" t="s">
        <v>41</v>
      </c>
      <c r="G945">
        <v>-216.5171</v>
      </c>
      <c r="H945">
        <v>0.99643559999999998</v>
      </c>
      <c r="I945">
        <v>283.35599999999999</v>
      </c>
      <c r="J945">
        <v>-215.8519</v>
      </c>
      <c r="K945">
        <v>1.110269</v>
      </c>
      <c r="L945">
        <v>283.28269999999998</v>
      </c>
      <c r="M945">
        <v>-0.9897667</v>
      </c>
      <c r="N945">
        <v>0</v>
      </c>
      <c r="O945">
        <v>-0.14202279999999901</v>
      </c>
      <c r="P945">
        <v>-0.98343619999999998</v>
      </c>
      <c r="Q945">
        <v>0.1229688</v>
      </c>
      <c r="R945">
        <v>-0.133162</v>
      </c>
      <c r="S945">
        <v>-3.1064759999999998</v>
      </c>
      <c r="T945">
        <v>-0.35460130000000001</v>
      </c>
      <c r="U945">
        <v>7.9589839999999995E-2</v>
      </c>
      <c r="V945">
        <v>7.8912530000000009E-3</v>
      </c>
      <c r="W945">
        <v>0.13669319999999999</v>
      </c>
      <c r="X945">
        <v>0.99058199999999996</v>
      </c>
      <c r="Y945">
        <v>0.16535039999999901</v>
      </c>
      <c r="Z945">
        <v>2.552948E-2</v>
      </c>
      <c r="AA945">
        <v>0.98590440000000001</v>
      </c>
      <c r="AB945">
        <v>33</v>
      </c>
      <c r="AC945">
        <v>-0.66519999999999802</v>
      </c>
      <c r="AD945">
        <v>-0.113833399999999</v>
      </c>
      <c r="AE945">
        <v>7.3300000000017407E-2</v>
      </c>
      <c r="AF945">
        <v>0.16234240123482099</v>
      </c>
      <c r="AG945">
        <v>-0.113833399999999</v>
      </c>
      <c r="AH945">
        <v>0.62982192765684097</v>
      </c>
      <c r="AI945">
        <v>99.927269478963098</v>
      </c>
      <c r="AJ945">
        <v>75.546107742388898</v>
      </c>
      <c r="AK945">
        <v>0.66029444852401098</v>
      </c>
      <c r="AL945">
        <v>82.143459152300395</v>
      </c>
      <c r="AM945">
        <v>89.543575465817995</v>
      </c>
      <c r="AN945">
        <v>1.00000000076207</v>
      </c>
    </row>
    <row r="946" spans="1:40" x14ac:dyDescent="0.3">
      <c r="A946" t="str">
        <f>"20200111150740965"</f>
        <v>20200111150740965</v>
      </c>
      <c r="B946" t="str">
        <f>"1578726460962276"</f>
        <v>1578726460962276</v>
      </c>
      <c r="C946" t="s">
        <v>40</v>
      </c>
      <c r="D946">
        <v>5.467854</v>
      </c>
      <c r="E946">
        <v>0.55855540000000004</v>
      </c>
      <c r="F946" t="s">
        <v>41</v>
      </c>
      <c r="G946">
        <v>-216.8109</v>
      </c>
      <c r="H946">
        <v>1.002966</v>
      </c>
      <c r="I946">
        <v>283.30840000000001</v>
      </c>
      <c r="J946">
        <v>-216.16229999999999</v>
      </c>
      <c r="K946">
        <v>1.1100829999999999</v>
      </c>
      <c r="L946">
        <v>283.23860000000002</v>
      </c>
      <c r="M946">
        <v>-0.98984280000000002</v>
      </c>
      <c r="N946">
        <v>0</v>
      </c>
      <c r="O946">
        <v>-0.14149120000000001</v>
      </c>
      <c r="P946">
        <v>-0.98342640000000003</v>
      </c>
      <c r="Q946">
        <v>0.1265251</v>
      </c>
      <c r="R946">
        <v>-0.12986110000000001</v>
      </c>
      <c r="S946">
        <v>-3.1052089999999999</v>
      </c>
      <c r="T946">
        <v>-0.34747030000000001</v>
      </c>
      <c r="U946">
        <v>8.2946779999999998E-2</v>
      </c>
      <c r="V946">
        <v>1.070111E-2</v>
      </c>
      <c r="W946">
        <v>0.140228399999999</v>
      </c>
      <c r="X946">
        <v>0.99006130000000003</v>
      </c>
      <c r="Y946">
        <v>0.16597319999999999</v>
      </c>
      <c r="Z946">
        <v>2.5005240000000001E-2</v>
      </c>
      <c r="AA946">
        <v>0.98581319999999995</v>
      </c>
      <c r="AB946">
        <v>33</v>
      </c>
      <c r="AC946">
        <v>-0.64860000000001605</v>
      </c>
      <c r="AD946">
        <v>-0.107116999999999</v>
      </c>
      <c r="AE946">
        <v>6.9799999999986498E-2</v>
      </c>
      <c r="AF946">
        <v>0.15665382437741099</v>
      </c>
      <c r="AG946">
        <v>-0.107116999999999</v>
      </c>
      <c r="AH946">
        <v>0.61559833575867595</v>
      </c>
      <c r="AI946">
        <v>99.571756257093895</v>
      </c>
      <c r="AJ946">
        <v>75.722744573136893</v>
      </c>
      <c r="AK946">
        <v>0.64418614031188204</v>
      </c>
      <c r="AL946">
        <v>81.938936594890606</v>
      </c>
      <c r="AM946">
        <v>89.380740803966304</v>
      </c>
      <c r="AN946">
        <v>0.999999947839739</v>
      </c>
    </row>
    <row r="947" spans="1:40" x14ac:dyDescent="0.3">
      <c r="A947" t="str">
        <f>"20200111150740986"</f>
        <v>20200111150740986</v>
      </c>
      <c r="B947" t="str">
        <f>"1578726460981797"</f>
        <v>1578726460981797</v>
      </c>
      <c r="C947" t="s">
        <v>40</v>
      </c>
      <c r="D947">
        <v>5.4686589999999997</v>
      </c>
      <c r="E947">
        <v>0.55824180000000001</v>
      </c>
      <c r="F947" t="s">
        <v>41</v>
      </c>
      <c r="G947">
        <v>-217.1061</v>
      </c>
      <c r="H947">
        <v>1.0111110000000001</v>
      </c>
      <c r="I947">
        <v>283.26569999999998</v>
      </c>
      <c r="J947">
        <v>-216.4785</v>
      </c>
      <c r="K947">
        <v>1.1098749999999999</v>
      </c>
      <c r="L947">
        <v>283.19409999999999</v>
      </c>
      <c r="M947">
        <v>-0.98996289999999998</v>
      </c>
      <c r="N947">
        <v>0</v>
      </c>
      <c r="O947">
        <v>-0.14064969999999999</v>
      </c>
      <c r="P947">
        <v>-0.98300019999999999</v>
      </c>
      <c r="Q947">
        <v>0.13027529999999901</v>
      </c>
      <c r="R947">
        <v>-0.12937950000000001</v>
      </c>
      <c r="S947">
        <v>-3.1041409999999998</v>
      </c>
      <c r="T947">
        <v>-0.32564779999999999</v>
      </c>
      <c r="U947">
        <v>8.8531490000000004E-2</v>
      </c>
      <c r="V947">
        <v>1.035934E-2</v>
      </c>
      <c r="W947">
        <v>0.143959</v>
      </c>
      <c r="X947">
        <v>0.9895294</v>
      </c>
      <c r="Y947">
        <v>0.16714570000000001</v>
      </c>
      <c r="Z947">
        <v>2.3425459999999999E-2</v>
      </c>
      <c r="AA947">
        <v>0.98565389999999997</v>
      </c>
      <c r="AB947">
        <v>33</v>
      </c>
      <c r="AC947">
        <v>-0.62760000000000005</v>
      </c>
      <c r="AD947">
        <v>-9.8763999999999796E-2</v>
      </c>
      <c r="AE947">
        <v>7.1599999999989394E-2</v>
      </c>
      <c r="AF947">
        <v>0.15537006321128799</v>
      </c>
      <c r="AG947">
        <v>-9.8763999999999796E-2</v>
      </c>
      <c r="AH947">
        <v>0.59670139754759299</v>
      </c>
      <c r="AI947">
        <v>99.100098759943506</v>
      </c>
      <c r="AJ947">
        <v>75.405306186762601</v>
      </c>
      <c r="AK947">
        <v>0.62445715791680201</v>
      </c>
      <c r="AL947">
        <v>81.7229979256403</v>
      </c>
      <c r="AM947">
        <v>89.400194902824396</v>
      </c>
      <c r="AN947">
        <v>0.99999997153529696</v>
      </c>
    </row>
    <row r="948" spans="1:40" x14ac:dyDescent="0.3">
      <c r="A948" t="str">
        <f>"20200111150741011"</f>
        <v>20200111150741011</v>
      </c>
      <c r="B948" t="str">
        <f>"1578726461002293"</f>
        <v>1578726461002293</v>
      </c>
      <c r="C948" t="s">
        <v>40</v>
      </c>
      <c r="D948">
        <v>5.5204879999999896</v>
      </c>
      <c r="E948">
        <v>0.55782739999999997</v>
      </c>
      <c r="F948" t="s">
        <v>41</v>
      </c>
      <c r="G948">
        <v>-217.40049999999999</v>
      </c>
      <c r="H948">
        <v>1.0186120000000001</v>
      </c>
      <c r="I948">
        <v>283.22129999999999</v>
      </c>
      <c r="J948">
        <v>-216.83330000000001</v>
      </c>
      <c r="K948">
        <v>1.109591</v>
      </c>
      <c r="L948">
        <v>283.14490000000001</v>
      </c>
      <c r="M948">
        <v>-0.99015299999999995</v>
      </c>
      <c r="N948">
        <v>0</v>
      </c>
      <c r="O948">
        <v>-0.13930600000000001</v>
      </c>
      <c r="P948">
        <v>-0.98227240000000005</v>
      </c>
      <c r="Q948">
        <v>0.1330279</v>
      </c>
      <c r="R948">
        <v>-0.132078</v>
      </c>
      <c r="S948">
        <v>-3.1046140000000002</v>
      </c>
      <c r="T948">
        <v>-0.30732510000000002</v>
      </c>
      <c r="U948">
        <v>9.1064450000000005E-2</v>
      </c>
      <c r="V948">
        <v>6.3481569999999897E-3</v>
      </c>
      <c r="W948">
        <v>0.1467019</v>
      </c>
      <c r="X948">
        <v>0.98916040000000005</v>
      </c>
      <c r="Y948">
        <v>0.166799799999999</v>
      </c>
      <c r="Z948">
        <v>2.1961720000000001E-2</v>
      </c>
      <c r="AA948">
        <v>0.98574620000000002</v>
      </c>
      <c r="AB948">
        <v>33</v>
      </c>
      <c r="AC948">
        <v>-0.56719999999998505</v>
      </c>
      <c r="AD948">
        <v>-9.0978999999999893E-2</v>
      </c>
      <c r="AE948">
        <v>7.6399999999978194E-2</v>
      </c>
      <c r="AF948">
        <v>0.150864506219195</v>
      </c>
      <c r="AG948">
        <v>-9.0978999999999893E-2</v>
      </c>
      <c r="AH948">
        <v>0.53744333364658603</v>
      </c>
      <c r="AI948">
        <v>99.256769389748897</v>
      </c>
      <c r="AJ948">
        <v>74.320157714051604</v>
      </c>
      <c r="AK948">
        <v>0.56558166038063595</v>
      </c>
      <c r="AL948">
        <v>81.564155290982796</v>
      </c>
      <c r="AM948">
        <v>89.632296632232197</v>
      </c>
      <c r="AN948">
        <v>1.00000002174453</v>
      </c>
    </row>
    <row r="949" spans="1:40" x14ac:dyDescent="0.3">
      <c r="A949" t="str">
        <f>"20200111150741031"</f>
        <v>20200111150741031</v>
      </c>
      <c r="B949" t="str">
        <f>"1578726461021812"</f>
        <v>1578726461021812</v>
      </c>
      <c r="C949" t="s">
        <v>40</v>
      </c>
      <c r="D949">
        <v>5.4834059999999996</v>
      </c>
      <c r="E949">
        <v>0.55801109999999998</v>
      </c>
      <c r="F949" t="s">
        <v>41</v>
      </c>
      <c r="G949">
        <v>-217.6953</v>
      </c>
      <c r="H949">
        <v>1.0293600000000001</v>
      </c>
      <c r="I949">
        <v>283.16730000000001</v>
      </c>
      <c r="J949">
        <v>-217.1396</v>
      </c>
      <c r="K949">
        <v>1.109313</v>
      </c>
      <c r="L949">
        <v>283.10309999999998</v>
      </c>
      <c r="M949">
        <v>-0.99036500000000005</v>
      </c>
      <c r="N949">
        <v>0</v>
      </c>
      <c r="O949">
        <v>-0.137791</v>
      </c>
      <c r="P949">
        <v>-0.9817593</v>
      </c>
      <c r="Q949">
        <v>0.13350219999999999</v>
      </c>
      <c r="R949">
        <v>-0.1353734</v>
      </c>
      <c r="S949">
        <v>-3.104187</v>
      </c>
      <c r="T949">
        <v>-0.28889769999999998</v>
      </c>
      <c r="U949">
        <v>8.1207280000000007E-2</v>
      </c>
      <c r="V949">
        <v>1.6002939999999999E-3</v>
      </c>
      <c r="W949">
        <v>0.14718210000000001</v>
      </c>
      <c r="X949">
        <v>0.98910810000000005</v>
      </c>
      <c r="Y949">
        <v>0.1623646</v>
      </c>
      <c r="Z949">
        <v>2.0308059999999999E-2</v>
      </c>
      <c r="AA949">
        <v>0.9865218</v>
      </c>
      <c r="AB949">
        <v>33</v>
      </c>
      <c r="AC949">
        <v>-0.55570000000000097</v>
      </c>
      <c r="AD949">
        <v>-7.9952999999999899E-2</v>
      </c>
      <c r="AE949">
        <v>6.4200000000027999E-2</v>
      </c>
      <c r="AF949">
        <v>0.137359259758456</v>
      </c>
      <c r="AG949">
        <v>-7.9952999999999899E-2</v>
      </c>
      <c r="AH949">
        <v>0.530709860193326</v>
      </c>
      <c r="AI949">
        <v>98.297915405403003</v>
      </c>
      <c r="AJ949">
        <v>75.489035545666894</v>
      </c>
      <c r="AK949">
        <v>0.553997296163808</v>
      </c>
      <c r="AL949">
        <v>81.536339590603205</v>
      </c>
      <c r="AM949">
        <v>89.907300312093298</v>
      </c>
      <c r="AN949">
        <v>0.99999998249345301</v>
      </c>
    </row>
    <row r="950" spans="1:40" x14ac:dyDescent="0.3">
      <c r="A950" t="str">
        <f>"20200111150741054"</f>
        <v>20200111150741054</v>
      </c>
      <c r="B950" t="str">
        <f>"1578726461052069"</f>
        <v>1578726461052069</v>
      </c>
      <c r="C950" t="s">
        <v>40</v>
      </c>
      <c r="D950">
        <v>5.4848610000000004</v>
      </c>
      <c r="E950">
        <v>0.55804699999999996</v>
      </c>
      <c r="F950" t="s">
        <v>41</v>
      </c>
      <c r="G950">
        <v>-217.98609999999999</v>
      </c>
      <c r="H950">
        <v>1.030794</v>
      </c>
      <c r="I950">
        <v>283.12299999999999</v>
      </c>
      <c r="J950">
        <v>-217.47550000000001</v>
      </c>
      <c r="K950">
        <v>1.1089639999999901</v>
      </c>
      <c r="L950">
        <v>283.0582</v>
      </c>
      <c r="M950">
        <v>-0.99064859999999999</v>
      </c>
      <c r="N950">
        <v>0</v>
      </c>
      <c r="O950">
        <v>-0.13573550000000001</v>
      </c>
      <c r="P950">
        <v>-0.98170579999999996</v>
      </c>
      <c r="Q950">
        <v>0.13257629999999901</v>
      </c>
      <c r="R950">
        <v>-0.13666449999999999</v>
      </c>
      <c r="S950">
        <v>-3.1049500000000001</v>
      </c>
      <c r="T950">
        <v>-0.28800579999999998</v>
      </c>
      <c r="U950">
        <v>7.2937009999999997E-2</v>
      </c>
      <c r="V950">
        <v>-1.622505E-3</v>
      </c>
      <c r="W950">
        <v>0.14626889999999901</v>
      </c>
      <c r="X950">
        <v>0.98924350000000005</v>
      </c>
      <c r="Y950">
        <v>0.15772030000000001</v>
      </c>
      <c r="Z950">
        <v>1.9836820000000002E-2</v>
      </c>
      <c r="AA950">
        <v>0.98728450000000001</v>
      </c>
      <c r="AB950">
        <v>33</v>
      </c>
      <c r="AC950">
        <v>-0.51059999999998196</v>
      </c>
      <c r="AD950">
        <v>-7.8169999999999795E-2</v>
      </c>
      <c r="AE950">
        <v>6.4799999999991004E-2</v>
      </c>
      <c r="AF950">
        <v>0.13050310658417699</v>
      </c>
      <c r="AG950">
        <v>-7.8169999999999795E-2</v>
      </c>
      <c r="AH950">
        <v>0.48586978339535097</v>
      </c>
      <c r="AI950">
        <v>98.831963066411902</v>
      </c>
      <c r="AJ950">
        <v>74.965381873778199</v>
      </c>
      <c r="AK950">
        <v>0.509127740498165</v>
      </c>
      <c r="AL950">
        <v>81.589234403135293</v>
      </c>
      <c r="AM950">
        <v>90.093973430586004</v>
      </c>
      <c r="AN950">
        <v>0.99999996296096605</v>
      </c>
    </row>
    <row r="951" spans="1:40" x14ac:dyDescent="0.3">
      <c r="A951" t="str">
        <f>"20200111150741077"</f>
        <v>20200111150741077</v>
      </c>
      <c r="B951" t="str">
        <f>"1578726461071589"</f>
        <v>1578726461071589</v>
      </c>
      <c r="C951" t="s">
        <v>40</v>
      </c>
      <c r="D951">
        <v>5.4975319999999996</v>
      </c>
      <c r="E951">
        <v>0.55791009999999996</v>
      </c>
      <c r="F951" t="s">
        <v>41</v>
      </c>
      <c r="G951">
        <v>-218.2775</v>
      </c>
      <c r="H951">
        <v>1.033703</v>
      </c>
      <c r="I951">
        <v>283.07589999999999</v>
      </c>
      <c r="J951">
        <v>-217.7928</v>
      </c>
      <c r="K951">
        <v>1.108603</v>
      </c>
      <c r="L951">
        <v>283.01690000000002</v>
      </c>
      <c r="M951">
        <v>-0.99096629999999997</v>
      </c>
      <c r="N951">
        <v>0</v>
      </c>
      <c r="O951">
        <v>-0.1333975</v>
      </c>
      <c r="P951">
        <v>-0.98213919999999999</v>
      </c>
      <c r="Q951">
        <v>0.12957739999999901</v>
      </c>
      <c r="R951">
        <v>-0.13642689999999999</v>
      </c>
      <c r="S951">
        <v>-3.1048279999999999</v>
      </c>
      <c r="T951">
        <v>-0.29135539999999999</v>
      </c>
      <c r="U951">
        <v>6.8756100000000001E-2</v>
      </c>
      <c r="V951">
        <v>-3.5599579999999998E-3</v>
      </c>
      <c r="W951">
        <v>0.1432899</v>
      </c>
      <c r="X951">
        <v>0.98967430000000001</v>
      </c>
      <c r="Y951">
        <v>0.15405849999999999</v>
      </c>
      <c r="Z951">
        <v>1.9678350000000001E-2</v>
      </c>
      <c r="AA951">
        <v>0.98786569999999996</v>
      </c>
      <c r="AB951">
        <v>33</v>
      </c>
      <c r="AC951">
        <v>-0.48470000000000302</v>
      </c>
      <c r="AD951">
        <v>-7.4899999999999897E-2</v>
      </c>
      <c r="AE951">
        <v>5.8999999999969001E-2</v>
      </c>
      <c r="AF951">
        <v>0.12030568904396199</v>
      </c>
      <c r="AG951">
        <v>-7.4899999999999897E-2</v>
      </c>
      <c r="AH951">
        <v>0.46163357745081302</v>
      </c>
      <c r="AI951">
        <v>98.922926617075305</v>
      </c>
      <c r="AJ951">
        <v>75.393125389662202</v>
      </c>
      <c r="AK951">
        <v>0.48289649889637698</v>
      </c>
      <c r="AL951">
        <v>81.761735936412407</v>
      </c>
      <c r="AM951">
        <v>90.2060977928966</v>
      </c>
      <c r="AN951">
        <v>0.99999994441172901</v>
      </c>
    </row>
    <row r="952" spans="1:40" x14ac:dyDescent="0.3">
      <c r="A952" t="str">
        <f>"20200111150741099"</f>
        <v>20200111150741099</v>
      </c>
      <c r="B952" t="str">
        <f>"1578726461092085"</f>
        <v>1578726461092085</v>
      </c>
      <c r="C952" t="s">
        <v>40</v>
      </c>
      <c r="D952">
        <v>5.490354</v>
      </c>
      <c r="E952">
        <v>0.55804779999999998</v>
      </c>
      <c r="F952" t="s">
        <v>41</v>
      </c>
      <c r="G952">
        <v>-218.56819999999999</v>
      </c>
      <c r="H952">
        <v>1.0339719999999999</v>
      </c>
      <c r="I952">
        <v>283.03440000000001</v>
      </c>
      <c r="J952">
        <v>-218.11660000000001</v>
      </c>
      <c r="K952">
        <v>1.1082379999999901</v>
      </c>
      <c r="L952">
        <v>282.97590000000002</v>
      </c>
      <c r="M952">
        <v>-0.99133530000000003</v>
      </c>
      <c r="N952">
        <v>0</v>
      </c>
      <c r="O952">
        <v>-0.13062579999999999</v>
      </c>
      <c r="P952">
        <v>-0.98273299999999997</v>
      </c>
      <c r="Q952">
        <v>0.12783119999999901</v>
      </c>
      <c r="R952">
        <v>-0.13377220000000001</v>
      </c>
      <c r="S952">
        <v>-3.1035919999999999</v>
      </c>
      <c r="T952">
        <v>-0.29863579999999901</v>
      </c>
      <c r="U952">
        <v>6.9488530000000007E-2</v>
      </c>
      <c r="V952">
        <v>-3.5117640000000001E-3</v>
      </c>
      <c r="W952">
        <v>0.14155589999999901</v>
      </c>
      <c r="X952">
        <v>0.98992400000000003</v>
      </c>
      <c r="Y952">
        <v>0.1514971</v>
      </c>
      <c r="Z952">
        <v>1.9788400000000001E-2</v>
      </c>
      <c r="AA952">
        <v>0.98825960000000002</v>
      </c>
      <c r="AB952">
        <v>33</v>
      </c>
      <c r="AC952">
        <v>-0.45159999999998401</v>
      </c>
      <c r="AD952">
        <v>-7.4265999999999902E-2</v>
      </c>
      <c r="AE952">
        <v>5.8499999999980901E-2</v>
      </c>
      <c r="AF952">
        <v>0.113963733298079</v>
      </c>
      <c r="AG952">
        <v>-7.4265999999999902E-2</v>
      </c>
      <c r="AH952">
        <v>0.42868542117786601</v>
      </c>
      <c r="AI952">
        <v>99.504645871722005</v>
      </c>
      <c r="AJ952">
        <v>75.112562113818399</v>
      </c>
      <c r="AK952">
        <v>0.44974922078162699</v>
      </c>
      <c r="AL952">
        <v>81.862110234326295</v>
      </c>
      <c r="AM952">
        <v>90.203256423515001</v>
      </c>
      <c r="AN952">
        <v>0.99999996554360004</v>
      </c>
    </row>
    <row r="953" spans="1:40" x14ac:dyDescent="0.3">
      <c r="A953" t="str">
        <f>"20200111150741123"</f>
        <v>20200111150741123</v>
      </c>
      <c r="B953" t="str">
        <f>"1578726461112581"</f>
        <v>1578726461112581</v>
      </c>
      <c r="C953" t="s">
        <v>40</v>
      </c>
      <c r="D953">
        <v>5.4985939999999998</v>
      </c>
      <c r="E953">
        <v>0.55809310000000001</v>
      </c>
      <c r="F953" t="s">
        <v>41</v>
      </c>
      <c r="G953">
        <v>-218.8597</v>
      </c>
      <c r="H953">
        <v>1.035318</v>
      </c>
      <c r="I953">
        <v>282.99489999999997</v>
      </c>
      <c r="J953">
        <v>-218.4547</v>
      </c>
      <c r="K953">
        <v>1.107896</v>
      </c>
      <c r="L953">
        <v>282.93470000000002</v>
      </c>
      <c r="M953">
        <v>-0.99176560000000002</v>
      </c>
      <c r="N953">
        <v>0</v>
      </c>
      <c r="O953">
        <v>-0.12731709999999999</v>
      </c>
      <c r="P953">
        <v>-0.98369580000000001</v>
      </c>
      <c r="Q953">
        <v>0.12710099999999999</v>
      </c>
      <c r="R953">
        <v>-0.12723329999999999</v>
      </c>
      <c r="S953">
        <v>-3.1030880000000001</v>
      </c>
      <c r="T953">
        <v>-0.30460979999999999</v>
      </c>
      <c r="U953">
        <v>7.9040529999999998E-2</v>
      </c>
      <c r="V953">
        <v>-1.0226920000000001E-4</v>
      </c>
      <c r="W953">
        <v>0.140818</v>
      </c>
      <c r="X953">
        <v>0.99003549999999996</v>
      </c>
      <c r="Y953">
        <v>0.15120749999999999</v>
      </c>
      <c r="Z953">
        <v>1.9849160000000001E-2</v>
      </c>
      <c r="AA953">
        <v>0.98830280000000004</v>
      </c>
      <c r="AB953">
        <v>33</v>
      </c>
      <c r="AC953">
        <v>-0.40500000000000103</v>
      </c>
      <c r="AD953">
        <v>-7.2578000000000004E-2</v>
      </c>
      <c r="AE953">
        <v>6.0199999999952E-2</v>
      </c>
      <c r="AF953">
        <v>0.10788848415768799</v>
      </c>
      <c r="AG953">
        <v>-7.2578000000000004E-2</v>
      </c>
      <c r="AH953">
        <v>0.38203467488696302</v>
      </c>
      <c r="AI953">
        <v>100.360782305138</v>
      </c>
      <c r="AJ953">
        <v>74.230057509167906</v>
      </c>
      <c r="AK953">
        <v>0.403556667537325</v>
      </c>
      <c r="AL953">
        <v>81.904816909096994</v>
      </c>
      <c r="AM953">
        <v>90.005918569095002</v>
      </c>
      <c r="AN953">
        <v>1.00000000542161</v>
      </c>
    </row>
    <row r="954" spans="1:40" x14ac:dyDescent="0.3">
      <c r="A954" t="str">
        <f>"20200111150741145"</f>
        <v>20200111150741145</v>
      </c>
      <c r="B954" t="str">
        <f>"1578726461141862"</f>
        <v>1578726461141862</v>
      </c>
      <c r="C954" t="s">
        <v>40</v>
      </c>
      <c r="D954">
        <v>5.4741470000000003</v>
      </c>
      <c r="E954">
        <v>0.55800930000000004</v>
      </c>
      <c r="F954" t="s">
        <v>41</v>
      </c>
      <c r="G954">
        <v>-219.43549999999999</v>
      </c>
      <c r="H954">
        <v>1.010378</v>
      </c>
      <c r="I954">
        <v>282.96570000000003</v>
      </c>
      <c r="J954">
        <v>-218.7843</v>
      </c>
      <c r="K954">
        <v>1.107604</v>
      </c>
      <c r="L954">
        <v>282.89589999999998</v>
      </c>
      <c r="M954">
        <v>-0.99221369999999998</v>
      </c>
      <c r="N954">
        <v>0</v>
      </c>
      <c r="O954">
        <v>-0.1237761</v>
      </c>
      <c r="P954">
        <v>-0.98474090000000003</v>
      </c>
      <c r="Q954">
        <v>0.1266668</v>
      </c>
      <c r="R954">
        <v>-0.119338</v>
      </c>
      <c r="S954">
        <v>-3.1022799999999999</v>
      </c>
      <c r="T954">
        <v>-0.30841020000000002</v>
      </c>
      <c r="U954">
        <v>9.817505E-2</v>
      </c>
      <c r="V954">
        <v>4.4141349999999996E-3</v>
      </c>
      <c r="W954">
        <v>0.14036199999999999</v>
      </c>
      <c r="X954">
        <v>0.99009040000000004</v>
      </c>
      <c r="Y954">
        <v>0.1537473</v>
      </c>
      <c r="Z954">
        <v>1.987684E-2</v>
      </c>
      <c r="AA954">
        <v>0.98791030000000002</v>
      </c>
      <c r="AB954">
        <v>33</v>
      </c>
      <c r="AC954">
        <v>-0.65119999999998801</v>
      </c>
      <c r="AD954">
        <v>-9.7226000000000007E-2</v>
      </c>
      <c r="AE954">
        <v>6.98000000000433E-2</v>
      </c>
      <c r="AF954">
        <v>0.146642140313193</v>
      </c>
      <c r="AG954">
        <v>-9.7226000000000007E-2</v>
      </c>
      <c r="AH954">
        <v>0.62380355375869401</v>
      </c>
      <c r="AI954">
        <v>98.627350581515103</v>
      </c>
      <c r="AJ954">
        <v>76.771244292559103</v>
      </c>
      <c r="AK954">
        <v>0.64814171758467298</v>
      </c>
      <c r="AL954">
        <v>81.931205740203296</v>
      </c>
      <c r="AM954">
        <v>89.744559052334097</v>
      </c>
      <c r="AN954">
        <v>0.99999998790197897</v>
      </c>
    </row>
    <row r="955" spans="1:40" x14ac:dyDescent="0.3">
      <c r="A955" t="str">
        <f>"20200111150741166"</f>
        <v>20200111150741166</v>
      </c>
      <c r="B955" t="str">
        <f>"1578726461162358"</f>
        <v>1578726461162358</v>
      </c>
      <c r="C955" t="s">
        <v>40</v>
      </c>
      <c r="D955">
        <v>5.5939509999999997</v>
      </c>
      <c r="E955">
        <v>0.5440661</v>
      </c>
      <c r="F955" t="s">
        <v>41</v>
      </c>
      <c r="G955">
        <v>-219.72730000000001</v>
      </c>
      <c r="H955">
        <v>1.011979</v>
      </c>
      <c r="I955">
        <v>282.93299999999999</v>
      </c>
      <c r="J955">
        <v>-219.089</v>
      </c>
      <c r="K955">
        <v>1.107383</v>
      </c>
      <c r="L955">
        <v>282.86130000000003</v>
      </c>
      <c r="M955">
        <v>-0.992641</v>
      </c>
      <c r="N955">
        <v>0</v>
      </c>
      <c r="O955">
        <v>-0.1203007</v>
      </c>
      <c r="P955">
        <v>-0.98580210000000001</v>
      </c>
      <c r="Q955">
        <v>0.12507560000000001</v>
      </c>
      <c r="R955">
        <v>-0.11202910000000001</v>
      </c>
      <c r="S955">
        <v>-3.101639</v>
      </c>
      <c r="T955">
        <v>-0.31449929999999998</v>
      </c>
      <c r="U955">
        <v>0.12127690000000001</v>
      </c>
      <c r="V955">
        <v>8.3844000000000002E-3</v>
      </c>
      <c r="W955">
        <v>0.13874810000000001</v>
      </c>
      <c r="X955">
        <v>0.99029219999999896</v>
      </c>
      <c r="Y955">
        <v>0.15758529999999901</v>
      </c>
      <c r="Z955">
        <v>2.0114440000000001E-2</v>
      </c>
      <c r="AA955">
        <v>0.98730050000000003</v>
      </c>
      <c r="AB955">
        <v>33</v>
      </c>
      <c r="AC955">
        <v>-0.63829999999998599</v>
      </c>
      <c r="AD955">
        <v>-9.5403999999999795E-2</v>
      </c>
      <c r="AE955">
        <v>7.1699999999964306E-2</v>
      </c>
      <c r="AF955">
        <v>0.14478037907348201</v>
      </c>
      <c r="AG955">
        <v>-9.5403999999999795E-2</v>
      </c>
      <c r="AH955">
        <v>0.61154537149978905</v>
      </c>
      <c r="AI955">
        <v>98.632076551137004</v>
      </c>
      <c r="AJ955">
        <v>76.680730839946406</v>
      </c>
      <c r="AK955">
        <v>0.63565007888261704</v>
      </c>
      <c r="AL955">
        <v>82.024589228220194</v>
      </c>
      <c r="AM955">
        <v>89.514911603264096</v>
      </c>
      <c r="AN955">
        <v>0.99999998739890406</v>
      </c>
    </row>
    <row r="956" spans="1:40" x14ac:dyDescent="0.3">
      <c r="A956" t="str">
        <f>"20200111150741187"</f>
        <v>20200111150741187</v>
      </c>
      <c r="B956" t="str">
        <f>"1578726461181877"</f>
        <v>1578726461181877</v>
      </c>
      <c r="C956" t="s">
        <v>40</v>
      </c>
      <c r="D956">
        <v>5.5671330000000001</v>
      </c>
      <c r="E956">
        <v>0.54156839999999995</v>
      </c>
      <c r="F956" t="s">
        <v>41</v>
      </c>
      <c r="G956">
        <v>-219.97880000000001</v>
      </c>
      <c r="H956">
        <v>0.93974179999999996</v>
      </c>
      <c r="I956">
        <v>282.87329999999997</v>
      </c>
      <c r="J956">
        <v>-219.41130000000001</v>
      </c>
      <c r="K956">
        <v>1.1072</v>
      </c>
      <c r="L956">
        <v>282.8261</v>
      </c>
      <c r="M956">
        <v>-0.99309820000000004</v>
      </c>
      <c r="N956">
        <v>0</v>
      </c>
      <c r="O956">
        <v>-0.116465</v>
      </c>
      <c r="P956">
        <v>-0.98676529999999996</v>
      </c>
      <c r="Q956">
        <v>0.1227601</v>
      </c>
      <c r="R956">
        <v>-0.1059445</v>
      </c>
      <c r="S956">
        <v>-3.1226349999999998</v>
      </c>
      <c r="T956">
        <v>-0.58839180000000002</v>
      </c>
      <c r="U956">
        <v>4.1839599999999998E-2</v>
      </c>
      <c r="V956">
        <v>1.0748010000000001E-2</v>
      </c>
      <c r="W956">
        <v>0.13641919999999999</v>
      </c>
      <c r="X956">
        <v>0.9905929</v>
      </c>
      <c r="Y956">
        <v>0.12551969999999901</v>
      </c>
      <c r="Z956">
        <v>3.3443790000000001E-2</v>
      </c>
      <c r="AA956">
        <v>0.9915273</v>
      </c>
      <c r="AB956">
        <v>33</v>
      </c>
      <c r="AC956">
        <v>-0.56749999999999501</v>
      </c>
      <c r="AD956">
        <v>-0.1674582</v>
      </c>
      <c r="AE956">
        <v>4.7199999999975199E-2</v>
      </c>
      <c r="AF956">
        <v>0.10398677514042901</v>
      </c>
      <c r="AG956">
        <v>-0.1674582</v>
      </c>
      <c r="AH956">
        <v>0.51371635163203599</v>
      </c>
      <c r="AI956">
        <v>107.71838285380301</v>
      </c>
      <c r="AJ956">
        <v>78.556773565087994</v>
      </c>
      <c r="AK956">
        <v>0.55023630204256402</v>
      </c>
      <c r="AL956">
        <v>82.159306689003103</v>
      </c>
      <c r="AM956">
        <v>89.378360729814403</v>
      </c>
      <c r="AN956">
        <v>1.0000000056889999</v>
      </c>
    </row>
    <row r="957" spans="1:40" x14ac:dyDescent="0.3">
      <c r="A957" t="str">
        <f>"20200111150741211"</f>
        <v>20200111150741211</v>
      </c>
      <c r="B957" t="str">
        <f>"1578726461202372"</f>
        <v>1578726461202372</v>
      </c>
      <c r="C957" t="s">
        <v>40</v>
      </c>
      <c r="D957">
        <v>5.524267</v>
      </c>
      <c r="E957">
        <v>0.54120190000000001</v>
      </c>
      <c r="F957" t="s">
        <v>41</v>
      </c>
      <c r="G957">
        <v>-220.26650000000001</v>
      </c>
      <c r="H957">
        <v>0.9345871</v>
      </c>
      <c r="I957">
        <v>282.83800000000002</v>
      </c>
      <c r="J957">
        <v>-219.74639999999999</v>
      </c>
      <c r="K957">
        <v>1.107059</v>
      </c>
      <c r="L957">
        <v>282.79090000000002</v>
      </c>
      <c r="M957">
        <v>-0.99357030000000002</v>
      </c>
      <c r="N957">
        <v>0</v>
      </c>
      <c r="O957">
        <v>-0.1123668</v>
      </c>
      <c r="P957">
        <v>-0.98762830000000001</v>
      </c>
      <c r="Q957">
        <v>0.12027590000000001</v>
      </c>
      <c r="R957">
        <v>-0.100619</v>
      </c>
      <c r="S957">
        <v>-3.1232600000000001</v>
      </c>
      <c r="T957">
        <v>-0.63037840000000001</v>
      </c>
      <c r="U957">
        <v>4.2816159999999999E-2</v>
      </c>
      <c r="V957">
        <v>1.206691E-2</v>
      </c>
      <c r="W957">
        <v>0.133928399999999</v>
      </c>
      <c r="X957">
        <v>0.99091759999999995</v>
      </c>
      <c r="Y957">
        <v>0.1212823</v>
      </c>
      <c r="Z957">
        <v>3.4539069999999998E-2</v>
      </c>
      <c r="AA957">
        <v>0.99201700000000004</v>
      </c>
      <c r="AB957">
        <v>33</v>
      </c>
      <c r="AC957">
        <v>-0.520100000000013</v>
      </c>
      <c r="AD957">
        <v>-0.17247190000000001</v>
      </c>
      <c r="AE957">
        <v>4.70999999999435E-2</v>
      </c>
      <c r="AF957">
        <v>9.4898405368576993E-2</v>
      </c>
      <c r="AG957">
        <v>-0.17247190000000001</v>
      </c>
      <c r="AH957">
        <v>0.46120737405120998</v>
      </c>
      <c r="AI957">
        <v>110.116973083872</v>
      </c>
      <c r="AJ957">
        <v>78.373046581078</v>
      </c>
      <c r="AK957">
        <v>0.50146236699309898</v>
      </c>
      <c r="AL957">
        <v>82.303341423979802</v>
      </c>
      <c r="AM957">
        <v>89.302314498871297</v>
      </c>
      <c r="AN957">
        <v>1.00000005831663</v>
      </c>
    </row>
    <row r="958" spans="1:40" x14ac:dyDescent="0.3">
      <c r="A958" t="str">
        <f>"20200111150741234"</f>
        <v>20200111150741234</v>
      </c>
      <c r="B958" t="str">
        <f>"1578726461231652"</f>
        <v>1578726461231652</v>
      </c>
      <c r="C958" t="s">
        <v>40</v>
      </c>
      <c r="D958">
        <v>5.5042059999999999</v>
      </c>
      <c r="E958">
        <v>0.54001560000000004</v>
      </c>
      <c r="F958" t="s">
        <v>41</v>
      </c>
      <c r="G958">
        <v>-220.55840000000001</v>
      </c>
      <c r="H958">
        <v>0.93771150000000003</v>
      </c>
      <c r="I958">
        <v>282.80610000000001</v>
      </c>
      <c r="J958">
        <v>-220.08459999999999</v>
      </c>
      <c r="K958">
        <v>1.1069560000000001</v>
      </c>
      <c r="L958">
        <v>282.7568</v>
      </c>
      <c r="M958">
        <v>-0.99403580000000002</v>
      </c>
      <c r="N958">
        <v>0</v>
      </c>
      <c r="O958">
        <v>-0.1081713</v>
      </c>
      <c r="P958">
        <v>-0.98806300000000002</v>
      </c>
      <c r="Q958">
        <v>0.1197561</v>
      </c>
      <c r="R958">
        <v>-9.6904900000000002E-2</v>
      </c>
      <c r="S958">
        <v>-3.1227870000000002</v>
      </c>
      <c r="T958">
        <v>-0.65110219999999996</v>
      </c>
      <c r="U958">
        <v>5.7891850000000002E-2</v>
      </c>
      <c r="V958">
        <v>1.1642039999999999E-2</v>
      </c>
      <c r="W958">
        <v>0.13341229999999901</v>
      </c>
      <c r="X958">
        <v>0.99099219999999999</v>
      </c>
      <c r="Y958">
        <v>0.1216531</v>
      </c>
      <c r="Z958">
        <v>3.483286E-2</v>
      </c>
      <c r="AA958">
        <v>0.99196130000000005</v>
      </c>
      <c r="AB958">
        <v>33</v>
      </c>
      <c r="AC958">
        <v>-0.47380000000001099</v>
      </c>
      <c r="AD958">
        <v>-0.16924449999999999</v>
      </c>
      <c r="AE958">
        <v>4.9300000000016497E-2</v>
      </c>
      <c r="AF958">
        <v>8.9029018946119601E-2</v>
      </c>
      <c r="AG958">
        <v>-0.16924449999999999</v>
      </c>
      <c r="AH958">
        <v>0.413491045699242</v>
      </c>
      <c r="AI958">
        <v>111.808151192118</v>
      </c>
      <c r="AJ958">
        <v>77.849109296248997</v>
      </c>
      <c r="AK958">
        <v>0.45557075396496999</v>
      </c>
      <c r="AL958">
        <v>82.333178785310693</v>
      </c>
      <c r="AM958">
        <v>89.326928029397095</v>
      </c>
      <c r="AN958">
        <v>0.999999959673745</v>
      </c>
    </row>
    <row r="959" spans="1:40" x14ac:dyDescent="0.3">
      <c r="A959" t="str">
        <f>"20200111150741255"</f>
        <v>20200111150741255</v>
      </c>
      <c r="B959" t="str">
        <f>"1578726461252148"</f>
        <v>1578726461252148</v>
      </c>
      <c r="C959" t="s">
        <v>40</v>
      </c>
      <c r="D959">
        <v>5.4786669999999997</v>
      </c>
      <c r="E959">
        <v>0.53936359999999905</v>
      </c>
      <c r="F959" t="s">
        <v>41</v>
      </c>
      <c r="G959">
        <v>-220.85300000000001</v>
      </c>
      <c r="H959">
        <v>0.94709620000000005</v>
      </c>
      <c r="I959">
        <v>282.77199999999999</v>
      </c>
      <c r="J959">
        <v>-220.38290000000001</v>
      </c>
      <c r="K959">
        <v>1.1069070000000001</v>
      </c>
      <c r="L959">
        <v>282.72800000000001</v>
      </c>
      <c r="M959">
        <v>-0.99443309999999996</v>
      </c>
      <c r="N959">
        <v>0</v>
      </c>
      <c r="O959">
        <v>-0.1044551</v>
      </c>
      <c r="P959">
        <v>-0.98820980000000003</v>
      </c>
      <c r="Q959">
        <v>0.1197603</v>
      </c>
      <c r="R959">
        <v>-9.5388559999999997E-2</v>
      </c>
      <c r="S959">
        <v>-3.1209720000000001</v>
      </c>
      <c r="T959">
        <v>-0.64938070000000003</v>
      </c>
      <c r="U959">
        <v>6.1401369999999997E-2</v>
      </c>
      <c r="V959">
        <v>9.4730160000000008E-3</v>
      </c>
      <c r="W959">
        <v>0.13343459999999999</v>
      </c>
      <c r="X959">
        <v>0.99101229999999996</v>
      </c>
      <c r="Y959">
        <v>0.1192221</v>
      </c>
      <c r="Z959">
        <v>3.375011E-2</v>
      </c>
      <c r="AA959">
        <v>0.9922938</v>
      </c>
      <c r="AB959">
        <v>33</v>
      </c>
      <c r="AC959">
        <v>-0.47009999999997298</v>
      </c>
      <c r="AD959">
        <v>-0.159810799999999</v>
      </c>
      <c r="AE959">
        <v>4.3999999999982699E-2</v>
      </c>
      <c r="AF959">
        <v>8.3322635456962099E-2</v>
      </c>
      <c r="AG959">
        <v>-0.159810799999999</v>
      </c>
      <c r="AH959">
        <v>0.41534796912601202</v>
      </c>
      <c r="AI959">
        <v>110.668859737262</v>
      </c>
      <c r="AJ959">
        <v>78.656507811828305</v>
      </c>
      <c r="AK959">
        <v>0.45276493772512499</v>
      </c>
      <c r="AL959">
        <v>82.331889523685504</v>
      </c>
      <c r="AM959">
        <v>89.452330404350604</v>
      </c>
      <c r="AN959">
        <v>0.99999995463029201</v>
      </c>
    </row>
    <row r="960" spans="1:40" x14ac:dyDescent="0.3">
      <c r="A960" t="str">
        <f>"20200111150741277"</f>
        <v>20200111150741277</v>
      </c>
      <c r="B960" t="str">
        <f>"1578726461271670"</f>
        <v>1578726461271670</v>
      </c>
      <c r="C960" t="s">
        <v>40</v>
      </c>
      <c r="D960">
        <v>5.5041379999999904</v>
      </c>
      <c r="E960">
        <v>0.53899549999999996</v>
      </c>
      <c r="F960" t="s">
        <v>41</v>
      </c>
      <c r="G960">
        <v>-221.14400000000001</v>
      </c>
      <c r="H960">
        <v>0.94826010000000005</v>
      </c>
      <c r="I960">
        <v>282.74380000000002</v>
      </c>
      <c r="J960">
        <v>-220.70849999999999</v>
      </c>
      <c r="K960">
        <v>1.1068720000000001</v>
      </c>
      <c r="L960">
        <v>282.69779999999997</v>
      </c>
      <c r="M960">
        <v>-0.99485020000000002</v>
      </c>
      <c r="N960">
        <v>0</v>
      </c>
      <c r="O960">
        <v>-0.10040449999999999</v>
      </c>
      <c r="P960">
        <v>-0.98817869999999997</v>
      </c>
      <c r="Q960">
        <v>0.1214065</v>
      </c>
      <c r="R960">
        <v>-9.3612860000000006E-2</v>
      </c>
      <c r="S960">
        <v>-3.1208339999999999</v>
      </c>
      <c r="T960">
        <v>-0.65045450000000005</v>
      </c>
      <c r="U960">
        <v>6.4392089999999999E-2</v>
      </c>
      <c r="V960">
        <v>7.2201289999999996E-3</v>
      </c>
      <c r="W960">
        <v>0.13509640000000001</v>
      </c>
      <c r="X960">
        <v>0.99080619999999997</v>
      </c>
      <c r="Y960">
        <v>0.1162658</v>
      </c>
      <c r="Z960">
        <v>3.2669040000000003E-2</v>
      </c>
      <c r="AA960">
        <v>0.99268069999999997</v>
      </c>
      <c r="AB960">
        <v>33</v>
      </c>
      <c r="AC960">
        <v>-0.43550000000001798</v>
      </c>
      <c r="AD960">
        <v>-0.158611899999999</v>
      </c>
      <c r="AE960">
        <v>4.6000000000049099E-2</v>
      </c>
      <c r="AF960">
        <v>7.9118835836966106E-2</v>
      </c>
      <c r="AG960">
        <v>-0.158611899999999</v>
      </c>
      <c r="AH960">
        <v>0.37896601217253201</v>
      </c>
      <c r="AI960">
        <v>112.279151498299</v>
      </c>
      <c r="AJ960">
        <v>78.207430281353496</v>
      </c>
      <c r="AK960">
        <v>0.41836917117273198</v>
      </c>
      <c r="AL960">
        <v>82.235806096809497</v>
      </c>
      <c r="AM960">
        <v>89.582485861530898</v>
      </c>
      <c r="AN960">
        <v>1.00000004675708</v>
      </c>
    </row>
    <row r="961" spans="1:40" x14ac:dyDescent="0.3">
      <c r="A961" t="str">
        <f>"20200111150741300"</f>
        <v>20200111150741300</v>
      </c>
      <c r="B961" t="str">
        <f>"1578726461292165"</f>
        <v>1578726461292165</v>
      </c>
      <c r="C961" t="s">
        <v>40</v>
      </c>
      <c r="D961">
        <v>6.8706649999999998</v>
      </c>
      <c r="E961">
        <v>0.53877580000000003</v>
      </c>
      <c r="F961" t="s">
        <v>41</v>
      </c>
      <c r="G961">
        <v>-221.43799999999999</v>
      </c>
      <c r="H961">
        <v>0.95630740000000003</v>
      </c>
      <c r="I961">
        <v>282.71370000000002</v>
      </c>
      <c r="J961">
        <v>-221.053</v>
      </c>
      <c r="K961">
        <v>1.1068629999999999</v>
      </c>
      <c r="L961">
        <v>282.66730000000001</v>
      </c>
      <c r="M961">
        <v>-0.99527129999999997</v>
      </c>
      <c r="N961">
        <v>0</v>
      </c>
      <c r="O961">
        <v>-9.6140690000000001E-2</v>
      </c>
      <c r="P961">
        <v>-0.98820390000000002</v>
      </c>
      <c r="Q961">
        <v>0.1228646</v>
      </c>
      <c r="R961">
        <v>-9.1417100000000001E-2</v>
      </c>
      <c r="S961">
        <v>-3.121445</v>
      </c>
      <c r="T961">
        <v>-0.64427619999999997</v>
      </c>
      <c r="U961">
        <v>6.7504880000000003E-2</v>
      </c>
      <c r="V961">
        <v>5.1748039999999999E-3</v>
      </c>
      <c r="W961">
        <v>0.13656940000000001</v>
      </c>
      <c r="X961">
        <v>0.99061699999999997</v>
      </c>
      <c r="Y961">
        <v>0.1132392</v>
      </c>
      <c r="Z961">
        <v>3.1181730000000001E-2</v>
      </c>
      <c r="AA961">
        <v>0.99307840000000003</v>
      </c>
      <c r="AB961">
        <v>33</v>
      </c>
      <c r="AC961">
        <v>-0.38499999999999002</v>
      </c>
      <c r="AD961">
        <v>-0.15055559999999901</v>
      </c>
      <c r="AE961">
        <v>4.6400000000005499E-2</v>
      </c>
      <c r="AF961">
        <v>7.2304096247722605E-2</v>
      </c>
      <c r="AG961">
        <v>-0.15055559999999901</v>
      </c>
      <c r="AH961">
        <v>0.32914215372702998</v>
      </c>
      <c r="AI961">
        <v>114.073440467254</v>
      </c>
      <c r="AJ961">
        <v>77.610378427154401</v>
      </c>
      <c r="AK961">
        <v>0.36909270974326702</v>
      </c>
      <c r="AL961">
        <v>82.150619594105507</v>
      </c>
      <c r="AM961">
        <v>89.700699935383696</v>
      </c>
      <c r="AN961">
        <v>1.0000000101508899</v>
      </c>
    </row>
    <row r="962" spans="1:40" x14ac:dyDescent="0.3">
      <c r="A962" t="str">
        <f>"20200111150741322"</f>
        <v>20200111150741322</v>
      </c>
      <c r="B962" t="str">
        <f>"1578726461311684"</f>
        <v>1578726461311684</v>
      </c>
      <c r="C962" t="s">
        <v>40</v>
      </c>
      <c r="D962">
        <v>7.6887850000000002</v>
      </c>
      <c r="E962">
        <v>0.465646</v>
      </c>
      <c r="F962" t="s">
        <v>41</v>
      </c>
      <c r="G962">
        <v>-222.0008</v>
      </c>
      <c r="H962">
        <v>0.91353050000000002</v>
      </c>
      <c r="I962">
        <v>282.68959999999998</v>
      </c>
      <c r="J962">
        <v>-221.3672</v>
      </c>
      <c r="K962">
        <v>1.1068629999999999</v>
      </c>
      <c r="L962">
        <v>282.64089999999999</v>
      </c>
      <c r="M962">
        <v>-0.99563690000000005</v>
      </c>
      <c r="N962">
        <v>0</v>
      </c>
      <c r="O962">
        <v>-9.2277159999999997E-2</v>
      </c>
      <c r="P962">
        <v>-0.98824599999999996</v>
      </c>
      <c r="Q962">
        <v>0.1243575</v>
      </c>
      <c r="R962">
        <v>-8.8911069999999995E-2</v>
      </c>
      <c r="S962">
        <v>-3.1217039999999998</v>
      </c>
      <c r="T962">
        <v>-0.63667269999999998</v>
      </c>
      <c r="U962">
        <v>7.2784420000000002E-2</v>
      </c>
      <c r="V962">
        <v>3.8378230000000002E-3</v>
      </c>
      <c r="W962">
        <v>0.13807</v>
      </c>
      <c r="X962">
        <v>0.99041500000000005</v>
      </c>
      <c r="Y962">
        <v>0.1112842</v>
      </c>
      <c r="Z962">
        <v>2.984353E-2</v>
      </c>
      <c r="AA962">
        <v>0.99334040000000001</v>
      </c>
      <c r="AB962">
        <v>32</v>
      </c>
      <c r="AC962">
        <v>-0.63360000000000105</v>
      </c>
      <c r="AD962">
        <v>-0.19333249999999899</v>
      </c>
      <c r="AE962">
        <v>4.86999999999966E-2</v>
      </c>
      <c r="AF962">
        <v>9.79027641766375E-2</v>
      </c>
      <c r="AG962">
        <v>-0.19333249999999899</v>
      </c>
      <c r="AH962">
        <v>0.57333425027725604</v>
      </c>
      <c r="AI962">
        <v>108.386597821518</v>
      </c>
      <c r="AJ962">
        <v>80.309618151378402</v>
      </c>
      <c r="AK962">
        <v>0.61292297177594801</v>
      </c>
      <c r="AL962">
        <v>82.063818884256804</v>
      </c>
      <c r="AM962">
        <v>89.777981997599198</v>
      </c>
      <c r="AN962">
        <v>0.99999996300518901</v>
      </c>
    </row>
    <row r="963" spans="1:40" x14ac:dyDescent="0.3">
      <c r="A963" t="str">
        <f>"20200111150741344"</f>
        <v>20200111150741344</v>
      </c>
      <c r="B963" t="str">
        <f>"1578726461341940"</f>
        <v>1578726461341940</v>
      </c>
      <c r="C963" t="s">
        <v>40</v>
      </c>
      <c r="D963">
        <v>5.5848269999999998</v>
      </c>
      <c r="E963">
        <v>0.4770238</v>
      </c>
      <c r="F963" t="s">
        <v>56</v>
      </c>
      <c r="G963">
        <v>-352.55</v>
      </c>
      <c r="H963">
        <v>15.111370000000001</v>
      </c>
      <c r="I963">
        <v>258.71210000000002</v>
      </c>
      <c r="J963">
        <v>-221.68440000000001</v>
      </c>
      <c r="K963">
        <v>1.1068659999999999</v>
      </c>
      <c r="L963">
        <v>282.6155</v>
      </c>
      <c r="M963">
        <v>-0.99598909999999996</v>
      </c>
      <c r="N963">
        <v>0</v>
      </c>
      <c r="O963">
        <v>-8.8395429999999997E-2</v>
      </c>
      <c r="P963">
        <v>-0.98844050000000006</v>
      </c>
      <c r="Q963">
        <v>0.1250086</v>
      </c>
      <c r="R963">
        <v>-8.5783760000000001E-2</v>
      </c>
      <c r="S963">
        <v>-2.9477229999999999</v>
      </c>
      <c r="T963">
        <v>0.31468780000000002</v>
      </c>
      <c r="U963">
        <v>-0.53768919999999998</v>
      </c>
      <c r="V963">
        <v>3.1088890000000001E-3</v>
      </c>
      <c r="W963">
        <v>0.1387264</v>
      </c>
      <c r="X963">
        <v>0.99032589999999998</v>
      </c>
      <c r="Y963">
        <v>-9.1756560000000001E-2</v>
      </c>
      <c r="Z963">
        <v>-4.4625639999999996E-3</v>
      </c>
      <c r="AA963">
        <v>0.99577150000000003</v>
      </c>
      <c r="AB963">
        <v>32</v>
      </c>
      <c r="AC963">
        <v>-130.8656</v>
      </c>
      <c r="AD963">
        <v>14.004504000000001</v>
      </c>
      <c r="AE963">
        <v>-23.903399999999898</v>
      </c>
      <c r="AF963">
        <v>-12.106610234404201</v>
      </c>
      <c r="AG963">
        <v>14.004504000000001</v>
      </c>
      <c r="AH963">
        <v>131.01443086116299</v>
      </c>
      <c r="AI963">
        <v>83.924349422146804</v>
      </c>
      <c r="AJ963">
        <v>95.279520279734101</v>
      </c>
      <c r="AK963">
        <v>132.315823836487</v>
      </c>
      <c r="AL963">
        <v>82.025845059768599</v>
      </c>
      <c r="AM963">
        <v>89.820134327965306</v>
      </c>
      <c r="AN963">
        <v>1.00000003372929</v>
      </c>
    </row>
    <row r="964" spans="1:40" x14ac:dyDescent="0.3">
      <c r="A964" t="str">
        <f>"20200111150741366"</f>
        <v>20200111150741366</v>
      </c>
      <c r="B964" t="str">
        <f>"1578726461362436"</f>
        <v>1578726461362436</v>
      </c>
      <c r="C964" t="s">
        <v>40</v>
      </c>
      <c r="D964">
        <v>5.5326469999999999</v>
      </c>
      <c r="E964">
        <v>0.50598589999999999</v>
      </c>
      <c r="F964" t="s">
        <v>56</v>
      </c>
      <c r="G964">
        <v>-351.48700000000002</v>
      </c>
      <c r="H964">
        <v>8.1792479999999994</v>
      </c>
      <c r="I964">
        <v>263.80130000000003</v>
      </c>
      <c r="J964">
        <v>-222.00229999999999</v>
      </c>
      <c r="K964">
        <v>1.1068629999999999</v>
      </c>
      <c r="L964">
        <v>282.59129999999999</v>
      </c>
      <c r="M964">
        <v>-0.99632540000000003</v>
      </c>
      <c r="N964">
        <v>0</v>
      </c>
      <c r="O964">
        <v>-8.4519919999999998E-2</v>
      </c>
      <c r="P964">
        <v>-0.98876240000000004</v>
      </c>
      <c r="Q964">
        <v>0.12525729999999999</v>
      </c>
      <c r="R964">
        <v>-8.1604990000000002E-2</v>
      </c>
      <c r="S964">
        <v>-2.9771269999999999</v>
      </c>
      <c r="T964">
        <v>0.16221240000000001</v>
      </c>
      <c r="U964">
        <v>-0.43151859999999997</v>
      </c>
      <c r="V964">
        <v>3.4414379999999998E-3</v>
      </c>
      <c r="W964">
        <v>0.1389715</v>
      </c>
      <c r="X964">
        <v>0.99029040000000002</v>
      </c>
      <c r="Y964">
        <v>-5.9314680000000002E-2</v>
      </c>
      <c r="Z964">
        <v>-2.960931E-3</v>
      </c>
      <c r="AA964">
        <v>0.99823490000000004</v>
      </c>
      <c r="AB964">
        <v>32</v>
      </c>
      <c r="AC964">
        <v>-129.48469999999901</v>
      </c>
      <c r="AD964">
        <v>7.0723849999999997</v>
      </c>
      <c r="AE964">
        <v>-18.7899999999999</v>
      </c>
      <c r="AF964">
        <v>-7.7550065207070897</v>
      </c>
      <c r="AG964">
        <v>7.0723849999999997</v>
      </c>
      <c r="AH964">
        <v>130.22907115637199</v>
      </c>
      <c r="AI964">
        <v>86.896962514128504</v>
      </c>
      <c r="AJ964">
        <v>93.407880019641098</v>
      </c>
      <c r="AK964">
        <v>130.651328848871</v>
      </c>
      <c r="AL964">
        <v>82.011664225037705</v>
      </c>
      <c r="AM964">
        <v>89.800887619339605</v>
      </c>
      <c r="AN964">
        <v>0.99999999881995805</v>
      </c>
    </row>
    <row r="965" spans="1:40" x14ac:dyDescent="0.3">
      <c r="A965" t="str">
        <f>"20200111150741389"</f>
        <v>20200111150741389</v>
      </c>
      <c r="B965" t="str">
        <f>"1578726461381957"</f>
        <v>1578726461381957</v>
      </c>
      <c r="C965" t="s">
        <v>40</v>
      </c>
      <c r="D965">
        <v>5.523847</v>
      </c>
      <c r="E965">
        <v>0.50536650000000005</v>
      </c>
      <c r="F965" t="s">
        <v>41</v>
      </c>
      <c r="G965">
        <v>-222.86930000000001</v>
      </c>
      <c r="H965">
        <v>0.92337979999999997</v>
      </c>
      <c r="I965">
        <v>282.5478</v>
      </c>
      <c r="J965">
        <v>-222.3417</v>
      </c>
      <c r="K965">
        <v>1.1068610000000001</v>
      </c>
      <c r="L965">
        <v>282.56689999999998</v>
      </c>
      <c r="M965">
        <v>-0.99666659999999996</v>
      </c>
      <c r="N965">
        <v>0</v>
      </c>
      <c r="O965">
        <v>-8.0395999999999995E-2</v>
      </c>
      <c r="P965">
        <v>-0.9891723</v>
      </c>
      <c r="Q965">
        <v>0.12525559999999999</v>
      </c>
      <c r="R965">
        <v>-7.6478119999999997E-2</v>
      </c>
      <c r="S965">
        <v>-3.1044160000000001</v>
      </c>
      <c r="T965">
        <v>-0.65691109999999997</v>
      </c>
      <c r="U965">
        <v>-0.15618899999999999</v>
      </c>
      <c r="V965">
        <v>4.477595E-3</v>
      </c>
      <c r="W965">
        <v>0.13896059999999999</v>
      </c>
      <c r="X965">
        <v>0.99028780000000005</v>
      </c>
      <c r="Y965">
        <v>2.7831180000000001E-2</v>
      </c>
      <c r="Z965">
        <v>1.9705670000000002E-2</v>
      </c>
      <c r="AA965">
        <v>0.99941840000000004</v>
      </c>
      <c r="AB965">
        <v>32</v>
      </c>
      <c r="AC965">
        <v>-0.52760000000000595</v>
      </c>
      <c r="AD965">
        <v>-0.18348120000000001</v>
      </c>
      <c r="AE965">
        <v>-1.9099999999980299E-2</v>
      </c>
      <c r="AF965">
        <v>2.0862959588901098E-2</v>
      </c>
      <c r="AG965">
        <v>-0.18348120000000001</v>
      </c>
      <c r="AH965">
        <v>0.47058857825115402</v>
      </c>
      <c r="AI965">
        <v>111.28164300310701</v>
      </c>
      <c r="AJ965">
        <v>87.4615250825711</v>
      </c>
      <c r="AK965">
        <v>0.50552371241781602</v>
      </c>
      <c r="AL965">
        <v>82.012294974191803</v>
      </c>
      <c r="AM965">
        <v>89.740938394270401</v>
      </c>
      <c r="AN965">
        <v>1.0000000120190899</v>
      </c>
    </row>
    <row r="966" spans="1:40" x14ac:dyDescent="0.3">
      <c r="A966" t="str">
        <f>"20200111150741412"</f>
        <v>20200111150741412</v>
      </c>
      <c r="B966" t="str">
        <f>"1578726461402452"</f>
        <v>1578726461402452</v>
      </c>
      <c r="C966" t="s">
        <v>40</v>
      </c>
      <c r="D966">
        <v>5.542751</v>
      </c>
      <c r="E966">
        <v>0.50573869999999999</v>
      </c>
      <c r="F966" t="s">
        <v>41</v>
      </c>
      <c r="G966">
        <v>-223.1558</v>
      </c>
      <c r="H966">
        <v>0.91588619999999998</v>
      </c>
      <c r="I966">
        <v>282.52949999999998</v>
      </c>
      <c r="J966">
        <v>-222.6628</v>
      </c>
      <c r="K966">
        <v>1.106857</v>
      </c>
      <c r="L966">
        <v>282.54500000000002</v>
      </c>
      <c r="M966">
        <v>-0.9969732</v>
      </c>
      <c r="N966">
        <v>0</v>
      </c>
      <c r="O966">
        <v>-7.6502150000000005E-2</v>
      </c>
      <c r="P966">
        <v>-0.98952660000000003</v>
      </c>
      <c r="Q966">
        <v>0.12526599999999999</v>
      </c>
      <c r="R966">
        <v>-7.1734800000000001E-2</v>
      </c>
      <c r="S966">
        <v>-3.1142880000000002</v>
      </c>
      <c r="T966">
        <v>-0.73062039999999995</v>
      </c>
      <c r="U966">
        <v>-0.14303589999999999</v>
      </c>
      <c r="V966">
        <v>5.3571080000000002E-3</v>
      </c>
      <c r="W966">
        <v>0.13896339999999999</v>
      </c>
      <c r="X966">
        <v>0.99028300000000002</v>
      </c>
      <c r="Y966">
        <v>2.7860619999999999E-2</v>
      </c>
      <c r="Z966">
        <v>2.090183E-2</v>
      </c>
      <c r="AA966">
        <v>0.99939330000000004</v>
      </c>
      <c r="AB966">
        <v>32</v>
      </c>
      <c r="AC966">
        <v>-0.492999999999995</v>
      </c>
      <c r="AD966">
        <v>-0.1909708</v>
      </c>
      <c r="AE966">
        <v>-1.55000000000313E-2</v>
      </c>
      <c r="AF966">
        <v>1.9362160699299601E-2</v>
      </c>
      <c r="AG966">
        <v>-0.1909708</v>
      </c>
      <c r="AH966">
        <v>0.42850635186779301</v>
      </c>
      <c r="AI966">
        <v>113.999199364959</v>
      </c>
      <c r="AJ966">
        <v>87.412836456967497</v>
      </c>
      <c r="AK966">
        <v>0.46953427277530002</v>
      </c>
      <c r="AL966">
        <v>82.012132657450294</v>
      </c>
      <c r="AM966">
        <v>89.690051546178495</v>
      </c>
      <c r="AN966">
        <v>0.99999997261734097</v>
      </c>
    </row>
    <row r="967" spans="1:40" x14ac:dyDescent="0.3">
      <c r="A967" t="str">
        <f>"20200111150741436"</f>
        <v>20200111150741436</v>
      </c>
      <c r="B967" t="str">
        <f>"1578726461431733"</f>
        <v>1578726461431733</v>
      </c>
      <c r="C967" t="s">
        <v>40</v>
      </c>
      <c r="D967">
        <v>5.5106169999999999</v>
      </c>
      <c r="E967">
        <v>0.50486140000000002</v>
      </c>
      <c r="F967" t="s">
        <v>41</v>
      </c>
      <c r="G967">
        <v>-223.44929999999999</v>
      </c>
      <c r="H967">
        <v>0.92431249999999998</v>
      </c>
      <c r="I967">
        <v>282.51280000000003</v>
      </c>
      <c r="J967">
        <v>-223.01310000000001</v>
      </c>
      <c r="K967">
        <v>1.106862</v>
      </c>
      <c r="L967">
        <v>282.52249999999998</v>
      </c>
      <c r="M967">
        <v>-0.99728939999999999</v>
      </c>
      <c r="N967">
        <v>0</v>
      </c>
      <c r="O967">
        <v>-7.2263939999999999E-2</v>
      </c>
      <c r="P967">
        <v>-0.98993160000000002</v>
      </c>
      <c r="Q967">
        <v>0.1244126</v>
      </c>
      <c r="R967">
        <v>-6.7506330000000003E-2</v>
      </c>
      <c r="S967">
        <v>-3.113998</v>
      </c>
      <c r="T967">
        <v>-0.7227401</v>
      </c>
      <c r="U967">
        <v>-0.12725829999999999</v>
      </c>
      <c r="V967">
        <v>5.3767800000000003E-3</v>
      </c>
      <c r="W967">
        <v>0.1381106</v>
      </c>
      <c r="X967">
        <v>0.99040220000000001</v>
      </c>
      <c r="Y967">
        <v>2.880719E-2</v>
      </c>
      <c r="Z967">
        <v>1.9827810000000001E-2</v>
      </c>
      <c r="AA967">
        <v>0.99938830000000001</v>
      </c>
      <c r="AB967">
        <v>32</v>
      </c>
      <c r="AC967">
        <v>-0.43619999999998499</v>
      </c>
      <c r="AD967">
        <v>-0.1825495</v>
      </c>
      <c r="AE967">
        <v>-9.6999999999525192E-3</v>
      </c>
      <c r="AF967">
        <v>1.85948003343465E-2</v>
      </c>
      <c r="AG967">
        <v>-0.1825495</v>
      </c>
      <c r="AH967">
        <v>0.37084244675943701</v>
      </c>
      <c r="AI967">
        <v>116.180510634228</v>
      </c>
      <c r="AJ967">
        <v>87.129476289093901</v>
      </c>
      <c r="AK967">
        <v>0.41375621671251001</v>
      </c>
      <c r="AL967">
        <v>82.061470331235796</v>
      </c>
      <c r="AM967">
        <v>89.688950837453802</v>
      </c>
      <c r="AN967">
        <v>0.99999998268018397</v>
      </c>
    </row>
    <row r="968" spans="1:40" x14ac:dyDescent="0.3">
      <c r="A968" t="str">
        <f>"20200111150741459"</f>
        <v>20200111150741459</v>
      </c>
      <c r="B968" t="str">
        <f>"1578726461452229"</f>
        <v>1578726461452229</v>
      </c>
      <c r="C968" t="s">
        <v>40</v>
      </c>
      <c r="D968">
        <v>5.4523630000000001</v>
      </c>
      <c r="E968">
        <v>0.50442609999999999</v>
      </c>
      <c r="F968" t="s">
        <v>41</v>
      </c>
      <c r="G968">
        <v>-223.74119999999999</v>
      </c>
      <c r="H968">
        <v>0.92954369999999997</v>
      </c>
      <c r="I968">
        <v>282.49470000000002</v>
      </c>
      <c r="J968">
        <v>-223.3409</v>
      </c>
      <c r="K968">
        <v>1.1068739999999999</v>
      </c>
      <c r="L968">
        <v>282.50279999999998</v>
      </c>
      <c r="M968">
        <v>-0.99756800000000001</v>
      </c>
      <c r="N968">
        <v>0</v>
      </c>
      <c r="O968">
        <v>-6.8310190000000007E-2</v>
      </c>
      <c r="P968">
        <v>-0.99033329999999997</v>
      </c>
      <c r="Q968">
        <v>0.12305820000000001</v>
      </c>
      <c r="R968">
        <v>-6.4006510000000003E-2</v>
      </c>
      <c r="S968">
        <v>-3.117737</v>
      </c>
      <c r="T968">
        <v>-0.7590365</v>
      </c>
      <c r="U968">
        <v>-0.119751</v>
      </c>
      <c r="V968">
        <v>4.9469659999999997E-3</v>
      </c>
      <c r="W968">
        <v>0.13676160000000001</v>
      </c>
      <c r="X968">
        <v>0.99059160000000002</v>
      </c>
      <c r="Y968">
        <v>2.719328E-2</v>
      </c>
      <c r="Z968">
        <v>1.9633419999999999E-2</v>
      </c>
      <c r="AA968">
        <v>0.99943740000000003</v>
      </c>
      <c r="AB968">
        <v>32</v>
      </c>
      <c r="AC968">
        <v>-0.400299999999987</v>
      </c>
      <c r="AD968">
        <v>-0.177330299999999</v>
      </c>
      <c r="AE968">
        <v>-8.0999999999562498E-3</v>
      </c>
      <c r="AF968">
        <v>1.61065984960247E-2</v>
      </c>
      <c r="AG968">
        <v>-0.177330299999999</v>
      </c>
      <c r="AH968">
        <v>0.33433416855172299</v>
      </c>
      <c r="AI968">
        <v>117.91392514501899</v>
      </c>
      <c r="AJ968">
        <v>87.241899654870096</v>
      </c>
      <c r="AK968">
        <v>0.37879386752477201</v>
      </c>
      <c r="AL968">
        <v>82.139502667406205</v>
      </c>
      <c r="AM968">
        <v>89.713870058115504</v>
      </c>
      <c r="AN968">
        <v>0.99999996284886095</v>
      </c>
    </row>
    <row r="969" spans="1:40" x14ac:dyDescent="0.3">
      <c r="A969" t="str">
        <f>"20200111150741481"</f>
        <v>20200111150741481</v>
      </c>
      <c r="B969" t="str">
        <f>"1578726461471748"</f>
        <v>1578726461471748</v>
      </c>
      <c r="C969" t="s">
        <v>40</v>
      </c>
      <c r="D969">
        <v>6.0689099999999998</v>
      </c>
      <c r="E969">
        <v>0.50399680000000002</v>
      </c>
      <c r="F969" t="s">
        <v>41</v>
      </c>
      <c r="G969">
        <v>-224.0326</v>
      </c>
      <c r="H969">
        <v>0.93409489999999995</v>
      </c>
      <c r="I969">
        <v>282.4778</v>
      </c>
      <c r="J969">
        <v>-223.6602</v>
      </c>
      <c r="K969">
        <v>1.1069</v>
      </c>
      <c r="L969">
        <v>282.48489999999998</v>
      </c>
      <c r="M969">
        <v>-0.9978226</v>
      </c>
      <c r="N969">
        <v>0</v>
      </c>
      <c r="O969">
        <v>-6.4484749999999993E-2</v>
      </c>
      <c r="P969">
        <v>-0.990591</v>
      </c>
      <c r="Q969">
        <v>0.1223128</v>
      </c>
      <c r="R969">
        <v>-6.1397019999999997E-2</v>
      </c>
      <c r="S969">
        <v>-3.1188509999999998</v>
      </c>
      <c r="T969">
        <v>-0.7791034</v>
      </c>
      <c r="U969">
        <v>-0.11218259999999999</v>
      </c>
      <c r="V969">
        <v>3.749189E-3</v>
      </c>
      <c r="W969">
        <v>0.1360266</v>
      </c>
      <c r="X969">
        <v>0.99069810000000003</v>
      </c>
      <c r="Y969">
        <v>2.58105E-2</v>
      </c>
      <c r="Z969">
        <v>1.9022569999999999E-2</v>
      </c>
      <c r="AA969">
        <v>0.99948590000000004</v>
      </c>
      <c r="AB969">
        <v>32</v>
      </c>
      <c r="AC969">
        <v>-0.37239999999999801</v>
      </c>
      <c r="AD969">
        <v>-0.17280509999999899</v>
      </c>
      <c r="AE969">
        <v>-7.0999999999799002E-3</v>
      </c>
      <c r="AF969">
        <v>1.39323216861507E-2</v>
      </c>
      <c r="AG969">
        <v>-0.17280509999999899</v>
      </c>
      <c r="AH969">
        <v>0.30617877375834401</v>
      </c>
      <c r="AI969">
        <v>119.41471266976799</v>
      </c>
      <c r="AJ969">
        <v>87.394617062901801</v>
      </c>
      <c r="AK969">
        <v>0.35185388114065203</v>
      </c>
      <c r="AL969">
        <v>82.182012697154804</v>
      </c>
      <c r="AM969">
        <v>89.783171401239798</v>
      </c>
      <c r="AN969">
        <v>1.0000000088346599</v>
      </c>
    </row>
    <row r="970" spans="1:40" x14ac:dyDescent="0.3">
      <c r="A970" t="str">
        <f>"20200111150741502"</f>
        <v>20200111150741502</v>
      </c>
      <c r="B970" t="str">
        <f>"1578726461492245"</f>
        <v>1578726461492245</v>
      </c>
      <c r="C970" t="s">
        <v>40</v>
      </c>
      <c r="D970">
        <v>5.4088139999999996</v>
      </c>
      <c r="E970">
        <v>0.50514269999999994</v>
      </c>
      <c r="F970" t="s">
        <v>41</v>
      </c>
      <c r="G970">
        <v>-224.58330000000001</v>
      </c>
      <c r="H970">
        <v>0.87323700000000004</v>
      </c>
      <c r="I970">
        <v>282.45260000000002</v>
      </c>
      <c r="J970">
        <v>-223.97550000000001</v>
      </c>
      <c r="K970">
        <v>1.10694</v>
      </c>
      <c r="L970">
        <v>282.46839999999997</v>
      </c>
      <c r="M970">
        <v>-0.99805710000000003</v>
      </c>
      <c r="N970">
        <v>0</v>
      </c>
      <c r="O970">
        <v>-6.0747009999999997E-2</v>
      </c>
      <c r="P970">
        <v>-0.99067530000000004</v>
      </c>
      <c r="Q970">
        <v>0.1224905</v>
      </c>
      <c r="R970">
        <v>-5.9654930000000002E-2</v>
      </c>
      <c r="S970">
        <v>-3.1191710000000001</v>
      </c>
      <c r="T970">
        <v>-0.78945540000000003</v>
      </c>
      <c r="U970">
        <v>-0.10968020000000001</v>
      </c>
      <c r="V970">
        <v>1.7661129999999999E-3</v>
      </c>
      <c r="W970">
        <v>0.13621839999999999</v>
      </c>
      <c r="X970">
        <v>0.99067720000000004</v>
      </c>
      <c r="Y970">
        <v>2.3004110000000001E-2</v>
      </c>
      <c r="Z970">
        <v>1.7987320000000001E-2</v>
      </c>
      <c r="AA970">
        <v>0.9995735</v>
      </c>
      <c r="AB970">
        <v>32</v>
      </c>
      <c r="AC970">
        <v>-0.60779999999999701</v>
      </c>
      <c r="AD970">
        <v>-0.23370299999999999</v>
      </c>
      <c r="AE970">
        <v>-1.5799999999955999E-2</v>
      </c>
      <c r="AF970">
        <v>1.8431579550962199E-2</v>
      </c>
      <c r="AG970">
        <v>-0.23370299999999999</v>
      </c>
      <c r="AH970">
        <v>0.52941812783309095</v>
      </c>
      <c r="AI970">
        <v>113.80546115153</v>
      </c>
      <c r="AJ970">
        <v>88.006064954664893</v>
      </c>
      <c r="AK970">
        <v>0.57899945545055398</v>
      </c>
      <c r="AL970">
        <v>82.170919599478196</v>
      </c>
      <c r="AM970">
        <v>89.897857027653401</v>
      </c>
      <c r="AN970">
        <v>0.99999994312676199</v>
      </c>
    </row>
    <row r="971" spans="1:40" x14ac:dyDescent="0.3">
      <c r="A971" t="str">
        <f>"20200111150741525"</f>
        <v>20200111150741525</v>
      </c>
      <c r="B971" t="str">
        <f>"1578726461522500"</f>
        <v>1578726461522500</v>
      </c>
      <c r="C971" t="s">
        <v>40</v>
      </c>
      <c r="D971">
        <v>5.4298929999999999</v>
      </c>
      <c r="E971">
        <v>0.50516759999999905</v>
      </c>
      <c r="F971" t="s">
        <v>41</v>
      </c>
      <c r="G971">
        <v>-224.87530000000001</v>
      </c>
      <c r="H971">
        <v>0.88047909999999996</v>
      </c>
      <c r="I971">
        <v>282.44049999999999</v>
      </c>
      <c r="J971">
        <v>-224.2921</v>
      </c>
      <c r="K971">
        <v>1.1069869999999999</v>
      </c>
      <c r="L971">
        <v>282.45299999999997</v>
      </c>
      <c r="M971">
        <v>-0.99827619999999895</v>
      </c>
      <c r="N971">
        <v>0</v>
      </c>
      <c r="O971">
        <v>-5.703304E-2</v>
      </c>
      <c r="P971">
        <v>-0.9904906</v>
      </c>
      <c r="Q971">
        <v>0.1240911</v>
      </c>
      <c r="R971">
        <v>-5.9412039999999999E-2</v>
      </c>
      <c r="S971">
        <v>-3.119415</v>
      </c>
      <c r="T971">
        <v>-0.78501140000000003</v>
      </c>
      <c r="U971">
        <v>-9.7351069999999998E-2</v>
      </c>
      <c r="V971">
        <v>-1.6948589999999999E-3</v>
      </c>
      <c r="W971">
        <v>0.13784189999999999</v>
      </c>
      <c r="X971">
        <v>0.99045280000000002</v>
      </c>
      <c r="Y971">
        <v>2.3366689999999999E-2</v>
      </c>
      <c r="Z971">
        <v>1.701573E-2</v>
      </c>
      <c r="AA971">
        <v>0.99958219999999998</v>
      </c>
      <c r="AB971">
        <v>32</v>
      </c>
      <c r="AC971">
        <v>-0.58320000000000405</v>
      </c>
      <c r="AD971">
        <v>-0.22650790000000001</v>
      </c>
      <c r="AE971">
        <v>-1.24999999999886E-2</v>
      </c>
      <c r="AF971">
        <v>1.8061908227798899E-2</v>
      </c>
      <c r="AG971">
        <v>-0.22650790000000001</v>
      </c>
      <c r="AH971">
        <v>0.50658296725299701</v>
      </c>
      <c r="AI971">
        <v>114.077240868801</v>
      </c>
      <c r="AJ971">
        <v>87.958018743752106</v>
      </c>
      <c r="AK971">
        <v>0.55521019803502403</v>
      </c>
      <c r="AL971">
        <v>82.077014559805605</v>
      </c>
      <c r="AM971">
        <v>90.098044220568596</v>
      </c>
      <c r="AN971">
        <v>1.00000000548524</v>
      </c>
    </row>
    <row r="972" spans="1:40" x14ac:dyDescent="0.3">
      <c r="A972" t="str">
        <f>"20200111150741545"</f>
        <v>20200111150741545</v>
      </c>
      <c r="B972" t="str">
        <f>"1578726461542021"</f>
        <v>1578726461542021</v>
      </c>
      <c r="C972" t="s">
        <v>40</v>
      </c>
      <c r="D972">
        <v>5.4370710000000004</v>
      </c>
      <c r="E972">
        <v>0.50469989999999998</v>
      </c>
      <c r="F972" t="s">
        <v>41</v>
      </c>
      <c r="G972">
        <v>-225.16640000000001</v>
      </c>
      <c r="H972">
        <v>0.88624020000000003</v>
      </c>
      <c r="I972">
        <v>282.42579999999998</v>
      </c>
      <c r="J972">
        <v>-224.59569999999999</v>
      </c>
      <c r="K972">
        <v>1.107035</v>
      </c>
      <c r="L972">
        <v>282.4393</v>
      </c>
      <c r="M972">
        <v>-0.99847059999999999</v>
      </c>
      <c r="N972">
        <v>0</v>
      </c>
      <c r="O972">
        <v>-5.3523899999999999E-2</v>
      </c>
      <c r="P972">
        <v>-0.99021300000000001</v>
      </c>
      <c r="Q972">
        <v>0.12638820000000001</v>
      </c>
      <c r="R972">
        <v>-5.9197079999999999E-2</v>
      </c>
      <c r="S972">
        <v>-3.1216740000000001</v>
      </c>
      <c r="T972">
        <v>-0.78812859999999996</v>
      </c>
      <c r="U972">
        <v>-9.7778320000000002E-2</v>
      </c>
      <c r="V972">
        <v>-4.9793659999999998E-3</v>
      </c>
      <c r="W972">
        <v>0.140158</v>
      </c>
      <c r="X972">
        <v>0.99011660000000001</v>
      </c>
      <c r="Y972">
        <v>1.9939729999999999E-2</v>
      </c>
      <c r="Z972">
        <v>1.5772640000000001E-2</v>
      </c>
      <c r="AA972">
        <v>0.99967680000000003</v>
      </c>
      <c r="AB972">
        <v>32</v>
      </c>
      <c r="AC972">
        <v>-0.57070000000001597</v>
      </c>
      <c r="AD972">
        <v>-0.22079480000000001</v>
      </c>
      <c r="AE972">
        <v>-1.35000000000218E-2</v>
      </c>
      <c r="AF972">
        <v>1.4847283210877501E-2</v>
      </c>
      <c r="AG972">
        <v>-0.22079480000000001</v>
      </c>
      <c r="AH972">
        <v>0.49635227986239999</v>
      </c>
      <c r="AI972">
        <v>113.97165261755799</v>
      </c>
      <c r="AJ972">
        <v>88.286634087513903</v>
      </c>
      <c r="AK972">
        <v>0.54344859117527</v>
      </c>
      <c r="AL972">
        <v>81.943010633050406</v>
      </c>
      <c r="AM972">
        <v>90.288142074670105</v>
      </c>
      <c r="AN972">
        <v>0.99999997032265997</v>
      </c>
    </row>
    <row r="973" spans="1:40" x14ac:dyDescent="0.3">
      <c r="A973" t="str">
        <f>"20200111150741567"</f>
        <v>20200111150741567</v>
      </c>
      <c r="B973" t="str">
        <f>"1578726461562516"</f>
        <v>1578726461562516</v>
      </c>
      <c r="C973" t="s">
        <v>40</v>
      </c>
      <c r="D973">
        <v>5.1502179999999997</v>
      </c>
      <c r="E973">
        <v>0.48041070000000002</v>
      </c>
      <c r="F973" t="s">
        <v>41</v>
      </c>
      <c r="G973">
        <v>-225.4571</v>
      </c>
      <c r="H973">
        <v>0.89162619999999904</v>
      </c>
      <c r="I973">
        <v>282.41129999999998</v>
      </c>
      <c r="J973">
        <v>-224.90880000000001</v>
      </c>
      <c r="K973">
        <v>1.1071</v>
      </c>
      <c r="L973">
        <v>282.42619999999999</v>
      </c>
      <c r="M973">
        <v>-0.99865420000000005</v>
      </c>
      <c r="N973">
        <v>0</v>
      </c>
      <c r="O973">
        <v>-4.9980539999999997E-2</v>
      </c>
      <c r="P973">
        <v>-0.98994729999999997</v>
      </c>
      <c r="Q973">
        <v>0.12898029999999999</v>
      </c>
      <c r="R973">
        <v>-5.803759E-2</v>
      </c>
      <c r="S973">
        <v>-3.1231990000000001</v>
      </c>
      <c r="T973">
        <v>-0.78088639999999998</v>
      </c>
      <c r="U973">
        <v>-0.1020813</v>
      </c>
      <c r="V973">
        <v>-7.3546769999999996E-3</v>
      </c>
      <c r="W973">
        <v>0.142759</v>
      </c>
      <c r="X973">
        <v>0.9897302</v>
      </c>
      <c r="Y973">
        <v>1.532553E-2</v>
      </c>
      <c r="Z973">
        <v>1.4185140000000001E-2</v>
      </c>
      <c r="AA973">
        <v>0.9997819</v>
      </c>
      <c r="AB973">
        <v>32</v>
      </c>
      <c r="AC973">
        <v>-0.54829999999998302</v>
      </c>
      <c r="AD973">
        <v>-0.21547379999999999</v>
      </c>
      <c r="AE973">
        <v>-1.4900000000011401E-2</v>
      </c>
      <c r="AF973">
        <v>1.0851017215025301E-2</v>
      </c>
      <c r="AG973">
        <v>-0.21547379999999999</v>
      </c>
      <c r="AH973">
        <v>0.475048299647441</v>
      </c>
      <c r="AI973">
        <v>114.39261193402901</v>
      </c>
      <c r="AJ973">
        <v>88.691481694840604</v>
      </c>
      <c r="AK973">
        <v>0.52174475566024203</v>
      </c>
      <c r="AL973">
        <v>81.792471082637903</v>
      </c>
      <c r="AM973">
        <v>90.425756631118603</v>
      </c>
      <c r="AN973">
        <v>1.0000000460734</v>
      </c>
    </row>
    <row r="974" spans="1:40" x14ac:dyDescent="0.3">
      <c r="A974" t="str">
        <f>"20200111150741590"</f>
        <v>20200111150741590</v>
      </c>
      <c r="B974" t="str">
        <f>"1578726461582036"</f>
        <v>1578726461582036</v>
      </c>
      <c r="C974" t="s">
        <v>40</v>
      </c>
      <c r="D974">
        <v>5.2084359999999998</v>
      </c>
      <c r="E974">
        <v>0.48757220000000001</v>
      </c>
      <c r="F974" t="s">
        <v>56</v>
      </c>
      <c r="G974">
        <v>-363.00580000000002</v>
      </c>
      <c r="H974">
        <v>0.89247889999999996</v>
      </c>
      <c r="I974">
        <v>267.85000000000002</v>
      </c>
      <c r="J974">
        <v>-225.24719999999999</v>
      </c>
      <c r="K974">
        <v>1.1071979999999999</v>
      </c>
      <c r="L974">
        <v>282.41320000000002</v>
      </c>
      <c r="M974">
        <v>-0.99883330000000004</v>
      </c>
      <c r="N974">
        <v>0</v>
      </c>
      <c r="O974">
        <v>-4.6267610000000001E-2</v>
      </c>
      <c r="P974">
        <v>-0.98985310000000004</v>
      </c>
      <c r="Q974">
        <v>0.13049330000000001</v>
      </c>
      <c r="R974">
        <v>-5.6235220000000002E-2</v>
      </c>
      <c r="S974">
        <v>-3.0124209999999998</v>
      </c>
      <c r="T974">
        <v>-4.6800369999999997E-3</v>
      </c>
      <c r="U974">
        <v>-0.31796259999999998</v>
      </c>
      <c r="V974">
        <v>-9.2625439999999993E-3</v>
      </c>
      <c r="W974">
        <v>0.14427709999999999</v>
      </c>
      <c r="X974">
        <v>0.98949399999999998</v>
      </c>
      <c r="Y974">
        <v>-5.8838599999999998E-2</v>
      </c>
      <c r="Z974" s="1">
        <v>2.6046749999999999E-5</v>
      </c>
      <c r="AA974">
        <v>0.99826749999999997</v>
      </c>
      <c r="AB974">
        <v>32</v>
      </c>
      <c r="AC974">
        <v>-137.7586</v>
      </c>
      <c r="AD974">
        <v>-0.214719099999999</v>
      </c>
      <c r="AE974">
        <v>-14.563199999999901</v>
      </c>
      <c r="AF974">
        <v>-8.1732102980835908</v>
      </c>
      <c r="AG974">
        <v>-0.214719099999999</v>
      </c>
      <c r="AH974">
        <v>138.284580099777</v>
      </c>
      <c r="AI974">
        <v>90.088810019504606</v>
      </c>
      <c r="AJ974">
        <v>93.382490653966101</v>
      </c>
      <c r="AK974">
        <v>138.52607178520699</v>
      </c>
      <c r="AL974">
        <v>81.704580318651693</v>
      </c>
      <c r="AM974">
        <v>90.536323796150796</v>
      </c>
      <c r="AN974">
        <v>1.0000000261708799</v>
      </c>
    </row>
    <row r="975" spans="1:40" x14ac:dyDescent="0.3">
      <c r="A975" t="str">
        <f>"20200111150741614"</f>
        <v>20200111150741614</v>
      </c>
      <c r="B975" t="str">
        <f>"1578726461602532"</f>
        <v>1578726461602532</v>
      </c>
      <c r="C975" t="s">
        <v>40</v>
      </c>
      <c r="D975">
        <v>5.2426170000000001</v>
      </c>
      <c r="E975">
        <v>0.49080849999999998</v>
      </c>
      <c r="F975" t="s">
        <v>55</v>
      </c>
      <c r="G975">
        <v>-260.83580000000001</v>
      </c>
      <c r="H975">
        <v>8.0001219999999998E-2</v>
      </c>
      <c r="I975">
        <v>279.4314</v>
      </c>
      <c r="J975">
        <v>-225.57640000000001</v>
      </c>
      <c r="K975">
        <v>1.1073109999999999</v>
      </c>
      <c r="L975">
        <v>282.40159999999997</v>
      </c>
      <c r="M975">
        <v>-0.99898790000000004</v>
      </c>
      <c r="N975">
        <v>0</v>
      </c>
      <c r="O975">
        <v>-4.2802840000000002E-2</v>
      </c>
      <c r="P975">
        <v>-0.98986070000000004</v>
      </c>
      <c r="Q975">
        <v>0.1308144</v>
      </c>
      <c r="R975">
        <v>-5.5349240000000001E-2</v>
      </c>
      <c r="S975">
        <v>-3.027863</v>
      </c>
      <c r="T975">
        <v>-8.7393520000000002E-2</v>
      </c>
      <c r="U975">
        <v>-0.25369259999999999</v>
      </c>
      <c r="V975">
        <v>-1.1851789999999999E-2</v>
      </c>
      <c r="W975">
        <v>0.1446074</v>
      </c>
      <c r="X975">
        <v>0.98941809999999997</v>
      </c>
      <c r="Y975">
        <v>-4.0760329999999997E-2</v>
      </c>
      <c r="Z975">
        <v>6.4520609999999998E-4</v>
      </c>
      <c r="AA975">
        <v>0.99916879999999997</v>
      </c>
      <c r="AB975">
        <v>32</v>
      </c>
      <c r="AC975">
        <v>-35.259399999999999</v>
      </c>
      <c r="AD975">
        <v>-1.02730978</v>
      </c>
      <c r="AE975">
        <v>-2.97019999999997</v>
      </c>
      <c r="AF975">
        <v>-1.45690268916952</v>
      </c>
      <c r="AG975">
        <v>-1.02730978</v>
      </c>
      <c r="AH975">
        <v>35.3244496903975</v>
      </c>
      <c r="AI975">
        <v>91.664398847551098</v>
      </c>
      <c r="AJ975">
        <v>92.361737935297896</v>
      </c>
      <c r="AK975">
        <v>35.369403115676299</v>
      </c>
      <c r="AL975">
        <v>81.685454496535996</v>
      </c>
      <c r="AM975">
        <v>90.686287294677498</v>
      </c>
      <c r="AN975">
        <v>0.99999997083428604</v>
      </c>
    </row>
    <row r="976" spans="1:40" x14ac:dyDescent="0.3">
      <c r="A976" t="str">
        <f>"20200111150741635"</f>
        <v>20200111150741635</v>
      </c>
      <c r="B976" t="str">
        <f>"1578726461631813"</f>
        <v>1578726461631813</v>
      </c>
      <c r="C976" t="s">
        <v>40</v>
      </c>
      <c r="D976">
        <v>5.2204240000000004</v>
      </c>
      <c r="E976">
        <v>0.49182890000000001</v>
      </c>
      <c r="F976" t="s">
        <v>55</v>
      </c>
      <c r="G976">
        <v>-245.86580000000001</v>
      </c>
      <c r="H976" s="1">
        <v>1.584683E-6</v>
      </c>
      <c r="I976">
        <v>280.9128</v>
      </c>
      <c r="J976">
        <v>-225.8871</v>
      </c>
      <c r="K976">
        <v>1.1074539999999999</v>
      </c>
      <c r="L976">
        <v>282.39150000000001</v>
      </c>
      <c r="M976">
        <v>-0.9991158</v>
      </c>
      <c r="N976">
        <v>0</v>
      </c>
      <c r="O976">
        <v>-3.9703530000000001E-2</v>
      </c>
      <c r="P976">
        <v>-0.98978460000000001</v>
      </c>
      <c r="Q976">
        <v>0.13159219999999999</v>
      </c>
      <c r="R976">
        <v>-5.4862250000000001E-2</v>
      </c>
      <c r="S976">
        <v>-3.0401919999999998</v>
      </c>
      <c r="T976">
        <v>-0.16592119999999999</v>
      </c>
      <c r="U976">
        <v>-0.22308349999999999</v>
      </c>
      <c r="V976">
        <v>-1.4484550000000001E-2</v>
      </c>
      <c r="W976">
        <v>0.14539099999999999</v>
      </c>
      <c r="X976">
        <v>0.98926820000000004</v>
      </c>
      <c r="Y976">
        <v>-3.3531890000000002E-2</v>
      </c>
      <c r="Z976">
        <v>1.248227E-3</v>
      </c>
      <c r="AA976">
        <v>0.99943689999999996</v>
      </c>
      <c r="AB976">
        <v>32</v>
      </c>
      <c r="AC976">
        <v>-19.9787</v>
      </c>
      <c r="AD976">
        <v>-1.107452415317</v>
      </c>
      <c r="AE976">
        <v>-1.4786999999999999</v>
      </c>
      <c r="AF976">
        <v>-0.68214845433966098</v>
      </c>
      <c r="AG976">
        <v>-1.107452415317</v>
      </c>
      <c r="AH976">
        <v>19.960660744539599</v>
      </c>
      <c r="AI976">
        <v>93.173765443478501</v>
      </c>
      <c r="AJ976">
        <v>91.957301064207002</v>
      </c>
      <c r="AK976">
        <v>20.002993644066201</v>
      </c>
      <c r="AL976">
        <v>81.6400778661435</v>
      </c>
      <c r="AM976">
        <v>90.838846620344299</v>
      </c>
      <c r="AN976">
        <v>0.99999995830046995</v>
      </c>
    </row>
    <row r="977" spans="1:40" x14ac:dyDescent="0.3">
      <c r="A977" t="str">
        <f>"20200111150741656"</f>
        <v>20200111150741656</v>
      </c>
      <c r="B977" t="str">
        <f>"1578726461652309"</f>
        <v>1578726461652309</v>
      </c>
      <c r="C977" t="s">
        <v>40</v>
      </c>
      <c r="D977">
        <v>5.2832169999999996</v>
      </c>
      <c r="E977">
        <v>0.49201810000000001</v>
      </c>
      <c r="F977" t="s">
        <v>55</v>
      </c>
      <c r="G977">
        <v>-246.3056</v>
      </c>
      <c r="H977" s="1">
        <v>1.818715E-6</v>
      </c>
      <c r="I977">
        <v>280.96190000000001</v>
      </c>
      <c r="J977">
        <v>-226.1875</v>
      </c>
      <c r="K977">
        <v>1.107621</v>
      </c>
      <c r="L977">
        <v>282.38260000000002</v>
      </c>
      <c r="M977">
        <v>-0.99922330000000004</v>
      </c>
      <c r="N977">
        <v>0</v>
      </c>
      <c r="O977">
        <v>-3.6906429999999997E-2</v>
      </c>
      <c r="P977">
        <v>-0.98965420000000004</v>
      </c>
      <c r="Q977">
        <v>0.1329427</v>
      </c>
      <c r="R977">
        <v>-5.395341E-2</v>
      </c>
      <c r="S977">
        <v>-3.041061</v>
      </c>
      <c r="T977">
        <v>-0.1649408</v>
      </c>
      <c r="U977">
        <v>-0.2129211</v>
      </c>
      <c r="V977">
        <v>-1.6402070000000001E-2</v>
      </c>
      <c r="W977">
        <v>0.14673820000000001</v>
      </c>
      <c r="X977">
        <v>0.98903940000000001</v>
      </c>
      <c r="Y977">
        <v>-3.2982749999999998E-2</v>
      </c>
      <c r="Z977">
        <v>1.1043139999999999E-3</v>
      </c>
      <c r="AA977">
        <v>0.99945530000000005</v>
      </c>
      <c r="AB977">
        <v>32</v>
      </c>
      <c r="AC977">
        <v>-20.118099999999998</v>
      </c>
      <c r="AD977">
        <v>-1.107619181285</v>
      </c>
      <c r="AE977">
        <v>-1.4207000000000101</v>
      </c>
      <c r="AF977">
        <v>-0.67513758209866703</v>
      </c>
      <c r="AG977">
        <v>-1.107619181285</v>
      </c>
      <c r="AH977">
        <v>20.096217082585198</v>
      </c>
      <c r="AI977">
        <v>93.152936009267705</v>
      </c>
      <c r="AJ977">
        <v>91.924142779267399</v>
      </c>
      <c r="AK977">
        <v>20.138037939081901</v>
      </c>
      <c r="AL977">
        <v>81.562052778744601</v>
      </c>
      <c r="AM977">
        <v>90.950096879393598</v>
      </c>
      <c r="AN977">
        <v>1.00000003099594</v>
      </c>
    </row>
    <row r="978" spans="1:40" x14ac:dyDescent="0.3">
      <c r="A978" t="str">
        <f>"20200111150741680"</f>
        <v>20200111150741680</v>
      </c>
      <c r="B978" t="str">
        <f>"1578726461671829"</f>
        <v>1578726461671829</v>
      </c>
      <c r="C978" t="s">
        <v>40</v>
      </c>
      <c r="D978">
        <v>5.6316129999999998</v>
      </c>
      <c r="E978">
        <v>0.49575370000000002</v>
      </c>
      <c r="F978" t="s">
        <v>55</v>
      </c>
      <c r="G978">
        <v>-245.2903</v>
      </c>
      <c r="H978" s="1">
        <v>1.278443E-6</v>
      </c>
      <c r="I978">
        <v>281.07229999999998</v>
      </c>
      <c r="J978">
        <v>-226.52969999999999</v>
      </c>
      <c r="K978">
        <v>1.1078479999999999</v>
      </c>
      <c r="L978">
        <v>282.37299999999999</v>
      </c>
      <c r="M978">
        <v>-0.99932699999999997</v>
      </c>
      <c r="N978">
        <v>0</v>
      </c>
      <c r="O978">
        <v>-3.398412E-2</v>
      </c>
      <c r="P978">
        <v>-0.98949569999999998</v>
      </c>
      <c r="Q978">
        <v>0.135098</v>
      </c>
      <c r="R978">
        <v>-5.144551E-2</v>
      </c>
      <c r="S978">
        <v>-3.0436860000000001</v>
      </c>
      <c r="T978">
        <v>-0.176479</v>
      </c>
      <c r="U978">
        <v>-0.20877080000000001</v>
      </c>
      <c r="V978">
        <v>-1.6861629999999999E-2</v>
      </c>
      <c r="W978">
        <v>0.14887420000000001</v>
      </c>
      <c r="X978">
        <v>0.98871240000000005</v>
      </c>
      <c r="Y978">
        <v>-3.4482560000000002E-2</v>
      </c>
      <c r="Z978">
        <v>9.6816519999999996E-4</v>
      </c>
      <c r="AA978">
        <v>0.99940479999999998</v>
      </c>
      <c r="AB978">
        <v>32</v>
      </c>
      <c r="AC978">
        <v>-18.7606</v>
      </c>
      <c r="AD978">
        <v>-1.107846721557</v>
      </c>
      <c r="AE978">
        <v>-1.3007</v>
      </c>
      <c r="AF978">
        <v>-0.66003467437780305</v>
      </c>
      <c r="AG978">
        <v>-1.107846721557</v>
      </c>
      <c r="AH978">
        <v>18.728971074801901</v>
      </c>
      <c r="AI978">
        <v>93.383091513752007</v>
      </c>
      <c r="AJ978">
        <v>92.018346706397594</v>
      </c>
      <c r="AK978">
        <v>18.773314242578799</v>
      </c>
      <c r="AL978">
        <v>81.438309778541907</v>
      </c>
      <c r="AM978">
        <v>90.977034969697698</v>
      </c>
      <c r="AN978">
        <v>1.0000000259528199</v>
      </c>
    </row>
    <row r="979" spans="1:40" x14ac:dyDescent="0.3">
      <c r="A979" t="str">
        <f>"20200111150741702"</f>
        <v>20200111150741702</v>
      </c>
      <c r="B979" t="str">
        <f>"1578726461692324"</f>
        <v>1578726461692324</v>
      </c>
      <c r="C979" t="s">
        <v>40</v>
      </c>
      <c r="D979">
        <v>5.3197869999999998</v>
      </c>
      <c r="E979">
        <v>0.4891646</v>
      </c>
      <c r="F979" t="s">
        <v>57</v>
      </c>
      <c r="G979">
        <v>-512.84379999999999</v>
      </c>
      <c r="H979">
        <v>56.167389999999997</v>
      </c>
      <c r="I979">
        <v>263.65159999999997</v>
      </c>
      <c r="J979">
        <v>-226.8458</v>
      </c>
      <c r="K979">
        <v>1.108085</v>
      </c>
      <c r="L979">
        <v>282.36489999999998</v>
      </c>
      <c r="M979">
        <v>-0.99940569999999895</v>
      </c>
      <c r="N979">
        <v>0</v>
      </c>
      <c r="O979">
        <v>-3.15888E-2</v>
      </c>
      <c r="P979">
        <v>-0.98928119999999997</v>
      </c>
      <c r="Q979">
        <v>0.13728660000000001</v>
      </c>
      <c r="R979">
        <v>-4.9747600000000003E-2</v>
      </c>
      <c r="S979">
        <v>-2.9445190000000001</v>
      </c>
      <c r="T979">
        <v>0.56624509999999995</v>
      </c>
      <c r="U979">
        <v>-0.1925354</v>
      </c>
      <c r="V979">
        <v>-1.7612450000000002E-2</v>
      </c>
      <c r="W979">
        <v>0.15104419999999999</v>
      </c>
      <c r="X979">
        <v>0.98837010000000003</v>
      </c>
      <c r="Y979">
        <v>-3.3653580000000002E-2</v>
      </c>
      <c r="Z979">
        <v>-2.8083940000000001E-3</v>
      </c>
      <c r="AA979">
        <v>0.99942960000000003</v>
      </c>
      <c r="AB979">
        <v>32</v>
      </c>
      <c r="AC979">
        <v>-285.99799999999999</v>
      </c>
      <c r="AD979">
        <v>55.059305000000002</v>
      </c>
      <c r="AE979">
        <v>-18.7133</v>
      </c>
      <c r="AF979">
        <v>-9.3246436339811503</v>
      </c>
      <c r="AG979">
        <v>55.059305000000002</v>
      </c>
      <c r="AH979">
        <v>276.25149129087401</v>
      </c>
      <c r="AI979">
        <v>78.734413506603602</v>
      </c>
      <c r="AJ979">
        <v>91.933238291719206</v>
      </c>
      <c r="AK979">
        <v>281.83924937172202</v>
      </c>
      <c r="AL979">
        <v>81.312555699608197</v>
      </c>
      <c r="AM979">
        <v>91.020885050927404</v>
      </c>
      <c r="AN979">
        <v>1.00000000166132</v>
      </c>
    </row>
    <row r="980" spans="1:40" x14ac:dyDescent="0.3">
      <c r="A980" t="str">
        <f>"20200111150741725"</f>
        <v>20200111150741725</v>
      </c>
      <c r="B980" t="str">
        <f>"1578726461722580"</f>
        <v>1578726461722580</v>
      </c>
      <c r="C980" t="s">
        <v>40</v>
      </c>
      <c r="D980">
        <v>5.2186539999999999</v>
      </c>
      <c r="E980">
        <v>0.50982119999999997</v>
      </c>
      <c r="F980" t="s">
        <v>57</v>
      </c>
      <c r="G980">
        <v>-512.8442</v>
      </c>
      <c r="H980">
        <v>57.41675</v>
      </c>
      <c r="I980">
        <v>259.01100000000002</v>
      </c>
      <c r="J980">
        <v>-227.17269999999999</v>
      </c>
      <c r="K980">
        <v>1.1083080000000001</v>
      </c>
      <c r="L980">
        <v>282.3571</v>
      </c>
      <c r="M980">
        <v>-0.99947390000000003</v>
      </c>
      <c r="N980">
        <v>0</v>
      </c>
      <c r="O980">
        <v>-2.9358450000000001E-2</v>
      </c>
      <c r="P980">
        <v>-0.98918300000000003</v>
      </c>
      <c r="Q980">
        <v>0.13847110000000001</v>
      </c>
      <c r="R980">
        <v>-4.8402729999999998E-2</v>
      </c>
      <c r="S980">
        <v>-2.9401090000000001</v>
      </c>
      <c r="T980">
        <v>0.57886219999999999</v>
      </c>
      <c r="U980">
        <v>-0.24008180000000001</v>
      </c>
      <c r="V980">
        <v>-1.8554009999999999E-2</v>
      </c>
      <c r="W980">
        <v>0.1522126</v>
      </c>
      <c r="X980">
        <v>0.98817359999999999</v>
      </c>
      <c r="Y980">
        <v>-5.1662449999999999E-2</v>
      </c>
      <c r="Z980">
        <v>-6.8497289999999895E-4</v>
      </c>
      <c r="AA980">
        <v>0.99866440000000001</v>
      </c>
      <c r="AB980">
        <v>32</v>
      </c>
      <c r="AC980">
        <v>-285.67149999999998</v>
      </c>
      <c r="AD980">
        <v>56.308441999999999</v>
      </c>
      <c r="AE980">
        <v>-23.3461</v>
      </c>
      <c r="AF980">
        <v>-14.392883231168</v>
      </c>
      <c r="AG980">
        <v>56.308441999999999</v>
      </c>
      <c r="AH980">
        <v>275.59734262619799</v>
      </c>
      <c r="AI980">
        <v>78.467882985336601</v>
      </c>
      <c r="AJ980">
        <v>92.989517127845005</v>
      </c>
      <c r="AK980">
        <v>281.65882018995097</v>
      </c>
      <c r="AL980">
        <v>81.244828156354203</v>
      </c>
      <c r="AM980">
        <v>91.075662786156599</v>
      </c>
      <c r="AN980">
        <v>0.99999999531140005</v>
      </c>
    </row>
    <row r="981" spans="1:40" x14ac:dyDescent="0.3">
      <c r="A981" t="str">
        <f>"20200111150741746"</f>
        <v>20200111150741746</v>
      </c>
      <c r="B981" t="str">
        <f>"1578726461742101"</f>
        <v>1578726461742101</v>
      </c>
      <c r="C981" t="s">
        <v>40</v>
      </c>
      <c r="D981">
        <v>4.7360629999999997</v>
      </c>
      <c r="E981">
        <v>0.49751230000000002</v>
      </c>
      <c r="F981" t="s">
        <v>57</v>
      </c>
      <c r="G981">
        <v>-511.959</v>
      </c>
      <c r="H981">
        <v>1.0710649999999999</v>
      </c>
      <c r="I981">
        <v>277.09679999999997</v>
      </c>
      <c r="J981">
        <v>-227.4743</v>
      </c>
      <c r="K981">
        <v>1.1085069999999999</v>
      </c>
      <c r="L981">
        <v>282.35019999999997</v>
      </c>
      <c r="M981">
        <v>-0.99952580000000002</v>
      </c>
      <c r="N981">
        <v>0</v>
      </c>
      <c r="O981">
        <v>-2.7535799999999999E-2</v>
      </c>
      <c r="P981">
        <v>-0.98926250000000004</v>
      </c>
      <c r="Q981">
        <v>0.13864589999999999</v>
      </c>
      <c r="R981">
        <v>-4.6227310000000001E-2</v>
      </c>
      <c r="S981">
        <v>-3.0301360000000002</v>
      </c>
      <c r="T981">
        <v>-3.9541720000000003E-4</v>
      </c>
      <c r="U981">
        <v>-5.5969240000000003E-2</v>
      </c>
      <c r="V981">
        <v>-1.8253419999999999E-2</v>
      </c>
      <c r="W981">
        <v>0.15236810000000001</v>
      </c>
      <c r="X981">
        <v>0.98815520000000001</v>
      </c>
      <c r="Y981">
        <v>9.0730129999999996E-3</v>
      </c>
      <c r="Z981" s="1">
        <v>4.1846879999999996E-6</v>
      </c>
      <c r="AA981">
        <v>0.99995880000000004</v>
      </c>
      <c r="AB981">
        <v>32</v>
      </c>
      <c r="AC981">
        <v>-284.48469999999998</v>
      </c>
      <c r="AD981">
        <v>-3.7441999999999899E-2</v>
      </c>
      <c r="AE981">
        <v>-5.2533999999999903</v>
      </c>
      <c r="AF981">
        <v>2.58285024393866</v>
      </c>
      <c r="AG981">
        <v>-3.7441999999999899E-2</v>
      </c>
      <c r="AH981">
        <v>284.52147340132399</v>
      </c>
      <c r="AI981">
        <v>90.007539607294007</v>
      </c>
      <c r="AJ981">
        <v>89.479890387726201</v>
      </c>
      <c r="AK981">
        <v>284.53319901857901</v>
      </c>
      <c r="AL981">
        <v>81.2358132220551</v>
      </c>
      <c r="AM981">
        <v>91.058259873274693</v>
      </c>
      <c r="AN981">
        <v>0.999999962263172</v>
      </c>
    </row>
    <row r="982" spans="1:40" x14ac:dyDescent="0.3">
      <c r="A982" t="str">
        <f>"20200111150741768"</f>
        <v>20200111150741768</v>
      </c>
      <c r="B982" t="str">
        <f>"1578726461761621"</f>
        <v>1578726461761621</v>
      </c>
      <c r="C982" t="s">
        <v>40</v>
      </c>
      <c r="D982">
        <v>5.1605449999999999</v>
      </c>
      <c r="E982">
        <v>0.49446319999999999</v>
      </c>
      <c r="F982" t="s">
        <v>58</v>
      </c>
      <c r="G982">
        <v>-310.61610000000002</v>
      </c>
      <c r="H982">
        <v>3.925493E-2</v>
      </c>
      <c r="I982">
        <v>278.31889999999999</v>
      </c>
      <c r="J982">
        <v>-227.79169999999999</v>
      </c>
      <c r="K982">
        <v>1.1087209999999901</v>
      </c>
      <c r="L982">
        <v>282.34339999999997</v>
      </c>
      <c r="M982">
        <v>-0.99957019999999996</v>
      </c>
      <c r="N982">
        <v>0</v>
      </c>
      <c r="O982">
        <v>-2.5881009999999999E-2</v>
      </c>
      <c r="P982">
        <v>-0.98938839999999995</v>
      </c>
      <c r="Q982">
        <v>0.13861979999999999</v>
      </c>
      <c r="R982">
        <v>-4.3536039999999998E-2</v>
      </c>
      <c r="S982">
        <v>-3.0311430000000001</v>
      </c>
      <c r="T982">
        <v>-3.8982269999999999E-2</v>
      </c>
      <c r="U982">
        <v>-0.14697270000000001</v>
      </c>
      <c r="V982">
        <v>-1.7275820000000001E-2</v>
      </c>
      <c r="W982">
        <v>0.1523205</v>
      </c>
      <c r="X982">
        <v>0.98818019999999995</v>
      </c>
      <c r="Y982">
        <v>-2.2561589999999999E-2</v>
      </c>
      <c r="Z982">
        <v>1.8760099999999999E-4</v>
      </c>
      <c r="AA982">
        <v>0.99974540000000001</v>
      </c>
      <c r="AB982">
        <v>32</v>
      </c>
      <c r="AC982">
        <v>-82.824399999999997</v>
      </c>
      <c r="AD982">
        <v>-1.0694660699999901</v>
      </c>
      <c r="AE982">
        <v>-4.0244999999999802</v>
      </c>
      <c r="AF982">
        <v>-1.87905674738321</v>
      </c>
      <c r="AG982">
        <v>-1.0694660699999901</v>
      </c>
      <c r="AH982">
        <v>82.887031775949097</v>
      </c>
      <c r="AI982">
        <v>90.739039070490307</v>
      </c>
      <c r="AJ982">
        <v>91.298678222349395</v>
      </c>
      <c r="AK982">
        <v>82.915225673949394</v>
      </c>
      <c r="AL982">
        <v>81.238573470079501</v>
      </c>
      <c r="AM982">
        <v>91.001569095667406</v>
      </c>
      <c r="AN982">
        <v>1.00000004817448</v>
      </c>
    </row>
    <row r="983" spans="1:40" x14ac:dyDescent="0.3">
      <c r="A983" t="str">
        <f>"20200111150741791"</f>
        <v>20200111150741791</v>
      </c>
      <c r="B983" t="str">
        <f>"1578726461782117"</f>
        <v>1578726461782117</v>
      </c>
      <c r="C983" t="s">
        <v>40</v>
      </c>
      <c r="D983">
        <v>5.6049439999999997</v>
      </c>
      <c r="E983">
        <v>0.4941835</v>
      </c>
      <c r="F983" t="s">
        <v>59</v>
      </c>
      <c r="G983">
        <v>-448.69310000000002</v>
      </c>
      <c r="H983">
        <v>2.8509340000000001</v>
      </c>
      <c r="I983">
        <v>270.3313</v>
      </c>
      <c r="J983">
        <v>-228.12450000000001</v>
      </c>
      <c r="K983">
        <v>1.1089530000000001</v>
      </c>
      <c r="L983">
        <v>282.3365</v>
      </c>
      <c r="M983">
        <v>-0.99960700000000002</v>
      </c>
      <c r="N983">
        <v>0</v>
      </c>
      <c r="O983">
        <v>-2.4422079999999999E-2</v>
      </c>
      <c r="P983">
        <v>-0.98940810000000001</v>
      </c>
      <c r="Q983">
        <v>0.13874139999999999</v>
      </c>
      <c r="R983">
        <v>-4.2688400000000001E-2</v>
      </c>
      <c r="S983">
        <v>-3.0215909999999999</v>
      </c>
      <c r="T983">
        <v>2.383006E-2</v>
      </c>
      <c r="U983">
        <v>-0.1643066</v>
      </c>
      <c r="V983">
        <v>-1.7955929999999998E-2</v>
      </c>
      <c r="W983">
        <v>0.15242559999999999</v>
      </c>
      <c r="X983">
        <v>0.98815180000000002</v>
      </c>
      <c r="Y983">
        <v>-2.989257E-2</v>
      </c>
      <c r="Z983" s="1">
        <v>-7.4647369999999896E-5</v>
      </c>
      <c r="AA983">
        <v>0.99955309999999997</v>
      </c>
      <c r="AB983">
        <v>32</v>
      </c>
      <c r="AC983">
        <v>-220.5686</v>
      </c>
      <c r="AD983">
        <v>1.741981</v>
      </c>
      <c r="AE983">
        <v>-12.0052</v>
      </c>
      <c r="AF983">
        <v>-6.6139530804148796</v>
      </c>
      <c r="AG983">
        <v>1.741981</v>
      </c>
      <c r="AH983">
        <v>220.78228943493801</v>
      </c>
      <c r="AI983">
        <v>89.548146109428501</v>
      </c>
      <c r="AJ983">
        <v>91.715890800446104</v>
      </c>
      <c r="AK983">
        <v>220.88820294729899</v>
      </c>
      <c r="AL983">
        <v>81.2324799293512</v>
      </c>
      <c r="AM983">
        <v>91.041020007678895</v>
      </c>
      <c r="AN983">
        <v>0.99999997940038199</v>
      </c>
    </row>
    <row r="984" spans="1:40" x14ac:dyDescent="0.3">
      <c r="A984" t="str">
        <f>"20200111150741825"</f>
        <v>20200111150741825</v>
      </c>
      <c r="B984" t="str">
        <f>"1578726461822132"</f>
        <v>1578726461822132</v>
      </c>
      <c r="C984" t="s">
        <v>40</v>
      </c>
      <c r="D984">
        <v>5.2181249999999997</v>
      </c>
      <c r="E984">
        <v>0.51278219999999997</v>
      </c>
      <c r="F984" t="s">
        <v>57</v>
      </c>
      <c r="G984">
        <v>-512.84569999999997</v>
      </c>
      <c r="H984">
        <v>61.879489999999997</v>
      </c>
      <c r="I984">
        <v>264.83100000000002</v>
      </c>
      <c r="J984">
        <v>-228.5926</v>
      </c>
      <c r="K984">
        <v>1.1092919999999999</v>
      </c>
      <c r="L984">
        <v>282.32709999999997</v>
      </c>
      <c r="M984">
        <v>-0.99964520000000001</v>
      </c>
      <c r="N984">
        <v>0</v>
      </c>
      <c r="O984">
        <v>-2.281157E-2</v>
      </c>
      <c r="P984">
        <v>-0.98924699999999999</v>
      </c>
      <c r="Q984">
        <v>0.1400004</v>
      </c>
      <c r="R984">
        <v>-4.2315119999999998E-2</v>
      </c>
      <c r="S984">
        <v>-2.9364620000000001</v>
      </c>
      <c r="T984">
        <v>0.62675499999999995</v>
      </c>
      <c r="U984">
        <v>-0.18054200000000001</v>
      </c>
      <c r="V984">
        <v>-1.9296480000000001E-2</v>
      </c>
      <c r="W984">
        <v>0.153659299999999</v>
      </c>
      <c r="X984">
        <v>0.98793549999999997</v>
      </c>
      <c r="Y984">
        <v>-3.8234259999999999E-2</v>
      </c>
      <c r="Z984">
        <v>-7.7835100000000004E-4</v>
      </c>
      <c r="AA984">
        <v>0.9992685</v>
      </c>
      <c r="AB984">
        <v>32</v>
      </c>
      <c r="AC984">
        <v>-284.25310000000002</v>
      </c>
      <c r="AD984">
        <v>60.770198000000001</v>
      </c>
      <c r="AE984">
        <v>-17.496099999999998</v>
      </c>
      <c r="AF984">
        <v>-10.527330107566</v>
      </c>
      <c r="AG984">
        <v>60.770198000000001</v>
      </c>
      <c r="AH984">
        <v>272.18481055375003</v>
      </c>
      <c r="AI984">
        <v>77.423201987428897</v>
      </c>
      <c r="AJ984">
        <v>92.214932888526207</v>
      </c>
      <c r="AK984">
        <v>279.08495613402999</v>
      </c>
      <c r="AL984">
        <v>81.160952057329297</v>
      </c>
      <c r="AM984">
        <v>91.118966063927203</v>
      </c>
      <c r="AN984">
        <v>1.0000000433885601</v>
      </c>
    </row>
    <row r="985" spans="1:40" x14ac:dyDescent="0.3">
      <c r="A985" t="str">
        <f>"20200111150741845"</f>
        <v>20200111150741845</v>
      </c>
      <c r="B985" t="str">
        <f>"1578726461841653"</f>
        <v>1578726461841653</v>
      </c>
      <c r="C985" t="s">
        <v>40</v>
      </c>
      <c r="D985">
        <v>5.2822699999999996</v>
      </c>
      <c r="E985">
        <v>0.5147292</v>
      </c>
      <c r="F985" t="s">
        <v>41</v>
      </c>
      <c r="G985">
        <v>-229.53</v>
      </c>
      <c r="H985">
        <v>1.0334289999999999</v>
      </c>
      <c r="I985">
        <v>282.32549999999998</v>
      </c>
      <c r="J985">
        <v>-228.893</v>
      </c>
      <c r="K985">
        <v>1.1094930000000001</v>
      </c>
      <c r="L985">
        <v>282.32130000000001</v>
      </c>
      <c r="M985">
        <v>-0.99966299999999997</v>
      </c>
      <c r="N985">
        <v>0</v>
      </c>
      <c r="O985">
        <v>-2.202279E-2</v>
      </c>
      <c r="P985">
        <v>-0.98887689999999995</v>
      </c>
      <c r="Q985">
        <v>0.14241029999999999</v>
      </c>
      <c r="R985">
        <v>-4.2920079999999999E-2</v>
      </c>
      <c r="S985">
        <v>-3.0674739999999998</v>
      </c>
      <c r="T985">
        <v>-0.24830440000000001</v>
      </c>
      <c r="U985">
        <v>-5.7067869999999996E-3</v>
      </c>
      <c r="V985">
        <v>-2.075507E-2</v>
      </c>
      <c r="W985">
        <v>0.15605139999999901</v>
      </c>
      <c r="X985">
        <v>0.98753080000000004</v>
      </c>
      <c r="Y985">
        <v>2.0027329999999999E-2</v>
      </c>
      <c r="Z985">
        <v>2.5890850000000001E-3</v>
      </c>
      <c r="AA985">
        <v>0.99979609999999997</v>
      </c>
      <c r="AB985">
        <v>32</v>
      </c>
      <c r="AC985">
        <v>-0.63700000000000001</v>
      </c>
      <c r="AD985">
        <v>-7.6063999999999896E-2</v>
      </c>
      <c r="AE985">
        <v>4.1999999999688901E-3</v>
      </c>
      <c r="AF985">
        <v>1.7972569415696801E-2</v>
      </c>
      <c r="AG985">
        <v>-7.6063999999999896E-2</v>
      </c>
      <c r="AH985">
        <v>0.62780173641034098</v>
      </c>
      <c r="AI985">
        <v>96.905441024290894</v>
      </c>
      <c r="AJ985">
        <v>88.360196950768895</v>
      </c>
      <c r="AK985">
        <v>0.632648216299739</v>
      </c>
      <c r="AL985">
        <v>81.022220430050695</v>
      </c>
      <c r="AM985">
        <v>91.2040159824043</v>
      </c>
      <c r="AN985">
        <v>0.99999994666065095</v>
      </c>
    </row>
    <row r="986" spans="1:40" x14ac:dyDescent="0.3">
      <c r="A986" t="str">
        <f>"20200111150741868"</f>
        <v>20200111150741868</v>
      </c>
      <c r="B986" t="str">
        <f>"1578726461862149"</f>
        <v>1578726461862149</v>
      </c>
      <c r="C986" t="s">
        <v>40</v>
      </c>
      <c r="D986">
        <v>5.2909059999999997</v>
      </c>
      <c r="E986">
        <v>0.51540109999999995</v>
      </c>
      <c r="F986" t="s">
        <v>41</v>
      </c>
      <c r="G986">
        <v>-229.81659999999999</v>
      </c>
      <c r="H986">
        <v>1.0380199999999999</v>
      </c>
      <c r="I986">
        <v>282.3236</v>
      </c>
      <c r="J986">
        <v>-229.21600000000001</v>
      </c>
      <c r="K986">
        <v>1.109672</v>
      </c>
      <c r="L986">
        <v>282.315</v>
      </c>
      <c r="M986">
        <v>-0.99967790000000001</v>
      </c>
      <c r="N986">
        <v>0</v>
      </c>
      <c r="O986">
        <v>-2.13403E-2</v>
      </c>
      <c r="P986">
        <v>-0.98868109999999998</v>
      </c>
      <c r="Q986">
        <v>0.1433807</v>
      </c>
      <c r="R986">
        <v>-4.417973E-2</v>
      </c>
      <c r="S986">
        <v>-3.0682830000000001</v>
      </c>
      <c r="T986">
        <v>-0.2374937</v>
      </c>
      <c r="U986">
        <v>7.385254E-3</v>
      </c>
      <c r="V986">
        <v>-2.2757059999999999E-2</v>
      </c>
      <c r="W986">
        <v>0.15700749999999999</v>
      </c>
      <c r="X986">
        <v>0.98733519999999997</v>
      </c>
      <c r="Y986">
        <v>2.3614199999999998E-2</v>
      </c>
      <c r="Z986">
        <v>2.5619380000000001E-3</v>
      </c>
      <c r="AA986">
        <v>0.99971790000000005</v>
      </c>
      <c r="AB986">
        <v>32</v>
      </c>
      <c r="AC986">
        <v>-0.60060000000001401</v>
      </c>
      <c r="AD986">
        <v>-7.1651999999999799E-2</v>
      </c>
      <c r="AE986">
        <v>8.6000000000012698E-3</v>
      </c>
      <c r="AF986">
        <v>2.1115762906274101E-2</v>
      </c>
      <c r="AG986">
        <v>-7.1651999999999799E-2</v>
      </c>
      <c r="AH986">
        <v>0.59185767516672905</v>
      </c>
      <c r="AI986">
        <v>96.898453759244305</v>
      </c>
      <c r="AJ986">
        <v>87.956719631464097</v>
      </c>
      <c r="AK986">
        <v>0.59655292489508405</v>
      </c>
      <c r="AL986">
        <v>80.966756888860004</v>
      </c>
      <c r="AM986">
        <v>91.320374952163604</v>
      </c>
      <c r="AN986">
        <v>1.0000000179975601</v>
      </c>
    </row>
    <row r="987" spans="1:40" x14ac:dyDescent="0.3">
      <c r="A987" t="str">
        <f>"20200111150741891"</f>
        <v>20200111150741891</v>
      </c>
      <c r="B987" t="str">
        <f>"1578726461881668"</f>
        <v>1578726461881668</v>
      </c>
      <c r="C987" t="s">
        <v>40</v>
      </c>
      <c r="D987">
        <v>5.2470860000000004</v>
      </c>
      <c r="E987">
        <v>0.51558009999999999</v>
      </c>
      <c r="F987" t="s">
        <v>41</v>
      </c>
      <c r="G987">
        <v>-230.1026</v>
      </c>
      <c r="H987">
        <v>1.040699</v>
      </c>
      <c r="I987">
        <v>282.31799999999998</v>
      </c>
      <c r="J987">
        <v>-229.54230000000001</v>
      </c>
      <c r="K987">
        <v>1.109812</v>
      </c>
      <c r="L987">
        <v>282.30880000000002</v>
      </c>
      <c r="M987">
        <v>-0.9996893</v>
      </c>
      <c r="N987">
        <v>0</v>
      </c>
      <c r="O987">
        <v>-2.0799669999999999E-2</v>
      </c>
      <c r="P987">
        <v>-0.98861779999999999</v>
      </c>
      <c r="Q987">
        <v>0.14332230000000001</v>
      </c>
      <c r="R987">
        <v>-4.5756230000000002E-2</v>
      </c>
      <c r="S987">
        <v>-3.069458</v>
      </c>
      <c r="T987">
        <v>-0.23900440000000001</v>
      </c>
      <c r="U987">
        <v>9.9487299999999994E-3</v>
      </c>
      <c r="V987">
        <v>-2.4922960000000001E-2</v>
      </c>
      <c r="W987">
        <v>0.156937299999999</v>
      </c>
      <c r="X987">
        <v>0.987294</v>
      </c>
      <c r="Y987">
        <v>2.3906690000000001E-2</v>
      </c>
      <c r="Z987">
        <v>2.5465430000000001E-3</v>
      </c>
      <c r="AA987">
        <v>0.99971100000000002</v>
      </c>
      <c r="AB987">
        <v>32</v>
      </c>
      <c r="AC987">
        <v>-0.56029999999998303</v>
      </c>
      <c r="AD987">
        <v>-6.9112999999999897E-2</v>
      </c>
      <c r="AE987">
        <v>9.1999999999643391E-3</v>
      </c>
      <c r="AF987">
        <v>2.0540716720609899E-2</v>
      </c>
      <c r="AG987">
        <v>-6.9112999999999897E-2</v>
      </c>
      <c r="AH987">
        <v>0.55159698128576096</v>
      </c>
      <c r="AI987">
        <v>97.136829473249506</v>
      </c>
      <c r="AJ987">
        <v>87.867369000424901</v>
      </c>
      <c r="AK987">
        <v>0.55628927508622805</v>
      </c>
      <c r="AL987">
        <v>80.9708289790413</v>
      </c>
      <c r="AM987">
        <v>91.446050733183796</v>
      </c>
      <c r="AN987">
        <v>0.99999995625122395</v>
      </c>
    </row>
    <row r="988" spans="1:40" x14ac:dyDescent="0.3">
      <c r="A988" t="str">
        <f>"20200111150741914"</f>
        <v>20200111150741914</v>
      </c>
      <c r="B988" t="str">
        <f>"1578726461911924"</f>
        <v>1578726461911924</v>
      </c>
      <c r="C988" t="s">
        <v>40</v>
      </c>
      <c r="D988">
        <v>5.3337430000000001</v>
      </c>
      <c r="E988">
        <v>0.51546099999999995</v>
      </c>
      <c r="F988" t="s">
        <v>41</v>
      </c>
      <c r="G988">
        <v>-230.38929999999999</v>
      </c>
      <c r="H988">
        <v>1.044322</v>
      </c>
      <c r="I988">
        <v>282.31060000000002</v>
      </c>
      <c r="J988">
        <v>-229.86199999999999</v>
      </c>
      <c r="K988">
        <v>1.109928</v>
      </c>
      <c r="L988">
        <v>282.30270000000002</v>
      </c>
      <c r="M988">
        <v>-0.99969819999999998</v>
      </c>
      <c r="N988">
        <v>0</v>
      </c>
      <c r="O988">
        <v>-2.0379669999999999E-2</v>
      </c>
      <c r="P988">
        <v>-0.98858400000000002</v>
      </c>
      <c r="Q988">
        <v>0.14326639999999999</v>
      </c>
      <c r="R988">
        <v>-4.6656929999999999E-2</v>
      </c>
      <c r="S988">
        <v>-3.0692750000000002</v>
      </c>
      <c r="T988">
        <v>-0.23736750000000001</v>
      </c>
      <c r="U988">
        <v>6.286621E-3</v>
      </c>
      <c r="V988">
        <v>-2.6282349999999999E-2</v>
      </c>
      <c r="W988">
        <v>0.15687000000000001</v>
      </c>
      <c r="X988">
        <v>0.98726950000000002</v>
      </c>
      <c r="Y988">
        <v>2.23019E-2</v>
      </c>
      <c r="Z988">
        <v>2.4349100000000002E-3</v>
      </c>
      <c r="AA988">
        <v>0.99974830000000003</v>
      </c>
      <c r="AB988">
        <v>32</v>
      </c>
      <c r="AC988">
        <v>-0.52729999999999599</v>
      </c>
      <c r="AD988">
        <v>-6.5605999999999998E-2</v>
      </c>
      <c r="AE988">
        <v>7.9000000000064505E-3</v>
      </c>
      <c r="AF988">
        <v>1.836139911704E-2</v>
      </c>
      <c r="AG988">
        <v>-6.5605999999999998E-2</v>
      </c>
      <c r="AH988">
        <v>0.51899716677556795</v>
      </c>
      <c r="AI988">
        <v>97.200042515398096</v>
      </c>
      <c r="AJ988">
        <v>87.973799957627307</v>
      </c>
      <c r="AK988">
        <v>0.52344946970514905</v>
      </c>
      <c r="AL988">
        <v>80.974733854392198</v>
      </c>
      <c r="AM988">
        <v>91.524925210603996</v>
      </c>
      <c r="AN988">
        <v>1.0000000122258801</v>
      </c>
    </row>
    <row r="989" spans="1:40" x14ac:dyDescent="0.3">
      <c r="A989" t="str">
        <f>"20200111150741936"</f>
        <v>20200111150741936</v>
      </c>
      <c r="B989" t="str">
        <f>"1578726461932420"</f>
        <v>1578726461932420</v>
      </c>
      <c r="C989" t="s">
        <v>40</v>
      </c>
      <c r="D989">
        <v>5.3521710000000002</v>
      </c>
      <c r="E989">
        <v>0.51538070000000002</v>
      </c>
      <c r="F989" t="s">
        <v>41</v>
      </c>
      <c r="G989">
        <v>-230.67920000000001</v>
      </c>
      <c r="H989">
        <v>1.0455989999999999</v>
      </c>
      <c r="I989">
        <v>282.303</v>
      </c>
      <c r="J989">
        <v>-230.1687</v>
      </c>
      <c r="K989">
        <v>1.1100159999999999</v>
      </c>
      <c r="L989">
        <v>282.29689999999999</v>
      </c>
      <c r="M989">
        <v>-0.99970510000000001</v>
      </c>
      <c r="N989">
        <v>0</v>
      </c>
      <c r="O989">
        <v>-2.0040700000000002E-2</v>
      </c>
      <c r="P989">
        <v>-0.98848159999999896</v>
      </c>
      <c r="Q989">
        <v>0.14333969999999999</v>
      </c>
      <c r="R989">
        <v>-4.8559079999999998E-2</v>
      </c>
      <c r="S989">
        <v>-3.0697019999999999</v>
      </c>
      <c r="T989">
        <v>-0.24173049999999999</v>
      </c>
      <c r="U989">
        <v>9.4604490000000003E-4</v>
      </c>
      <c r="V989">
        <v>-2.8554380000000001E-2</v>
      </c>
      <c r="W989">
        <v>0.15693409999999999</v>
      </c>
      <c r="X989">
        <v>0.98719619999999997</v>
      </c>
      <c r="Y989">
        <v>2.0226060000000001E-2</v>
      </c>
      <c r="Z989">
        <v>2.3709239999999999E-3</v>
      </c>
      <c r="AA989">
        <v>0.99979260000000003</v>
      </c>
      <c r="AB989">
        <v>32</v>
      </c>
      <c r="AC989">
        <v>-0.51050000000000695</v>
      </c>
      <c r="AD989">
        <v>-6.4416999999999905E-2</v>
      </c>
      <c r="AE989">
        <v>6.1000000000035401E-3</v>
      </c>
      <c r="AF989">
        <v>1.60746039757605E-2</v>
      </c>
      <c r="AG989">
        <v>-6.4416999999999905E-2</v>
      </c>
      <c r="AH989">
        <v>0.50227883407553597</v>
      </c>
      <c r="AI989">
        <v>97.304560339032705</v>
      </c>
      <c r="AJ989">
        <v>88.166968903260297</v>
      </c>
      <c r="AK989">
        <v>0.50664777700317298</v>
      </c>
      <c r="AL989">
        <v>80.971015031768502</v>
      </c>
      <c r="AM989">
        <v>91.656802800966304</v>
      </c>
      <c r="AN989">
        <v>1.0000000008272101</v>
      </c>
    </row>
    <row r="990" spans="1:40" x14ac:dyDescent="0.3">
      <c r="A990" t="str">
        <f>"20200111150741959"</f>
        <v>20200111150741959</v>
      </c>
      <c r="B990" t="str">
        <f>"1578726461952454"</f>
        <v>1578726461952454</v>
      </c>
      <c r="C990" t="s">
        <v>40</v>
      </c>
      <c r="D990">
        <v>5.3251460000000002</v>
      </c>
      <c r="E990">
        <v>0.51539409999999997</v>
      </c>
      <c r="F990" t="s">
        <v>41</v>
      </c>
      <c r="G990">
        <v>-230.9659</v>
      </c>
      <c r="H990">
        <v>1.045237</v>
      </c>
      <c r="I990">
        <v>282.29539999999997</v>
      </c>
      <c r="J990">
        <v>-230.4941</v>
      </c>
      <c r="K990">
        <v>1.110096</v>
      </c>
      <c r="L990">
        <v>282.29090000000002</v>
      </c>
      <c r="M990">
        <v>-0.99971160000000003</v>
      </c>
      <c r="N990">
        <v>0</v>
      </c>
      <c r="O990">
        <v>-1.971558E-2</v>
      </c>
      <c r="P990">
        <v>-0.98821150000000002</v>
      </c>
      <c r="Q990">
        <v>0.14398939999999999</v>
      </c>
      <c r="R990">
        <v>-5.201136E-2</v>
      </c>
      <c r="S990">
        <v>-3.070862</v>
      </c>
      <c r="T990">
        <v>-0.24949060000000001</v>
      </c>
      <c r="U990">
        <v>-5.5236819999999898E-3</v>
      </c>
      <c r="V990">
        <v>-3.2358089999999999E-2</v>
      </c>
      <c r="W990">
        <v>0.15757489999999999</v>
      </c>
      <c r="X990">
        <v>0.98697670000000004</v>
      </c>
      <c r="Y990">
        <v>1.7795419999999999E-2</v>
      </c>
      <c r="Z990">
        <v>2.3209120000000001E-3</v>
      </c>
      <c r="AA990">
        <v>0.99983889999999997</v>
      </c>
      <c r="AB990">
        <v>32</v>
      </c>
      <c r="AC990">
        <v>-0.471800000000001</v>
      </c>
      <c r="AD990">
        <v>-6.4859E-2</v>
      </c>
      <c r="AE990">
        <v>4.4999999999504299E-3</v>
      </c>
      <c r="AF990">
        <v>1.3545839205192501E-2</v>
      </c>
      <c r="AG990">
        <v>-6.4859E-2</v>
      </c>
      <c r="AH990">
        <v>0.462872798827694</v>
      </c>
      <c r="AI990">
        <v>97.973137451821501</v>
      </c>
      <c r="AJ990">
        <v>88.323733928853798</v>
      </c>
      <c r="AK990">
        <v>0.46759106870785699</v>
      </c>
      <c r="AL990">
        <v>80.933836876704802</v>
      </c>
      <c r="AM990">
        <v>91.8777729616654</v>
      </c>
      <c r="AN990">
        <v>0.99999995072067205</v>
      </c>
    </row>
    <row r="991" spans="1:40" x14ac:dyDescent="0.3">
      <c r="A991" t="str">
        <f>"20200111150741982"</f>
        <v>20200111150741982</v>
      </c>
      <c r="B991" t="str">
        <f>"1578726461971974"</f>
        <v>1578726461971974</v>
      </c>
      <c r="C991" t="s">
        <v>40</v>
      </c>
      <c r="D991">
        <v>5.3454470000000001</v>
      </c>
      <c r="E991">
        <v>0.51538059999999997</v>
      </c>
      <c r="F991" t="s">
        <v>55</v>
      </c>
      <c r="G991">
        <v>-244.07079999999999</v>
      </c>
      <c r="H991" s="1">
        <v>6.2947920000000001E-7</v>
      </c>
      <c r="I991">
        <v>282.22609999999997</v>
      </c>
      <c r="J991">
        <v>-230.82589999999999</v>
      </c>
      <c r="K991">
        <v>1.1101479999999999</v>
      </c>
      <c r="L991">
        <v>282.28469999999999</v>
      </c>
      <c r="M991">
        <v>-0.99971790000000005</v>
      </c>
      <c r="N991">
        <v>0</v>
      </c>
      <c r="O991">
        <v>-1.9397649999999999E-2</v>
      </c>
      <c r="P991">
        <v>-0.98779340000000004</v>
      </c>
      <c r="Q991">
        <v>0.14499400000000001</v>
      </c>
      <c r="R991">
        <v>-5.692941E-2</v>
      </c>
      <c r="S991">
        <v>-3.071625</v>
      </c>
      <c r="T991">
        <v>-0.25115159999999997</v>
      </c>
      <c r="U991">
        <v>-1.464844E-2</v>
      </c>
      <c r="V991">
        <v>-3.7615500000000003E-2</v>
      </c>
      <c r="W991">
        <v>0.15857079999999901</v>
      </c>
      <c r="X991">
        <v>0.98663089999999998</v>
      </c>
      <c r="Y991">
        <v>1.4518069999999999E-2</v>
      </c>
      <c r="Z991">
        <v>2.1759990000000001E-3</v>
      </c>
      <c r="AA991">
        <v>0.99989220000000001</v>
      </c>
      <c r="AB991">
        <v>32</v>
      </c>
      <c r="AC991">
        <v>-13.244899999999999</v>
      </c>
      <c r="AD991">
        <v>-1.11014737052079</v>
      </c>
      <c r="AE991">
        <v>-5.86000000000126E-2</v>
      </c>
      <c r="AF991">
        <v>0.196971344480354</v>
      </c>
      <c r="AG991">
        <v>-1.11014737052079</v>
      </c>
      <c r="AH991">
        <v>13.1511554876604</v>
      </c>
      <c r="AI991">
        <v>94.8246130251392</v>
      </c>
      <c r="AJ991">
        <v>89.141917000069199</v>
      </c>
      <c r="AK991">
        <v>13.1993983027804</v>
      </c>
      <c r="AL991">
        <v>80.876050646612796</v>
      </c>
      <c r="AM991">
        <v>92.183355582015295</v>
      </c>
      <c r="AN991">
        <v>1.0000000786438401</v>
      </c>
    </row>
    <row r="992" spans="1:40" x14ac:dyDescent="0.3">
      <c r="A992" t="str">
        <f>"20200111150742003"</f>
        <v>20200111150742003</v>
      </c>
      <c r="B992" t="str">
        <f>"1578726461992468"</f>
        <v>1578726461992468</v>
      </c>
      <c r="C992" t="s">
        <v>40</v>
      </c>
      <c r="D992">
        <v>5.3216429999999999</v>
      </c>
      <c r="E992">
        <v>0.5156733</v>
      </c>
      <c r="F992" t="s">
        <v>41</v>
      </c>
      <c r="G992">
        <v>-231.79300000000001</v>
      </c>
      <c r="H992">
        <v>1.031876</v>
      </c>
      <c r="I992">
        <v>282.27589999999998</v>
      </c>
      <c r="J992">
        <v>-231.11930000000001</v>
      </c>
      <c r="K992">
        <v>1.1101799999999999</v>
      </c>
      <c r="L992">
        <v>282.27940000000001</v>
      </c>
      <c r="M992">
        <v>-0.99972340000000004</v>
      </c>
      <c r="N992">
        <v>0</v>
      </c>
      <c r="O992">
        <v>-1.9118059999999999E-2</v>
      </c>
      <c r="P992">
        <v>-0.98735280000000003</v>
      </c>
      <c r="Q992">
        <v>0.14626020000000001</v>
      </c>
      <c r="R992">
        <v>-6.1176960000000002E-2</v>
      </c>
      <c r="S992">
        <v>-3.0719449999999999</v>
      </c>
      <c r="T992">
        <v>-0.24863209999999999</v>
      </c>
      <c r="U992">
        <v>-2.8015140000000001E-2</v>
      </c>
      <c r="V992">
        <v>-4.2156730000000003E-2</v>
      </c>
      <c r="W992">
        <v>0.1598291</v>
      </c>
      <c r="X992">
        <v>0.98624409999999896</v>
      </c>
      <c r="Y992">
        <v>9.9065300000000002E-3</v>
      </c>
      <c r="Z992">
        <v>1.9450660000000001E-3</v>
      </c>
      <c r="AA992">
        <v>0.99994899999999998</v>
      </c>
      <c r="AB992">
        <v>32</v>
      </c>
      <c r="AC992">
        <v>-0.67369999999999597</v>
      </c>
      <c r="AD992">
        <v>-7.8303999999999901E-2</v>
      </c>
      <c r="AE992">
        <v>-3.5000000000309198E-3</v>
      </c>
      <c r="AF992">
        <v>9.2566373952091604E-3</v>
      </c>
      <c r="AG992">
        <v>-7.8303999999999901E-2</v>
      </c>
      <c r="AH992">
        <v>0.66466481196684002</v>
      </c>
      <c r="AI992">
        <v>96.718385747993693</v>
      </c>
      <c r="AJ992">
        <v>89.202106143433696</v>
      </c>
      <c r="AK992">
        <v>0.66932541713189198</v>
      </c>
      <c r="AL992">
        <v>80.8030230781998</v>
      </c>
      <c r="AM992">
        <v>92.447602219187303</v>
      </c>
      <c r="AN992">
        <v>0.99999997793795603</v>
      </c>
    </row>
    <row r="993" spans="1:40" x14ac:dyDescent="0.3">
      <c r="A993" t="str">
        <f>"20200111150742025"</f>
        <v>20200111150742025</v>
      </c>
      <c r="B993" t="str">
        <f>"1578726462021749"</f>
        <v>1578726462021749</v>
      </c>
      <c r="C993" t="s">
        <v>40</v>
      </c>
      <c r="D993">
        <v>5.4028010000000002</v>
      </c>
      <c r="E993">
        <v>0.51596660000000005</v>
      </c>
      <c r="F993" t="s">
        <v>41</v>
      </c>
      <c r="G993">
        <v>-232.07589999999999</v>
      </c>
      <c r="H993">
        <v>1.033501</v>
      </c>
      <c r="I993">
        <v>282.2672</v>
      </c>
      <c r="J993">
        <v>-231.4237</v>
      </c>
      <c r="K993">
        <v>1.1102080000000001</v>
      </c>
      <c r="L993">
        <v>282.274</v>
      </c>
      <c r="M993">
        <v>-0.99972899999999998</v>
      </c>
      <c r="N993">
        <v>0</v>
      </c>
      <c r="O993">
        <v>-1.882472E-2</v>
      </c>
      <c r="P993">
        <v>-0.98696090000000003</v>
      </c>
      <c r="Q993">
        <v>0.14768299999999901</v>
      </c>
      <c r="R993">
        <v>-6.4015219999999998E-2</v>
      </c>
      <c r="S993">
        <v>-3.072479</v>
      </c>
      <c r="T993">
        <v>-0.2463012</v>
      </c>
      <c r="U993">
        <v>-3.9215090000000001E-2</v>
      </c>
      <c r="V993">
        <v>-4.529822E-2</v>
      </c>
      <c r="W993">
        <v>0.16124289999999999</v>
      </c>
      <c r="X993">
        <v>0.98587469999999999</v>
      </c>
      <c r="Y993">
        <v>5.9853469999999898E-3</v>
      </c>
      <c r="Z993">
        <v>1.7461200000000001E-3</v>
      </c>
      <c r="AA993">
        <v>0.9999806</v>
      </c>
      <c r="AB993">
        <v>32</v>
      </c>
      <c r="AC993">
        <v>-0.65219999999999301</v>
      </c>
      <c r="AD993">
        <v>-7.6706999999999997E-2</v>
      </c>
      <c r="AE993">
        <v>-6.7999999999983603E-3</v>
      </c>
      <c r="AF993">
        <v>5.4050801233369496E-3</v>
      </c>
      <c r="AG993">
        <v>-7.6706999999999997E-2</v>
      </c>
      <c r="AH993">
        <v>0.64331458796700003</v>
      </c>
      <c r="AI993">
        <v>96.799444339041898</v>
      </c>
      <c r="AJ993">
        <v>89.518616555735903</v>
      </c>
      <c r="AK993">
        <v>0.64789415634908398</v>
      </c>
      <c r="AL993">
        <v>80.720954651405094</v>
      </c>
      <c r="AM993">
        <v>92.630732599771306</v>
      </c>
      <c r="AN993">
        <v>1.00000006281783</v>
      </c>
    </row>
    <row r="994" spans="1:40" x14ac:dyDescent="0.3">
      <c r="A994" t="str">
        <f>"20200111150742047"</f>
        <v>20200111150742047</v>
      </c>
      <c r="B994" t="str">
        <f>"1578726462042245"</f>
        <v>1578726462042245</v>
      </c>
      <c r="C994" t="s">
        <v>40</v>
      </c>
      <c r="D994">
        <v>5.5198299999999998</v>
      </c>
      <c r="E994">
        <v>0.51634519999999995</v>
      </c>
      <c r="F994" t="s">
        <v>41</v>
      </c>
      <c r="G994">
        <v>-232.35939999999999</v>
      </c>
      <c r="H994">
        <v>1.0352520000000001</v>
      </c>
      <c r="I994">
        <v>282.26010000000002</v>
      </c>
      <c r="J994">
        <v>-231.73740000000001</v>
      </c>
      <c r="K994">
        <v>1.110225</v>
      </c>
      <c r="L994">
        <v>282.26839999999999</v>
      </c>
      <c r="M994">
        <v>-0.99973480000000003</v>
      </c>
      <c r="N994">
        <v>0</v>
      </c>
      <c r="O994">
        <v>-1.8516970000000001E-2</v>
      </c>
      <c r="P994">
        <v>-0.98688679999999995</v>
      </c>
      <c r="Q994">
        <v>0.14803479999999999</v>
      </c>
      <c r="R994">
        <v>-6.4344899999999997E-2</v>
      </c>
      <c r="S994">
        <v>-3.073502</v>
      </c>
      <c r="T994">
        <v>-0.24640909999999999</v>
      </c>
      <c r="U994">
        <v>-4.653931E-2</v>
      </c>
      <c r="V994">
        <v>-4.5937270000000002E-2</v>
      </c>
      <c r="W994">
        <v>0.1615888</v>
      </c>
      <c r="X994">
        <v>0.98578840000000001</v>
      </c>
      <c r="Y994">
        <v>3.3087979999999999E-3</v>
      </c>
      <c r="Z994">
        <v>1.6145230000000001E-3</v>
      </c>
      <c r="AA994">
        <v>0.99999320000000003</v>
      </c>
      <c r="AB994">
        <v>32</v>
      </c>
      <c r="AC994">
        <v>-0.62199999999998501</v>
      </c>
      <c r="AD994">
        <v>-7.4972999999999901E-2</v>
      </c>
      <c r="AE994">
        <v>-8.2999999999628891E-3</v>
      </c>
      <c r="AF994">
        <v>3.1739528778658801E-3</v>
      </c>
      <c r="AG994">
        <v>-7.4972999999999901E-2</v>
      </c>
      <c r="AH994">
        <v>0.61314044712269</v>
      </c>
      <c r="AI994">
        <v>96.971258930778902</v>
      </c>
      <c r="AJ994">
        <v>89.7034081167007</v>
      </c>
      <c r="AK994">
        <v>0.61771533298412096</v>
      </c>
      <c r="AL994">
        <v>80.700871838899403</v>
      </c>
      <c r="AM994">
        <v>92.668025937665305</v>
      </c>
      <c r="AN994">
        <v>0.99999997131752605</v>
      </c>
    </row>
    <row r="995" spans="1:40" x14ac:dyDescent="0.3">
      <c r="A995" t="str">
        <f>"20200111150742071"</f>
        <v>20200111150742071</v>
      </c>
      <c r="B995" t="str">
        <f>"1578726462062271"</f>
        <v>1578726462062271</v>
      </c>
      <c r="C995" t="s">
        <v>40</v>
      </c>
      <c r="D995">
        <v>5.7274089999999998</v>
      </c>
      <c r="E995">
        <v>0.49811319999999998</v>
      </c>
      <c r="F995" t="s">
        <v>41</v>
      </c>
      <c r="G995">
        <v>-232.6429</v>
      </c>
      <c r="H995">
        <v>1.0375129999999999</v>
      </c>
      <c r="I995">
        <v>282.2552</v>
      </c>
      <c r="J995">
        <v>-232.07660000000001</v>
      </c>
      <c r="K995">
        <v>1.110239</v>
      </c>
      <c r="L995">
        <v>282.26249999999999</v>
      </c>
      <c r="M995">
        <v>-0.99974090000000004</v>
      </c>
      <c r="N995">
        <v>0</v>
      </c>
      <c r="O995">
        <v>-1.817887E-2</v>
      </c>
      <c r="P995">
        <v>-0.98697429999999997</v>
      </c>
      <c r="Q995">
        <v>0.14802899999999999</v>
      </c>
      <c r="R995">
        <v>-6.2998349999999995E-2</v>
      </c>
      <c r="S995">
        <v>-3.0739749999999999</v>
      </c>
      <c r="T995">
        <v>-0.24690000000000001</v>
      </c>
      <c r="U995">
        <v>-4.483032E-2</v>
      </c>
      <c r="V995">
        <v>-4.4926229999999998E-2</v>
      </c>
      <c r="W995">
        <v>0.1615789</v>
      </c>
      <c r="X995">
        <v>0.98583659999999995</v>
      </c>
      <c r="Y995">
        <v>3.5288899999999998E-3</v>
      </c>
      <c r="Z995">
        <v>1.599205E-3</v>
      </c>
      <c r="AA995">
        <v>0.99999249999999995</v>
      </c>
      <c r="AB995">
        <v>31</v>
      </c>
      <c r="AC995">
        <v>-0.56629999999998304</v>
      </c>
      <c r="AD995">
        <v>-7.2725999999999999E-2</v>
      </c>
      <c r="AE995">
        <v>-7.2999999999865299E-3</v>
      </c>
      <c r="AF995">
        <v>2.9482507985731498E-3</v>
      </c>
      <c r="AG995">
        <v>-7.2725999999999999E-2</v>
      </c>
      <c r="AH995">
        <v>0.55715182464047397</v>
      </c>
      <c r="AI995">
        <v>97.436767558427107</v>
      </c>
      <c r="AJ995">
        <v>89.696813788332506</v>
      </c>
      <c r="AK995">
        <v>0.56188603734118703</v>
      </c>
      <c r="AL995">
        <v>80.701446462421998</v>
      </c>
      <c r="AM995">
        <v>92.609259640296102</v>
      </c>
      <c r="AN995">
        <v>0.99999995448338996</v>
      </c>
    </row>
    <row r="996" spans="1:40" x14ac:dyDescent="0.3">
      <c r="A996" t="str">
        <f>"20200111150742093"</f>
        <v>20200111150742093</v>
      </c>
      <c r="B996" t="str">
        <f>"1578726462081790"</f>
        <v>1578726462081790</v>
      </c>
      <c r="C996" t="s">
        <v>40</v>
      </c>
      <c r="D996">
        <v>5.4050010000000004</v>
      </c>
      <c r="E996">
        <v>0.49843110000000002</v>
      </c>
      <c r="F996" t="s">
        <v>55</v>
      </c>
      <c r="G996">
        <v>-249.84950000000001</v>
      </c>
      <c r="H996" s="1">
        <v>3.7046219999999998E-6</v>
      </c>
      <c r="I996">
        <v>281.1748</v>
      </c>
      <c r="J996">
        <v>-232.38390000000001</v>
      </c>
      <c r="K996">
        <v>1.110247</v>
      </c>
      <c r="L996">
        <v>282.25729999999999</v>
      </c>
      <c r="M996">
        <v>-0.99974669999999999</v>
      </c>
      <c r="N996">
        <v>0</v>
      </c>
      <c r="O996">
        <v>-1.786743E-2</v>
      </c>
      <c r="P996">
        <v>-0.98697080000000004</v>
      </c>
      <c r="Q996">
        <v>0.14860470000000001</v>
      </c>
      <c r="R996">
        <v>-6.1691740000000002E-2</v>
      </c>
      <c r="S996">
        <v>-3.0562740000000002</v>
      </c>
      <c r="T996">
        <v>-0.19091859999999999</v>
      </c>
      <c r="U996">
        <v>-0.18704219999999999</v>
      </c>
      <c r="V996">
        <v>-4.3928750000000003E-2</v>
      </c>
      <c r="W996">
        <v>0.16214979999999901</v>
      </c>
      <c r="X996">
        <v>0.98578790000000005</v>
      </c>
      <c r="Y996">
        <v>-4.3190489999999998E-2</v>
      </c>
      <c r="Z996">
        <v>-2.3251700000000001E-4</v>
      </c>
      <c r="AA996">
        <v>0.99906680000000003</v>
      </c>
      <c r="AB996">
        <v>31</v>
      </c>
      <c r="AC996">
        <v>-17.465599999999899</v>
      </c>
      <c r="AD996">
        <v>-1.1102432953779999</v>
      </c>
      <c r="AE996">
        <v>-1.08249999999998</v>
      </c>
      <c r="AF996">
        <v>-0.76714452033285396</v>
      </c>
      <c r="AG996">
        <v>-1.1102432953779999</v>
      </c>
      <c r="AH996">
        <v>17.412064911897801</v>
      </c>
      <c r="AI996">
        <v>93.644878132251904</v>
      </c>
      <c r="AJ996">
        <v>92.522718379973696</v>
      </c>
      <c r="AK996">
        <v>17.4642822751509</v>
      </c>
      <c r="AL996">
        <v>80.668299976036394</v>
      </c>
      <c r="AM996">
        <v>92.551530540856206</v>
      </c>
      <c r="AN996">
        <v>1.0000000382515</v>
      </c>
    </row>
    <row r="997" spans="1:40" x14ac:dyDescent="0.3">
      <c r="A997" t="str">
        <f>"20200111150742114"</f>
        <v>20200111150742114</v>
      </c>
      <c r="B997" t="str">
        <f>"1578726462112046"</f>
        <v>1578726462112046</v>
      </c>
      <c r="C997" t="s">
        <v>40</v>
      </c>
      <c r="D997">
        <v>5.4017920000000004</v>
      </c>
      <c r="E997">
        <v>0.49412040000000002</v>
      </c>
      <c r="F997" t="s">
        <v>55</v>
      </c>
      <c r="G997">
        <v>-254.36060000000001</v>
      </c>
      <c r="H997" s="1">
        <v>7.8368659999999905E-7</v>
      </c>
      <c r="I997">
        <v>280.95549999999997</v>
      </c>
      <c r="J997">
        <v>-232.6833</v>
      </c>
      <c r="K997">
        <v>1.110255</v>
      </c>
      <c r="L997">
        <v>282.25220000000002</v>
      </c>
      <c r="M997">
        <v>-0.99975219999999998</v>
      </c>
      <c r="N997">
        <v>0</v>
      </c>
      <c r="O997">
        <v>-1.7561090000000001E-2</v>
      </c>
      <c r="P997">
        <v>-0.98687080000000005</v>
      </c>
      <c r="Q997">
        <v>0.149633399999999</v>
      </c>
      <c r="R997">
        <v>-6.0794920000000002E-2</v>
      </c>
      <c r="S997">
        <v>-3.0515140000000001</v>
      </c>
      <c r="T997">
        <v>-0.15416060000000001</v>
      </c>
      <c r="U997">
        <v>-0.18075559999999999</v>
      </c>
      <c r="V997">
        <v>-4.3336569999999998E-2</v>
      </c>
      <c r="W997">
        <v>0.16317300000000001</v>
      </c>
      <c r="X997">
        <v>0.9856452</v>
      </c>
      <c r="Y997">
        <v>-4.1559480000000003E-2</v>
      </c>
      <c r="Z997">
        <v>-1.624246E-4</v>
      </c>
      <c r="AA997">
        <v>0.99913600000000002</v>
      </c>
      <c r="AB997">
        <v>31</v>
      </c>
      <c r="AC997">
        <v>-21.677299999999999</v>
      </c>
      <c r="AD997">
        <v>-1.1102542163133999</v>
      </c>
      <c r="AE997">
        <v>-1.2967000000000399</v>
      </c>
      <c r="AF997">
        <v>-0.91339985433285797</v>
      </c>
      <c r="AG997">
        <v>-1.1102542163133999</v>
      </c>
      <c r="AH997">
        <v>21.640165676719</v>
      </c>
      <c r="AI997">
        <v>92.934391264566599</v>
      </c>
      <c r="AJ997">
        <v>92.416936723508996</v>
      </c>
      <c r="AK997">
        <v>21.687870670828499</v>
      </c>
      <c r="AL997">
        <v>80.6088830079986</v>
      </c>
      <c r="AM997">
        <v>92.517543228485707</v>
      </c>
      <c r="AN997">
        <v>0.999999973255702</v>
      </c>
    </row>
    <row r="998" spans="1:40" x14ac:dyDescent="0.3">
      <c r="A998" t="str">
        <f>"20200111150742137"</f>
        <v>20200111150742137</v>
      </c>
      <c r="B998" t="str">
        <f>"1578726462132543"</f>
        <v>1578726462132543</v>
      </c>
      <c r="C998" t="s">
        <v>40</v>
      </c>
      <c r="D998">
        <v>5.125</v>
      </c>
      <c r="E998">
        <v>0.49409890000000001</v>
      </c>
      <c r="F998" t="s">
        <v>55</v>
      </c>
      <c r="G998">
        <v>-251.8749</v>
      </c>
      <c r="H998" s="1">
        <v>-5.3906470000000001E-7</v>
      </c>
      <c r="I998">
        <v>280.92110000000002</v>
      </c>
      <c r="J998">
        <v>-232.99340000000001</v>
      </c>
      <c r="K998">
        <v>1.110258</v>
      </c>
      <c r="L998">
        <v>282.24709999999999</v>
      </c>
      <c r="M998">
        <v>-0.99975760000000002</v>
      </c>
      <c r="N998">
        <v>0</v>
      </c>
      <c r="O998">
        <v>-1.724258E-2</v>
      </c>
      <c r="P998">
        <v>-0.986792</v>
      </c>
      <c r="Q998">
        <v>0.1503089</v>
      </c>
      <c r="R998">
        <v>-6.0406219999999997E-2</v>
      </c>
      <c r="S998">
        <v>-3.0536500000000002</v>
      </c>
      <c r="T998">
        <v>-0.17665699999999901</v>
      </c>
      <c r="U998">
        <v>-0.21179200000000001</v>
      </c>
      <c r="V998">
        <v>-4.326402E-2</v>
      </c>
      <c r="W998">
        <v>0.16384389999999999</v>
      </c>
      <c r="X998">
        <v>0.98553710000000005</v>
      </c>
      <c r="Y998">
        <v>-5.1919939999999998E-2</v>
      </c>
      <c r="Z998">
        <v>-5.0337869999999999E-4</v>
      </c>
      <c r="AA998">
        <v>0.99865110000000001</v>
      </c>
      <c r="AB998">
        <v>31</v>
      </c>
      <c r="AC998">
        <v>-18.8814999999999</v>
      </c>
      <c r="AD998">
        <v>-1.1102585390647</v>
      </c>
      <c r="AE998">
        <v>-1.3259999999999601</v>
      </c>
      <c r="AF998">
        <v>-0.99677699840169598</v>
      </c>
      <c r="AG998">
        <v>-1.1102585390647</v>
      </c>
      <c r="AH998">
        <v>18.836747894574501</v>
      </c>
      <c r="AI998">
        <v>93.368471404959493</v>
      </c>
      <c r="AJ998">
        <v>93.029073697364893</v>
      </c>
      <c r="AK998">
        <v>18.895748454397499</v>
      </c>
      <c r="AL998">
        <v>80.569919018953797</v>
      </c>
      <c r="AM998">
        <v>92.5136093289358</v>
      </c>
      <c r="AN998">
        <v>0.99999998723508998</v>
      </c>
    </row>
    <row r="999" spans="1:40" x14ac:dyDescent="0.3">
      <c r="A999" t="str">
        <f>"20200111150742160"</f>
        <v>20200111150742160</v>
      </c>
      <c r="B999" t="str">
        <f>"1578726462152241"</f>
        <v>1578726462152241</v>
      </c>
      <c r="C999" t="s">
        <v>40</v>
      </c>
      <c r="D999">
        <v>5.0618720000000001</v>
      </c>
      <c r="E999">
        <v>0.49155270000000001</v>
      </c>
      <c r="F999" t="s">
        <v>55</v>
      </c>
      <c r="G999">
        <v>-256.56560000000002</v>
      </c>
      <c r="H999" s="1">
        <v>1.9570979999999998E-6</v>
      </c>
      <c r="I999">
        <v>280.61610000000002</v>
      </c>
      <c r="J999">
        <v>-233.31450000000001</v>
      </c>
      <c r="K999">
        <v>1.110255</v>
      </c>
      <c r="L999">
        <v>282.24189999999999</v>
      </c>
      <c r="M999">
        <v>-0.99976350000000003</v>
      </c>
      <c r="N999">
        <v>0</v>
      </c>
      <c r="O999">
        <v>-1.691105E-2</v>
      </c>
      <c r="P999">
        <v>-0.98676540000000001</v>
      </c>
      <c r="Q999">
        <v>0.1507414</v>
      </c>
      <c r="R999">
        <v>-5.9757999999999999E-2</v>
      </c>
      <c r="S999">
        <v>-3.0491030000000001</v>
      </c>
      <c r="T999">
        <v>-0.1436132</v>
      </c>
      <c r="U999">
        <v>-0.21096799999999999</v>
      </c>
      <c r="V999">
        <v>-4.294369E-2</v>
      </c>
      <c r="W999">
        <v>0.1642728</v>
      </c>
      <c r="X999">
        <v>0.98547969999999896</v>
      </c>
      <c r="Y999">
        <v>-5.2104190000000002E-2</v>
      </c>
      <c r="Z999">
        <v>-4.2986320000000001E-4</v>
      </c>
      <c r="AA999">
        <v>0.99864160000000002</v>
      </c>
      <c r="AB999">
        <v>31</v>
      </c>
      <c r="AC999">
        <v>-23.251100000000001</v>
      </c>
      <c r="AD999">
        <v>-1.1102530429020001</v>
      </c>
      <c r="AE999">
        <v>-1.6257999999999599</v>
      </c>
      <c r="AF999">
        <v>-1.2295403334382899</v>
      </c>
      <c r="AG999">
        <v>-1.1102530429020001</v>
      </c>
      <c r="AH999">
        <v>23.222578437307799</v>
      </c>
      <c r="AI999">
        <v>92.733358864619802</v>
      </c>
      <c r="AJ999">
        <v>93.030746771358693</v>
      </c>
      <c r="AK999">
        <v>23.281593169878601</v>
      </c>
      <c r="AL999">
        <v>80.545007215840698</v>
      </c>
      <c r="AM999">
        <v>92.495167126922098</v>
      </c>
      <c r="AN999">
        <v>0.99999997622137204</v>
      </c>
    </row>
    <row r="1000" spans="1:40" x14ac:dyDescent="0.3">
      <c r="A1000" t="str">
        <f>"20200111150742183"</f>
        <v>20200111150742183</v>
      </c>
      <c r="B1000" t="str">
        <f>"1578726462171764"</f>
        <v>1578726462171764</v>
      </c>
      <c r="C1000" t="s">
        <v>40</v>
      </c>
      <c r="D1000">
        <v>5.4433619999999996</v>
      </c>
      <c r="E1000">
        <v>0.4910312</v>
      </c>
      <c r="F1000" t="s">
        <v>55</v>
      </c>
      <c r="G1000">
        <v>-256.19760000000002</v>
      </c>
      <c r="H1000" s="1">
        <v>1.7612890000000001E-6</v>
      </c>
      <c r="I1000">
        <v>280.52370000000002</v>
      </c>
      <c r="J1000">
        <v>-233.6387</v>
      </c>
      <c r="K1000">
        <v>1.11025</v>
      </c>
      <c r="L1000">
        <v>282.23680000000002</v>
      </c>
      <c r="M1000">
        <v>-0.99976900000000002</v>
      </c>
      <c r="N1000">
        <v>0</v>
      </c>
      <c r="O1000">
        <v>-1.657225E-2</v>
      </c>
      <c r="P1000">
        <v>-0.98679430000000001</v>
      </c>
      <c r="Q1000">
        <v>0.15070600000000001</v>
      </c>
      <c r="R1000">
        <v>-5.9369060000000001E-2</v>
      </c>
      <c r="S1000">
        <v>-3.0489809999999999</v>
      </c>
      <c r="T1000">
        <v>-0.14793190000000001</v>
      </c>
      <c r="U1000">
        <v>-0.2289429</v>
      </c>
      <c r="V1000">
        <v>-4.2888530000000001E-2</v>
      </c>
      <c r="W1000">
        <v>0.164234299999999</v>
      </c>
      <c r="X1000">
        <v>0.98548849999999999</v>
      </c>
      <c r="Y1000">
        <v>-5.8291200000000001E-2</v>
      </c>
      <c r="Z1000">
        <v>-6.0890320000000001E-4</v>
      </c>
      <c r="AA1000">
        <v>0.99829939999999995</v>
      </c>
      <c r="AB1000">
        <v>31</v>
      </c>
      <c r="AC1000">
        <v>-22.558900000000001</v>
      </c>
      <c r="AD1000">
        <v>-1.110248238711</v>
      </c>
      <c r="AE1000">
        <v>-1.7130999999999901</v>
      </c>
      <c r="AF1000">
        <v>-1.33576106191644</v>
      </c>
      <c r="AG1000">
        <v>-1.110248238711</v>
      </c>
      <c r="AH1000">
        <v>22.529935599132401</v>
      </c>
      <c r="AI1000">
        <v>92.816247831943599</v>
      </c>
      <c r="AJ1000">
        <v>93.392996191282606</v>
      </c>
      <c r="AK1000">
        <v>22.5967897469341</v>
      </c>
      <c r="AL1000">
        <v>80.547243297044801</v>
      </c>
      <c r="AM1000">
        <v>92.491943971393297</v>
      </c>
      <c r="AN1000">
        <v>0.99999995746714898</v>
      </c>
    </row>
    <row r="1001" spans="1:40" x14ac:dyDescent="0.3">
      <c r="A1001" t="str">
        <f>"20200111150742204"</f>
        <v>20200111150742204</v>
      </c>
      <c r="B1001" t="str">
        <f>"1578726462202018"</f>
        <v>1578726462202018</v>
      </c>
      <c r="C1001" t="s">
        <v>40</v>
      </c>
      <c r="D1001">
        <v>5.4419969999999998</v>
      </c>
      <c r="E1001">
        <v>0.49110559999999998</v>
      </c>
      <c r="F1001" t="s">
        <v>55</v>
      </c>
      <c r="G1001">
        <v>-255.3852</v>
      </c>
      <c r="H1001" s="1">
        <v>1.328957E-6</v>
      </c>
      <c r="I1001">
        <v>280.58789999999999</v>
      </c>
      <c r="J1001">
        <v>-233.9462</v>
      </c>
      <c r="K1001">
        <v>1.1102540000000001</v>
      </c>
      <c r="L1001">
        <v>282.2321</v>
      </c>
      <c r="M1001">
        <v>-0.99977459999999996</v>
      </c>
      <c r="N1001">
        <v>0</v>
      </c>
      <c r="O1001">
        <v>-1.624857E-2</v>
      </c>
      <c r="P1001">
        <v>-0.98667260000000001</v>
      </c>
      <c r="Q1001">
        <v>0.1516585</v>
      </c>
      <c r="R1001">
        <v>-5.8963269999999998E-2</v>
      </c>
      <c r="S1001">
        <v>-3.0500180000000001</v>
      </c>
      <c r="T1001">
        <v>-0.1557161</v>
      </c>
      <c r="U1001">
        <v>-0.2312622</v>
      </c>
      <c r="V1001">
        <v>-4.2803639999999997E-2</v>
      </c>
      <c r="W1001">
        <v>0.16518289999999999</v>
      </c>
      <c r="X1001">
        <v>0.98533369999999998</v>
      </c>
      <c r="Y1001">
        <v>-5.9336859999999998E-2</v>
      </c>
      <c r="Z1001">
        <v>-6.8379119999999996E-4</v>
      </c>
      <c r="AA1001">
        <v>0.99823779999999995</v>
      </c>
      <c r="AB1001">
        <v>31</v>
      </c>
      <c r="AC1001">
        <v>-21.439</v>
      </c>
      <c r="AD1001">
        <v>-1.1102526710430001</v>
      </c>
      <c r="AE1001">
        <v>-1.6442000000000101</v>
      </c>
      <c r="AF1001">
        <v>-1.29215217983829</v>
      </c>
      <c r="AG1001">
        <v>-1.1102526710430001</v>
      </c>
      <c r="AH1001">
        <v>21.405816030056901</v>
      </c>
      <c r="AI1001">
        <v>92.963707043316205</v>
      </c>
      <c r="AJ1001">
        <v>93.454441434330107</v>
      </c>
      <c r="AK1001">
        <v>21.4735017675753</v>
      </c>
      <c r="AL1001">
        <v>80.492140540742099</v>
      </c>
      <c r="AM1001">
        <v>92.487408053476202</v>
      </c>
      <c r="AN1001">
        <v>1.0000000212026701</v>
      </c>
    </row>
    <row r="1002" spans="1:40" x14ac:dyDescent="0.3">
      <c r="A1002" t="str">
        <f>"20200111150742226"</f>
        <v>20200111150742226</v>
      </c>
      <c r="B1002" t="str">
        <f>"1578726462222513"</f>
        <v>1578726462222513</v>
      </c>
      <c r="C1002" t="s">
        <v>40</v>
      </c>
      <c r="D1002">
        <v>5.4951780000000001</v>
      </c>
      <c r="E1002">
        <v>0.49089100000000002</v>
      </c>
      <c r="F1002" t="s">
        <v>55</v>
      </c>
      <c r="G1002">
        <v>-255.1377</v>
      </c>
      <c r="H1002" s="1">
        <v>1.197231E-6</v>
      </c>
      <c r="I1002">
        <v>280.63959999999997</v>
      </c>
      <c r="J1002">
        <v>-234.2423</v>
      </c>
      <c r="K1002">
        <v>1.1102650000000001</v>
      </c>
      <c r="L1002">
        <v>282.2276</v>
      </c>
      <c r="M1002">
        <v>-0.99977959999999999</v>
      </c>
      <c r="N1002">
        <v>0</v>
      </c>
      <c r="O1002">
        <v>-1.5933940000000001E-2</v>
      </c>
      <c r="P1002">
        <v>-0.98651029999999995</v>
      </c>
      <c r="Q1002">
        <v>0.15299380000000001</v>
      </c>
      <c r="R1002">
        <v>-5.8231100000000001E-2</v>
      </c>
      <c r="S1002">
        <v>-3.0513759999999999</v>
      </c>
      <c r="T1002">
        <v>-0.15986610000000001</v>
      </c>
      <c r="U1002">
        <v>-0.22930909999999999</v>
      </c>
      <c r="V1002">
        <v>-4.238244E-2</v>
      </c>
      <c r="W1002">
        <v>0.16651270000000001</v>
      </c>
      <c r="X1002">
        <v>0.985128</v>
      </c>
      <c r="Y1002">
        <v>-5.897927E-2</v>
      </c>
      <c r="Z1002">
        <v>-7.0879169999999998E-4</v>
      </c>
      <c r="AA1002">
        <v>0.99825889999999995</v>
      </c>
      <c r="AB1002">
        <v>31</v>
      </c>
      <c r="AC1002">
        <v>-20.895399999999899</v>
      </c>
      <c r="AD1002">
        <v>-1.1102638027689999</v>
      </c>
      <c r="AE1002">
        <v>-1.5880000000000201</v>
      </c>
      <c r="AF1002">
        <v>-1.25130871505499</v>
      </c>
      <c r="AG1002">
        <v>-1.1102638027689999</v>
      </c>
      <c r="AH1002">
        <v>20.859498607225401</v>
      </c>
      <c r="AI1002">
        <v>93.041282756350299</v>
      </c>
      <c r="AJ1002">
        <v>93.432915481204105</v>
      </c>
      <c r="AK1002">
        <v>20.926469873271799</v>
      </c>
      <c r="AL1002">
        <v>80.414878077383406</v>
      </c>
      <c r="AM1002">
        <v>92.463475187869406</v>
      </c>
      <c r="AN1002">
        <v>0.99999996343282105</v>
      </c>
    </row>
    <row r="1003" spans="1:40" x14ac:dyDescent="0.3">
      <c r="A1003" t="str">
        <f>"20200111150742249"</f>
        <v>20200111150742249</v>
      </c>
      <c r="B1003" t="str">
        <f>"1578726462242034"</f>
        <v>1578726462242034</v>
      </c>
      <c r="C1003" t="s">
        <v>40</v>
      </c>
      <c r="D1003">
        <v>5.4821980000000003</v>
      </c>
      <c r="E1003">
        <v>0.49063220000000002</v>
      </c>
      <c r="F1003" t="s">
        <v>55</v>
      </c>
      <c r="G1003">
        <v>-255.14109999999999</v>
      </c>
      <c r="H1003" s="1">
        <v>1.199066E-6</v>
      </c>
      <c r="I1003">
        <v>280.66090000000003</v>
      </c>
      <c r="J1003">
        <v>-234.57300000000001</v>
      </c>
      <c r="K1003">
        <v>1.110266</v>
      </c>
      <c r="L1003">
        <v>282.22269999999997</v>
      </c>
      <c r="M1003">
        <v>-0.99978529999999999</v>
      </c>
      <c r="N1003">
        <v>0</v>
      </c>
      <c r="O1003">
        <v>-1.557746E-2</v>
      </c>
      <c r="P1003">
        <v>-0.98634750000000004</v>
      </c>
      <c r="Q1003">
        <v>0.15401989999999999</v>
      </c>
      <c r="R1003">
        <v>-5.8281529999999998E-2</v>
      </c>
      <c r="S1003">
        <v>-3.0526580000000001</v>
      </c>
      <c r="T1003">
        <v>-0.16217409999999999</v>
      </c>
      <c r="U1003">
        <v>-0.22885130000000001</v>
      </c>
      <c r="V1003">
        <v>-4.2785959999999998E-2</v>
      </c>
      <c r="W1003">
        <v>0.1675343</v>
      </c>
      <c r="X1003">
        <v>0.98493739999999996</v>
      </c>
      <c r="Y1003">
        <v>-5.9152620000000003E-2</v>
      </c>
      <c r="Z1003">
        <v>-7.4220130000000005E-4</v>
      </c>
      <c r="AA1003">
        <v>0.99824869999999999</v>
      </c>
      <c r="AB1003">
        <v>31</v>
      </c>
      <c r="AC1003">
        <v>-20.568100000000001</v>
      </c>
      <c r="AD1003">
        <v>-1.1102648009339999</v>
      </c>
      <c r="AE1003">
        <v>-1.5617999999999399</v>
      </c>
      <c r="AF1003">
        <v>-1.23759631732857</v>
      </c>
      <c r="AG1003">
        <v>-1.1102648009339999</v>
      </c>
      <c r="AH1003">
        <v>20.530455642350098</v>
      </c>
      <c r="AI1003">
        <v>93.0898804203064</v>
      </c>
      <c r="AJ1003">
        <v>93.449672233711496</v>
      </c>
      <c r="AK1003">
        <v>20.597668349970199</v>
      </c>
      <c r="AL1003">
        <v>80.355511424040102</v>
      </c>
      <c r="AM1003">
        <v>92.487381087613997</v>
      </c>
      <c r="AN1003">
        <v>1.0000000309841801</v>
      </c>
    </row>
    <row r="1004" spans="1:40" x14ac:dyDescent="0.3">
      <c r="A1004" t="str">
        <f>"20200111150742272"</f>
        <v>20200111150742272</v>
      </c>
      <c r="B1004" t="str">
        <f>"1578726462262529"</f>
        <v>1578726462262529</v>
      </c>
      <c r="C1004" t="s">
        <v>40</v>
      </c>
      <c r="D1004">
        <v>5.4347050000000001</v>
      </c>
      <c r="E1004">
        <v>0.4892475</v>
      </c>
      <c r="F1004" t="s">
        <v>55</v>
      </c>
      <c r="G1004">
        <v>-255.71279999999999</v>
      </c>
      <c r="H1004" s="1">
        <v>1.50326E-6</v>
      </c>
      <c r="I1004">
        <v>280.6207</v>
      </c>
      <c r="J1004">
        <v>-234.88890000000001</v>
      </c>
      <c r="K1004">
        <v>1.110263</v>
      </c>
      <c r="L1004">
        <v>282.21820000000002</v>
      </c>
      <c r="M1004">
        <v>-0.99979070000000003</v>
      </c>
      <c r="N1004">
        <v>0</v>
      </c>
      <c r="O1004">
        <v>-1.5227869999999999E-2</v>
      </c>
      <c r="P1004">
        <v>-0.98619670000000004</v>
      </c>
      <c r="Q1004">
        <v>0.15475839999999999</v>
      </c>
      <c r="R1004">
        <v>-5.8874900000000001E-2</v>
      </c>
      <c r="S1004">
        <v>-3.0528870000000001</v>
      </c>
      <c r="T1004">
        <v>-0.16033839999999999</v>
      </c>
      <c r="U1004">
        <v>-0.2313538</v>
      </c>
      <c r="V1004">
        <v>-4.3723919999999999E-2</v>
      </c>
      <c r="W1004">
        <v>0.16826949999999999</v>
      </c>
      <c r="X1004">
        <v>0.98477079999999995</v>
      </c>
      <c r="Y1004">
        <v>-6.030903E-2</v>
      </c>
      <c r="Z1004">
        <v>-7.8235570000000001E-4</v>
      </c>
      <c r="AA1004">
        <v>0.99817940000000005</v>
      </c>
      <c r="AB1004">
        <v>31</v>
      </c>
      <c r="AC1004">
        <v>-20.823899999999899</v>
      </c>
      <c r="AD1004">
        <v>-1.11026149674</v>
      </c>
      <c r="AE1004">
        <v>-1.5975000000000199</v>
      </c>
      <c r="AF1004">
        <v>-1.27657384490079</v>
      </c>
      <c r="AG1004">
        <v>-1.11026149674</v>
      </c>
      <c r="AH1004">
        <v>20.787068746287002</v>
      </c>
      <c r="AI1004">
        <v>93.051590993404801</v>
      </c>
      <c r="AJ1004">
        <v>93.514230493379102</v>
      </c>
      <c r="AK1004">
        <v>20.855803711089401</v>
      </c>
      <c r="AL1004">
        <v>80.312780328881701</v>
      </c>
      <c r="AM1004">
        <v>92.542268518220695</v>
      </c>
      <c r="AN1004">
        <v>0.99999996717152695</v>
      </c>
    </row>
    <row r="1005" spans="1:40" x14ac:dyDescent="0.3">
      <c r="A1005" t="str">
        <f>"20200111150742294"</f>
        <v>20200111150742294</v>
      </c>
      <c r="B1005" t="str">
        <f>"1578726462291809"</f>
        <v>1578726462291809</v>
      </c>
      <c r="C1005" t="s">
        <v>40</v>
      </c>
      <c r="D1005">
        <v>5.4848119999999998</v>
      </c>
      <c r="E1005">
        <v>0.49038490000000001</v>
      </c>
      <c r="F1005" t="s">
        <v>55</v>
      </c>
      <c r="G1005">
        <v>-254.8921</v>
      </c>
      <c r="H1005" s="1">
        <v>1.066529E-6</v>
      </c>
      <c r="I1005">
        <v>280.6259</v>
      </c>
      <c r="J1005">
        <v>-235.19970000000001</v>
      </c>
      <c r="K1005">
        <v>1.1102559999999999</v>
      </c>
      <c r="L1005">
        <v>282.21379999999999</v>
      </c>
      <c r="M1005">
        <v>-0.99979609999999997</v>
      </c>
      <c r="N1005">
        <v>0</v>
      </c>
      <c r="O1005">
        <v>-1.486867E-2</v>
      </c>
      <c r="P1005">
        <v>-0.98607659999999997</v>
      </c>
      <c r="Q1005">
        <v>0.155364</v>
      </c>
      <c r="R1005">
        <v>-5.9285060000000001E-2</v>
      </c>
      <c r="S1005">
        <v>-3.0540620000000001</v>
      </c>
      <c r="T1005">
        <v>-0.16951329999999901</v>
      </c>
      <c r="U1005">
        <v>-0.24310300000000001</v>
      </c>
      <c r="V1005">
        <v>-4.4486530000000003E-2</v>
      </c>
      <c r="W1005">
        <v>0.168873</v>
      </c>
      <c r="X1005">
        <v>0.98463339999999999</v>
      </c>
      <c r="Y1005">
        <v>-6.4441170000000006E-2</v>
      </c>
      <c r="Z1005">
        <v>-9.6091480000000005E-4</v>
      </c>
      <c r="AA1005">
        <v>0.99792099999999995</v>
      </c>
      <c r="AB1005">
        <v>31</v>
      </c>
      <c r="AC1005">
        <v>-19.6923999999999</v>
      </c>
      <c r="AD1005">
        <v>-1.1102549334709999</v>
      </c>
      <c r="AE1005">
        <v>-1.5878999999999901</v>
      </c>
      <c r="AF1005">
        <v>-1.29082069004269</v>
      </c>
      <c r="AG1005">
        <v>-1.1102549334709999</v>
      </c>
      <c r="AH1005">
        <v>19.6517715218916</v>
      </c>
      <c r="AI1005">
        <v>93.2266311786437</v>
      </c>
      <c r="AJ1005">
        <v>93.758057527000403</v>
      </c>
      <c r="AK1005">
        <v>19.725389933275501</v>
      </c>
      <c r="AL1005">
        <v>80.277700995454694</v>
      </c>
      <c r="AM1005">
        <v>92.586910195105602</v>
      </c>
      <c r="AN1005">
        <v>1.00000003693799</v>
      </c>
    </row>
    <row r="1006" spans="1:40" x14ac:dyDescent="0.3">
      <c r="A1006" t="str">
        <f>"20200111150742316"</f>
        <v>20200111150742316</v>
      </c>
      <c r="B1006" t="str">
        <f>"1578726462312305"</f>
        <v>1578726462312305</v>
      </c>
      <c r="C1006" t="s">
        <v>40</v>
      </c>
      <c r="D1006">
        <v>5.4397539999999998</v>
      </c>
      <c r="E1006">
        <v>0.4900177</v>
      </c>
      <c r="F1006" t="s">
        <v>55</v>
      </c>
      <c r="G1006">
        <v>-254.85159999999999</v>
      </c>
      <c r="H1006" s="1">
        <v>1.0449750000000001E-6</v>
      </c>
      <c r="I1006">
        <v>280.69929999999999</v>
      </c>
      <c r="J1006">
        <v>-235.49119999999999</v>
      </c>
      <c r="K1006">
        <v>1.110249</v>
      </c>
      <c r="L1006">
        <v>282.2099</v>
      </c>
      <c r="M1006">
        <v>-0.99980139999999995</v>
      </c>
      <c r="N1006">
        <v>0</v>
      </c>
      <c r="O1006">
        <v>-1.4509869999999999E-2</v>
      </c>
      <c r="P1006">
        <v>-0.98600080000000001</v>
      </c>
      <c r="Q1006">
        <v>0.15609100000000001</v>
      </c>
      <c r="R1006">
        <v>-5.8634800000000001E-2</v>
      </c>
      <c r="S1006">
        <v>-3.0553889999999999</v>
      </c>
      <c r="T1006">
        <v>-0.17261750000000001</v>
      </c>
      <c r="U1006">
        <v>-0.23547360000000001</v>
      </c>
      <c r="V1006">
        <v>-4.4185160000000001E-2</v>
      </c>
      <c r="W1006">
        <v>0.16959769999999999</v>
      </c>
      <c r="X1006">
        <v>0.98452229999999996</v>
      </c>
      <c r="Y1006">
        <v>-6.228831E-2</v>
      </c>
      <c r="Z1006">
        <v>-9.3769559999999999E-4</v>
      </c>
      <c r="AA1006">
        <v>0.99805779999999999</v>
      </c>
      <c r="AB1006">
        <v>31</v>
      </c>
      <c r="AC1006">
        <v>-19.360399999999998</v>
      </c>
      <c r="AD1006">
        <v>-1.110247955025</v>
      </c>
      <c r="AE1006">
        <v>-1.5106000000000099</v>
      </c>
      <c r="AF1006">
        <v>-1.2254920713317601</v>
      </c>
      <c r="AG1006">
        <v>-1.110247955025</v>
      </c>
      <c r="AH1006">
        <v>19.3171401531499</v>
      </c>
      <c r="AI1006">
        <v>93.282857014800697</v>
      </c>
      <c r="AJ1006">
        <v>93.6300172063345</v>
      </c>
      <c r="AK1006">
        <v>19.387789586102102</v>
      </c>
      <c r="AL1006">
        <v>80.235570030333605</v>
      </c>
      <c r="AM1006">
        <v>92.5696985307533</v>
      </c>
      <c r="AN1006">
        <v>0.99999993370340001</v>
      </c>
    </row>
    <row r="1007" spans="1:40" x14ac:dyDescent="0.3">
      <c r="A1007" t="str">
        <f>"20200111150742337"</f>
        <v>20200111150742337</v>
      </c>
      <c r="B1007" t="str">
        <f>"1578726462331826"</f>
        <v>1578726462331826</v>
      </c>
      <c r="C1007" t="s">
        <v>40</v>
      </c>
      <c r="D1007">
        <v>5.525379</v>
      </c>
      <c r="E1007">
        <v>0.48994589999999999</v>
      </c>
      <c r="F1007" t="s">
        <v>55</v>
      </c>
      <c r="G1007">
        <v>-255.23060000000001</v>
      </c>
      <c r="H1007" s="1">
        <v>1.2466709999999999E-6</v>
      </c>
      <c r="I1007">
        <v>280.67529999999999</v>
      </c>
      <c r="J1007">
        <v>-235.8006</v>
      </c>
      <c r="K1007">
        <v>1.110236</v>
      </c>
      <c r="L1007">
        <v>282.20589999999999</v>
      </c>
      <c r="M1007">
        <v>-0.99980729999999995</v>
      </c>
      <c r="N1007">
        <v>0</v>
      </c>
      <c r="O1007">
        <v>-1.4096930000000001E-2</v>
      </c>
      <c r="P1007">
        <v>-0.98568860000000003</v>
      </c>
      <c r="Q1007">
        <v>0.15797139999999901</v>
      </c>
      <c r="R1007">
        <v>-5.8847900000000002E-2</v>
      </c>
      <c r="S1007">
        <v>-3.0556950000000001</v>
      </c>
      <c r="T1007">
        <v>-0.17186879999999999</v>
      </c>
      <c r="U1007">
        <v>-0.2375488</v>
      </c>
      <c r="V1007">
        <v>-4.4798520000000001E-2</v>
      </c>
      <c r="W1007">
        <v>0.17147479999999901</v>
      </c>
      <c r="X1007">
        <v>0.98416939999999997</v>
      </c>
      <c r="Y1007">
        <v>-6.3364959999999998E-2</v>
      </c>
      <c r="Z1007">
        <v>-9.8689440000000002E-4</v>
      </c>
      <c r="AA1007">
        <v>0.99799000000000004</v>
      </c>
      <c r="AB1007">
        <v>31</v>
      </c>
      <c r="AC1007">
        <v>-19.43</v>
      </c>
      <c r="AD1007">
        <v>-1.110234753329</v>
      </c>
      <c r="AE1007">
        <v>-1.53059999999999</v>
      </c>
      <c r="AF1007">
        <v>-1.2524549132065399</v>
      </c>
      <c r="AG1007">
        <v>-1.110234753329</v>
      </c>
      <c r="AH1007">
        <v>19.386740262843698</v>
      </c>
      <c r="AI1007">
        <v>93.270816063837103</v>
      </c>
      <c r="AJ1007">
        <v>93.696381904918098</v>
      </c>
      <c r="AK1007">
        <v>19.458853063222399</v>
      </c>
      <c r="AL1007">
        <v>80.126421494456096</v>
      </c>
      <c r="AM1007">
        <v>92.6062541204589</v>
      </c>
      <c r="AN1007">
        <v>0.99999996116279399</v>
      </c>
    </row>
    <row r="1008" spans="1:40" x14ac:dyDescent="0.3">
      <c r="A1008" t="str">
        <f>"20200111150742362"</f>
        <v>20200111150742362</v>
      </c>
      <c r="B1008" t="str">
        <f>"1578726462352321"</f>
        <v>1578726462352321</v>
      </c>
      <c r="C1008" t="s">
        <v>40</v>
      </c>
      <c r="D1008">
        <v>5.5123239999999996</v>
      </c>
      <c r="E1008">
        <v>0.48953010000000002</v>
      </c>
      <c r="F1008" t="s">
        <v>55</v>
      </c>
      <c r="G1008">
        <v>-256.04649999999998</v>
      </c>
      <c r="H1008" s="1">
        <v>1.680867E-6</v>
      </c>
      <c r="I1008">
        <v>280.6266</v>
      </c>
      <c r="J1008">
        <v>-236.13220000000001</v>
      </c>
      <c r="K1008">
        <v>1.1102160000000001</v>
      </c>
      <c r="L1008">
        <v>282.20170000000002</v>
      </c>
      <c r="M1008">
        <v>-0.99981419999999999</v>
      </c>
      <c r="N1008">
        <v>0</v>
      </c>
      <c r="O1008">
        <v>-1.360515E-2</v>
      </c>
      <c r="P1008">
        <v>-0.98538550000000003</v>
      </c>
      <c r="Q1008">
        <v>0.15965770000000001</v>
      </c>
      <c r="R1008">
        <v>-5.9372090000000002E-2</v>
      </c>
      <c r="S1008">
        <v>-3.0561980000000002</v>
      </c>
      <c r="T1008">
        <v>-0.16759399999999999</v>
      </c>
      <c r="U1008">
        <v>-0.23840330000000001</v>
      </c>
      <c r="V1008">
        <v>-4.5796570000000002E-2</v>
      </c>
      <c r="W1008">
        <v>0.17315910000000001</v>
      </c>
      <c r="X1008">
        <v>0.98382849999999999</v>
      </c>
      <c r="Y1008">
        <v>-6.4122410000000005E-2</v>
      </c>
      <c r="Z1008">
        <v>-1.0098380000000001E-3</v>
      </c>
      <c r="AA1008">
        <v>0.99794159999999998</v>
      </c>
      <c r="AB1008">
        <v>31</v>
      </c>
      <c r="AC1008">
        <v>-19.914299999999901</v>
      </c>
      <c r="AD1008">
        <v>-1.1102143191329901</v>
      </c>
      <c r="AE1008">
        <v>-1.5751000000000199</v>
      </c>
      <c r="AF1008">
        <v>-1.299976655641</v>
      </c>
      <c r="AG1008">
        <v>-1.1102143191329901</v>
      </c>
      <c r="AH1008">
        <v>19.872507839402001</v>
      </c>
      <c r="AI1008">
        <v>93.190804845821205</v>
      </c>
      <c r="AJ1008">
        <v>93.7427185743866</v>
      </c>
      <c r="AK1008">
        <v>19.9459039145062</v>
      </c>
      <c r="AL1008">
        <v>80.028452710150901</v>
      </c>
      <c r="AM1008">
        <v>92.665156995845607</v>
      </c>
      <c r="AN1008">
        <v>0.99999995857441104</v>
      </c>
    </row>
    <row r="1009" spans="1:40" x14ac:dyDescent="0.3">
      <c r="A1009" t="str">
        <f>"20200111150742383"</f>
        <v>20200111150742383</v>
      </c>
      <c r="B1009" t="str">
        <f>"1578726462371841"</f>
        <v>1578726462371841</v>
      </c>
      <c r="C1009" t="s">
        <v>40</v>
      </c>
      <c r="D1009">
        <v>5.4831659999999998</v>
      </c>
      <c r="E1009">
        <v>0.48935529999999999</v>
      </c>
      <c r="F1009" t="s">
        <v>55</v>
      </c>
      <c r="G1009">
        <v>-256.86189999999999</v>
      </c>
      <c r="H1009" s="1">
        <v>2.1147829999999998E-6</v>
      </c>
      <c r="I1009">
        <v>280.55079999999998</v>
      </c>
      <c r="J1009">
        <v>-236.44120000000001</v>
      </c>
      <c r="K1009">
        <v>1.110182</v>
      </c>
      <c r="L1009">
        <v>282.19799999999998</v>
      </c>
      <c r="M1009">
        <v>-0.99982090000000001</v>
      </c>
      <c r="N1009">
        <v>0</v>
      </c>
      <c r="O1009">
        <v>-1.309282E-2</v>
      </c>
      <c r="P1009">
        <v>-0.98532180000000003</v>
      </c>
      <c r="Q1009">
        <v>0.1600895</v>
      </c>
      <c r="R1009">
        <v>-5.9266619999999999E-2</v>
      </c>
      <c r="S1009">
        <v>-3.0563660000000001</v>
      </c>
      <c r="T1009">
        <v>-0.1636888</v>
      </c>
      <c r="U1009">
        <v>-0.24340819999999999</v>
      </c>
      <c r="V1009">
        <v>-4.618096E-2</v>
      </c>
      <c r="W1009">
        <v>0.173593</v>
      </c>
      <c r="X1009">
        <v>0.98373409999999994</v>
      </c>
      <c r="Y1009">
        <v>-6.625317E-2</v>
      </c>
      <c r="Z1009">
        <v>-1.070524E-3</v>
      </c>
      <c r="AA1009">
        <v>0.99780230000000003</v>
      </c>
      <c r="AB1009">
        <v>31</v>
      </c>
      <c r="AC1009">
        <v>-20.420699999999901</v>
      </c>
      <c r="AD1009">
        <v>-1.110179885217</v>
      </c>
      <c r="AE1009">
        <v>-1.64719999999999</v>
      </c>
      <c r="AF1009">
        <v>-1.3756297409937399</v>
      </c>
      <c r="AG1009">
        <v>-1.110179885217</v>
      </c>
      <c r="AH1009">
        <v>20.3806701486766</v>
      </c>
      <c r="AI1009">
        <v>93.110881265847993</v>
      </c>
      <c r="AJ1009">
        <v>93.861424122617393</v>
      </c>
      <c r="AK1009">
        <v>20.457188767545802</v>
      </c>
      <c r="AL1009">
        <v>80.003210152610507</v>
      </c>
      <c r="AM1009">
        <v>92.687751642514499</v>
      </c>
      <c r="AN1009">
        <v>0.99999999510916504</v>
      </c>
    </row>
    <row r="1010" spans="1:40" x14ac:dyDescent="0.3">
      <c r="A1010" t="str">
        <f>"20200111150742406"</f>
        <v>20200111150742406</v>
      </c>
      <c r="B1010" t="str">
        <f>"1578726462402097"</f>
        <v>1578726462402097</v>
      </c>
      <c r="C1010" t="s">
        <v>40</v>
      </c>
      <c r="D1010">
        <v>5.9739240000000002</v>
      </c>
      <c r="E1010">
        <v>0.48945379999999999</v>
      </c>
      <c r="F1010" t="s">
        <v>55</v>
      </c>
      <c r="G1010">
        <v>-257.02539999999999</v>
      </c>
      <c r="H1010" s="1">
        <v>2.2017859999999999E-6</v>
      </c>
      <c r="I1010">
        <v>280.55149999999998</v>
      </c>
      <c r="J1010">
        <v>-236.7432</v>
      </c>
      <c r="K1010">
        <v>1.110147</v>
      </c>
      <c r="L1010">
        <v>282.19470000000001</v>
      </c>
      <c r="M1010">
        <v>-0.99982800000000005</v>
      </c>
      <c r="N1010">
        <v>0</v>
      </c>
      <c r="O1010">
        <v>-1.2548439999999999E-2</v>
      </c>
      <c r="P1010">
        <v>-0.98528640000000001</v>
      </c>
      <c r="Q1010">
        <v>0.1604835</v>
      </c>
      <c r="R1010">
        <v>-5.8786529999999997E-2</v>
      </c>
      <c r="S1010">
        <v>-3.0567630000000001</v>
      </c>
      <c r="T1010">
        <v>-0.1648617</v>
      </c>
      <c r="U1010">
        <v>-0.2445068</v>
      </c>
      <c r="V1010">
        <v>-4.6222239999999998E-2</v>
      </c>
      <c r="W1010">
        <v>0.17398839999999999</v>
      </c>
      <c r="X1010">
        <v>0.98366229999999999</v>
      </c>
      <c r="Y1010">
        <v>-6.7139389999999993E-2</v>
      </c>
      <c r="Z1010">
        <v>-1.1311579999999999E-3</v>
      </c>
      <c r="AA1010">
        <v>0.99774300000000005</v>
      </c>
      <c r="AB1010">
        <v>31</v>
      </c>
      <c r="AC1010">
        <v>-20.2821999999999</v>
      </c>
      <c r="AD1010">
        <v>-1.110144798214</v>
      </c>
      <c r="AE1010">
        <v>-1.64320000000003</v>
      </c>
      <c r="AF1010">
        <v>-1.3844163476500599</v>
      </c>
      <c r="AG1010">
        <v>-1.110144798214</v>
      </c>
      <c r="AH1010">
        <v>20.240979532911901</v>
      </c>
      <c r="AI1010">
        <v>93.132018965023605</v>
      </c>
      <c r="AJ1010">
        <v>93.912748817318501</v>
      </c>
      <c r="AK1010">
        <v>20.318619110274199</v>
      </c>
      <c r="AL1010">
        <v>79.980205272226002</v>
      </c>
      <c r="AM1010">
        <v>92.690346700851705</v>
      </c>
      <c r="AN1010">
        <v>0.999999989623233</v>
      </c>
    </row>
    <row r="1011" spans="1:40" x14ac:dyDescent="0.3">
      <c r="A1011" t="str">
        <f>"20200111150742428"</f>
        <v>20200111150742428</v>
      </c>
      <c r="B1011" t="str">
        <f>"1578726462422594"</f>
        <v>1578726462422594</v>
      </c>
      <c r="C1011" t="s">
        <v>40</v>
      </c>
      <c r="D1011">
        <v>5.3681229999999998</v>
      </c>
      <c r="E1011">
        <v>0.48942059999999998</v>
      </c>
      <c r="F1011" t="s">
        <v>55</v>
      </c>
      <c r="G1011">
        <v>-256.87259999999998</v>
      </c>
      <c r="H1011" s="1">
        <v>2.1204469999999999E-6</v>
      </c>
      <c r="I1011">
        <v>280.60059999999999</v>
      </c>
      <c r="J1011">
        <v>-237.0556</v>
      </c>
      <c r="K1011">
        <v>1.1101129999999999</v>
      </c>
      <c r="L1011">
        <v>282.19139999999999</v>
      </c>
      <c r="M1011">
        <v>-0.99983549999999999</v>
      </c>
      <c r="N1011">
        <v>0</v>
      </c>
      <c r="O1011">
        <v>-1.193492E-2</v>
      </c>
      <c r="P1011">
        <v>-0.98512040000000001</v>
      </c>
      <c r="Q1011">
        <v>0.1616541</v>
      </c>
      <c r="R1011">
        <v>-5.8359790000000002E-2</v>
      </c>
      <c r="S1011">
        <v>-3.0578159999999999</v>
      </c>
      <c r="T1011">
        <v>-0.16864000000000001</v>
      </c>
      <c r="U1011">
        <v>-0.24215700000000001</v>
      </c>
      <c r="V1011">
        <v>-4.6385080000000002E-2</v>
      </c>
      <c r="W1011">
        <v>0.17515939999999999</v>
      </c>
      <c r="X1011">
        <v>0.98344679999999995</v>
      </c>
      <c r="Y1011">
        <v>-6.6958149999999994E-2</v>
      </c>
      <c r="Z1011">
        <v>-1.185445E-3</v>
      </c>
      <c r="AA1011">
        <v>0.99775510000000001</v>
      </c>
      <c r="AB1011">
        <v>31</v>
      </c>
      <c r="AC1011">
        <v>-19.816999999999901</v>
      </c>
      <c r="AD1011">
        <v>-1.1101108795529999</v>
      </c>
      <c r="AE1011">
        <v>-1.5908</v>
      </c>
      <c r="AF1011">
        <v>-1.34994127354613</v>
      </c>
      <c r="AG1011">
        <v>-1.1101108795529999</v>
      </c>
      <c r="AH1011">
        <v>19.7729254098846</v>
      </c>
      <c r="AI1011">
        <v>93.205934910746194</v>
      </c>
      <c r="AJ1011">
        <v>93.905648693428205</v>
      </c>
      <c r="AK1011">
        <v>19.850019316660202</v>
      </c>
      <c r="AL1011">
        <v>79.912065664194202</v>
      </c>
      <c r="AM1011">
        <v>92.700401464494206</v>
      </c>
      <c r="AN1011">
        <v>0.99999999974260301</v>
      </c>
    </row>
    <row r="1012" spans="1:40" x14ac:dyDescent="0.3">
      <c r="A1012" t="str">
        <f>"20200111150742450"</f>
        <v>20200111150742450</v>
      </c>
      <c r="B1012" t="str">
        <f>"1578726462442114"</f>
        <v>1578726462442114</v>
      </c>
      <c r="C1012" t="s">
        <v>40</v>
      </c>
      <c r="D1012">
        <v>5.5075500000000002</v>
      </c>
      <c r="E1012">
        <v>0.48909360000000002</v>
      </c>
      <c r="F1012" t="s">
        <v>55</v>
      </c>
      <c r="G1012">
        <v>-258.09719999999999</v>
      </c>
      <c r="H1012" s="1">
        <v>2.772126E-6</v>
      </c>
      <c r="I1012">
        <v>280.53179999999998</v>
      </c>
      <c r="J1012">
        <v>-237.37710000000001</v>
      </c>
      <c r="K1012">
        <v>1.1100760000000001</v>
      </c>
      <c r="L1012">
        <v>282.18830000000003</v>
      </c>
      <c r="M1012">
        <v>-0.9998435</v>
      </c>
      <c r="N1012">
        <v>0</v>
      </c>
      <c r="O1012">
        <v>-1.124698E-2</v>
      </c>
      <c r="P1012">
        <v>-0.98504020000000003</v>
      </c>
      <c r="Q1012">
        <v>0.16222710000000001</v>
      </c>
      <c r="R1012">
        <v>-5.8120989999999997E-2</v>
      </c>
      <c r="S1012">
        <v>-3.0574949999999999</v>
      </c>
      <c r="T1012">
        <v>-0.16130700000000001</v>
      </c>
      <c r="U1012">
        <v>-0.2411499</v>
      </c>
      <c r="V1012">
        <v>-4.6807870000000001E-2</v>
      </c>
      <c r="W1012">
        <v>0.175734</v>
      </c>
      <c r="X1012">
        <v>0.98332419999999998</v>
      </c>
      <c r="Y1012">
        <v>-6.7331870000000002E-2</v>
      </c>
      <c r="Z1012">
        <v>-1.180146E-3</v>
      </c>
      <c r="AA1012">
        <v>0.99773000000000001</v>
      </c>
      <c r="AB1012">
        <v>31</v>
      </c>
      <c r="AC1012">
        <v>-20.720099999999899</v>
      </c>
      <c r="AD1012">
        <v>-1.110073227874</v>
      </c>
      <c r="AE1012">
        <v>-1.65650000000005</v>
      </c>
      <c r="AF1012">
        <v>-1.4192870903424299</v>
      </c>
      <c r="AG1012">
        <v>-1.110073227874</v>
      </c>
      <c r="AH1012">
        <v>20.678446233604799</v>
      </c>
      <c r="AI1012">
        <v>93.065639504218893</v>
      </c>
      <c r="AJ1012">
        <v>93.926398690112407</v>
      </c>
      <c r="AK1012">
        <v>20.756800742218001</v>
      </c>
      <c r="AL1012">
        <v>79.8786242850543</v>
      </c>
      <c r="AM1012">
        <v>92.725317344796196</v>
      </c>
      <c r="AN1012">
        <v>0.99999994887778698</v>
      </c>
    </row>
    <row r="1013" spans="1:40" x14ac:dyDescent="0.3">
      <c r="A1013" t="str">
        <f>"20200111150742474"</f>
        <v>20200111150742474</v>
      </c>
      <c r="B1013" t="str">
        <f>"1578726462462610"</f>
        <v>1578726462462610</v>
      </c>
      <c r="C1013" t="s">
        <v>40</v>
      </c>
      <c r="D1013">
        <v>5.7446120000000001</v>
      </c>
      <c r="E1013">
        <v>0.48881819999999998</v>
      </c>
      <c r="F1013" t="s">
        <v>55</v>
      </c>
      <c r="G1013">
        <v>-258.48590000000002</v>
      </c>
      <c r="H1013" s="1">
        <v>2.9789820000000001E-6</v>
      </c>
      <c r="I1013">
        <v>280.50979999999998</v>
      </c>
      <c r="J1013">
        <v>-237.6926</v>
      </c>
      <c r="K1013">
        <v>1.1100380000000001</v>
      </c>
      <c r="L1013">
        <v>282.18549999999999</v>
      </c>
      <c r="M1013">
        <v>-0.9998515</v>
      </c>
      <c r="N1013">
        <v>0</v>
      </c>
      <c r="O1013">
        <v>-1.0518029999999999E-2</v>
      </c>
      <c r="P1013">
        <v>-0.98505920000000002</v>
      </c>
      <c r="Q1013">
        <v>0.16214890000000001</v>
      </c>
      <c r="R1013">
        <v>-5.8018930000000003E-2</v>
      </c>
      <c r="S1013">
        <v>-3.0576780000000001</v>
      </c>
      <c r="T1013">
        <v>-0.160798</v>
      </c>
      <c r="U1013">
        <v>-0.2431335</v>
      </c>
      <c r="V1013">
        <v>-4.7407270000000001E-2</v>
      </c>
      <c r="W1013">
        <v>0.1756598</v>
      </c>
      <c r="X1013">
        <v>0.98330879999999998</v>
      </c>
      <c r="Y1013">
        <v>-6.8695389999999995E-2</v>
      </c>
      <c r="Z1013">
        <v>-1.25034E-3</v>
      </c>
      <c r="AA1013">
        <v>0.99763690000000005</v>
      </c>
      <c r="AB1013">
        <v>31</v>
      </c>
      <c r="AC1013">
        <v>-20.793299999999999</v>
      </c>
      <c r="AD1013">
        <v>-1.1100350210179999</v>
      </c>
      <c r="AE1013">
        <v>-1.6757</v>
      </c>
      <c r="AF1013">
        <v>-1.45276885467072</v>
      </c>
      <c r="AG1013">
        <v>-1.1100350210179999</v>
      </c>
      <c r="AH1013">
        <v>20.7510199716138</v>
      </c>
      <c r="AI1013">
        <v>93.054544361218902</v>
      </c>
      <c r="AJ1013">
        <v>94.004715480794999</v>
      </c>
      <c r="AK1013">
        <v>20.831407656596401</v>
      </c>
      <c r="AL1013">
        <v>79.882943387313205</v>
      </c>
      <c r="AM1013">
        <v>92.760206034364401</v>
      </c>
      <c r="AN1013">
        <v>1.00000000537116</v>
      </c>
    </row>
    <row r="1014" spans="1:40" x14ac:dyDescent="0.3">
      <c r="A1014" t="str">
        <f>"20200111150742494"</f>
        <v>20200111150742494</v>
      </c>
      <c r="B1014" t="str">
        <f>"1578726462491889"</f>
        <v>1578726462491889</v>
      </c>
      <c r="C1014" t="s">
        <v>40</v>
      </c>
      <c r="D1014">
        <v>4.6457139999999999</v>
      </c>
      <c r="E1014">
        <v>0.4886799</v>
      </c>
      <c r="F1014" t="s">
        <v>55</v>
      </c>
      <c r="G1014">
        <v>-260.40129999999999</v>
      </c>
      <c r="H1014" s="1">
        <v>-1.3232549999999999E-6</v>
      </c>
      <c r="I1014">
        <v>280.36270000000002</v>
      </c>
      <c r="J1014">
        <v>-237.98079999999999</v>
      </c>
      <c r="K1014">
        <v>1.109998</v>
      </c>
      <c r="L1014">
        <v>282.18329999999997</v>
      </c>
      <c r="M1014">
        <v>-0.99985869999999999</v>
      </c>
      <c r="N1014">
        <v>0</v>
      </c>
      <c r="O1014">
        <v>-9.8080779999999996E-3</v>
      </c>
      <c r="P1014">
        <v>-0.98515770000000003</v>
      </c>
      <c r="Q1014">
        <v>0.1616813</v>
      </c>
      <c r="R1014">
        <v>-5.7651960000000002E-2</v>
      </c>
      <c r="S1014">
        <v>-3.055634</v>
      </c>
      <c r="T1014">
        <v>-0.14936479999999999</v>
      </c>
      <c r="U1014">
        <v>-0.24526980000000001</v>
      </c>
      <c r="V1014">
        <v>-4.7723069999999999E-2</v>
      </c>
      <c r="W1014">
        <v>0.17519650000000001</v>
      </c>
      <c r="X1014">
        <v>0.98337620000000003</v>
      </c>
      <c r="Y1014">
        <v>-7.0157750000000005E-2</v>
      </c>
      <c r="Z1014">
        <v>-1.232574E-3</v>
      </c>
      <c r="AA1014">
        <v>0.99753519999999896</v>
      </c>
      <c r="AB1014">
        <v>31</v>
      </c>
      <c r="AC1014">
        <v>-22.420500000000001</v>
      </c>
      <c r="AD1014">
        <v>-1.1099993232550001</v>
      </c>
      <c r="AE1014">
        <v>-1.82059999999995</v>
      </c>
      <c r="AF1014">
        <v>-1.5967019201009101</v>
      </c>
      <c r="AG1014">
        <v>-1.1099993232550001</v>
      </c>
      <c r="AH1014">
        <v>22.382777351634001</v>
      </c>
      <c r="AI1014">
        <v>92.831882935503202</v>
      </c>
      <c r="AJ1014">
        <v>94.080350196895296</v>
      </c>
      <c r="AK1014">
        <v>22.467093214123199</v>
      </c>
      <c r="AL1014">
        <v>79.9099068916031</v>
      </c>
      <c r="AM1014">
        <v>92.778374079469501</v>
      </c>
      <c r="AN1014">
        <v>1.0000000278744501</v>
      </c>
    </row>
    <row r="1015" spans="1:40" x14ac:dyDescent="0.3">
      <c r="A1015" t="str">
        <f>"20200111150742516"</f>
        <v>20200111150742516</v>
      </c>
      <c r="B1015" t="str">
        <f>"1578726462512385"</f>
        <v>1578726462512385</v>
      </c>
      <c r="C1015" t="s">
        <v>40</v>
      </c>
      <c r="D1015">
        <v>5.4075939999999996</v>
      </c>
      <c r="E1015">
        <v>0.53154389999999996</v>
      </c>
      <c r="F1015" t="s">
        <v>55</v>
      </c>
      <c r="G1015">
        <v>-260.12549999999999</v>
      </c>
      <c r="H1015" s="1">
        <v>-1.4699859999999999E-6</v>
      </c>
      <c r="I1015">
        <v>280.40620000000001</v>
      </c>
      <c r="J1015">
        <v>-238.273</v>
      </c>
      <c r="K1015">
        <v>1.109961</v>
      </c>
      <c r="L1015">
        <v>282.18119999999999</v>
      </c>
      <c r="M1015">
        <v>-0.99986580000000003</v>
      </c>
      <c r="N1015">
        <v>0</v>
      </c>
      <c r="O1015">
        <v>-9.0497579999999998E-3</v>
      </c>
      <c r="P1015">
        <v>-0.98525569999999896</v>
      </c>
      <c r="Q1015">
        <v>0.16129869999999999</v>
      </c>
      <c r="R1015">
        <v>-5.7044240000000003E-2</v>
      </c>
      <c r="S1015">
        <v>-3.055984</v>
      </c>
      <c r="T1015">
        <v>-0.1531807</v>
      </c>
      <c r="U1015">
        <v>-0.24523929999999999</v>
      </c>
      <c r="V1015">
        <v>-4.7847319999999999E-2</v>
      </c>
      <c r="W1015">
        <v>0.17481759999999999</v>
      </c>
      <c r="X1015">
        <v>0.98343749999999996</v>
      </c>
      <c r="Y1015">
        <v>-7.08897E-2</v>
      </c>
      <c r="Z1015">
        <v>-1.320105E-3</v>
      </c>
      <c r="AA1015">
        <v>0.99748329999999996</v>
      </c>
      <c r="AB1015">
        <v>31</v>
      </c>
      <c r="AC1015">
        <v>-21.8524999999999</v>
      </c>
      <c r="AD1015">
        <v>-1.109962469986</v>
      </c>
      <c r="AE1015">
        <v>-1.7749999999999699</v>
      </c>
      <c r="AF1015">
        <v>-1.57311703184651</v>
      </c>
      <c r="AG1015">
        <v>-1.109962469986</v>
      </c>
      <c r="AH1015">
        <v>21.811764981399001</v>
      </c>
      <c r="AI1015">
        <v>92.905634567278895</v>
      </c>
      <c r="AJ1015">
        <v>94.125166983035598</v>
      </c>
      <c r="AK1015">
        <v>21.896570632965499</v>
      </c>
      <c r="AL1015">
        <v>79.931955634613203</v>
      </c>
      <c r="AM1015">
        <v>92.785423012260296</v>
      </c>
      <c r="AN1015">
        <v>0.99999993785359398</v>
      </c>
    </row>
    <row r="1016" spans="1:40" x14ac:dyDescent="0.3">
      <c r="A1016" t="str">
        <f>"20200111150742539"</f>
        <v>20200111150742539</v>
      </c>
      <c r="B1016" t="str">
        <f>"1578726462531906"</f>
        <v>1578726462531906</v>
      </c>
      <c r="C1016" t="s">
        <v>40</v>
      </c>
      <c r="D1016">
        <v>5.544943</v>
      </c>
      <c r="E1016">
        <v>0.53601699999999997</v>
      </c>
      <c r="F1016" t="s">
        <v>49</v>
      </c>
      <c r="G1016">
        <v>0</v>
      </c>
      <c r="H1016">
        <v>0</v>
      </c>
      <c r="I1016">
        <v>0</v>
      </c>
      <c r="J1016">
        <v>-238.59530000000001</v>
      </c>
      <c r="K1016">
        <v>1.1099220000000001</v>
      </c>
      <c r="L1016">
        <v>282.17919999999998</v>
      </c>
      <c r="M1016">
        <v>-0.99987349999999997</v>
      </c>
      <c r="N1016">
        <v>0</v>
      </c>
      <c r="O1016">
        <v>-8.1749939999999997E-3</v>
      </c>
      <c r="P1016">
        <v>-0.98535010000000001</v>
      </c>
      <c r="Q1016">
        <v>0.16098419999999999</v>
      </c>
      <c r="R1016">
        <v>-5.6297369999999999E-2</v>
      </c>
      <c r="S1016">
        <v>-3.0381010000000002</v>
      </c>
      <c r="T1016">
        <v>7.3956129999999995E-2</v>
      </c>
      <c r="U1016">
        <v>9.1644290000000003E-2</v>
      </c>
      <c r="V1016">
        <v>-4.7947549999999999E-2</v>
      </c>
      <c r="W1016">
        <v>0.17450679999999999</v>
      </c>
      <c r="X1016">
        <v>0.98348789999999997</v>
      </c>
      <c r="Y1016">
        <v>3.8308559999999998E-2</v>
      </c>
      <c r="Z1016">
        <v>-6.6504659999999996E-4</v>
      </c>
      <c r="AA1016">
        <v>0.99926570000000003</v>
      </c>
      <c r="AB1016">
        <v>31</v>
      </c>
      <c r="AC1016">
        <v>-3.0381010000000002</v>
      </c>
      <c r="AD1016">
        <v>7.3956129999999995E-2</v>
      </c>
      <c r="AE1016">
        <v>9.1644290000000003E-2</v>
      </c>
      <c r="AF1016">
        <v>0.11641107684661101</v>
      </c>
      <c r="AG1016">
        <v>7.3956129999999995E-2</v>
      </c>
      <c r="AH1016">
        <v>3.0354530982612098</v>
      </c>
      <c r="AI1016">
        <v>88.605339950876299</v>
      </c>
      <c r="AJ1016">
        <v>87.8037557696547</v>
      </c>
      <c r="AK1016">
        <v>3.0385846309952802</v>
      </c>
      <c r="AL1016">
        <v>79.950042002787796</v>
      </c>
      <c r="AM1016">
        <v>92.791105850883397</v>
      </c>
      <c r="AN1016">
        <v>1.00000002012182</v>
      </c>
    </row>
    <row r="1017" spans="1:40" x14ac:dyDescent="0.3">
      <c r="A1017" t="str">
        <f>"20200111150742562"</f>
        <v>20200111150742562</v>
      </c>
      <c r="B1017" t="str">
        <f>"1578726462551997"</f>
        <v>1578726462551997</v>
      </c>
      <c r="C1017" t="s">
        <v>40</v>
      </c>
      <c r="D1017">
        <v>5.581296</v>
      </c>
      <c r="E1017">
        <v>0.53720230000000002</v>
      </c>
      <c r="F1017" t="s">
        <v>58</v>
      </c>
      <c r="G1017">
        <v>-292.9058</v>
      </c>
      <c r="H1017" s="1">
        <v>2.7267800000000002E-6</v>
      </c>
      <c r="I1017">
        <v>284.55239999999998</v>
      </c>
      <c r="J1017">
        <v>-238.91749999999999</v>
      </c>
      <c r="K1017">
        <v>1.109899</v>
      </c>
      <c r="L1017">
        <v>282.17759999999998</v>
      </c>
      <c r="M1017">
        <v>-0.99988069999999896</v>
      </c>
      <c r="N1017">
        <v>0</v>
      </c>
      <c r="O1017">
        <v>-7.2644659999999998E-3</v>
      </c>
      <c r="P1017">
        <v>-0.98544330000000002</v>
      </c>
      <c r="Q1017">
        <v>0.1610868</v>
      </c>
      <c r="R1017">
        <v>-5.4339489999999997E-2</v>
      </c>
      <c r="S1017">
        <v>-3.0624690000000001</v>
      </c>
      <c r="T1017">
        <v>-6.2586310000000006E-2</v>
      </c>
      <c r="U1017">
        <v>0.13381960000000001</v>
      </c>
      <c r="V1017">
        <v>-4.6875069999999998E-2</v>
      </c>
      <c r="W1017">
        <v>0.1746096</v>
      </c>
      <c r="X1017">
        <v>0.98352130000000004</v>
      </c>
      <c r="Y1017">
        <v>5.089991E-2</v>
      </c>
      <c r="Z1017">
        <v>6.6820009999999904E-4</v>
      </c>
      <c r="AA1017">
        <v>0.99870349999999997</v>
      </c>
      <c r="AB1017">
        <v>31</v>
      </c>
      <c r="AC1017">
        <v>-53.988300000000002</v>
      </c>
      <c r="AD1017">
        <v>-1.10989627322</v>
      </c>
      <c r="AE1017">
        <v>2.3747999999999898</v>
      </c>
      <c r="AF1017">
        <v>2.7658032700033601</v>
      </c>
      <c r="AG1017">
        <v>-1.10989627322</v>
      </c>
      <c r="AH1017">
        <v>53.9468661066457</v>
      </c>
      <c r="AI1017">
        <v>91.177084591154099</v>
      </c>
      <c r="AJ1017">
        <v>87.065070901962699</v>
      </c>
      <c r="AK1017">
        <v>54.029120853425198</v>
      </c>
      <c r="AL1017">
        <v>79.944059607514603</v>
      </c>
      <c r="AM1017">
        <v>92.728677935221995</v>
      </c>
      <c r="AN1017">
        <v>0.99999996607667696</v>
      </c>
    </row>
    <row r="1018" spans="1:40" x14ac:dyDescent="0.3">
      <c r="A1018" t="str">
        <f>"20200111150742584"</f>
        <v>20200111150742584</v>
      </c>
      <c r="B1018" t="str">
        <f>"1578726462582250"</f>
        <v>1578726462582250</v>
      </c>
      <c r="C1018" t="s">
        <v>40</v>
      </c>
      <c r="D1018">
        <v>5.5000850000000003</v>
      </c>
      <c r="E1018">
        <v>0.5360724</v>
      </c>
      <c r="F1018" t="s">
        <v>55</v>
      </c>
      <c r="G1018">
        <v>-274.40879999999999</v>
      </c>
      <c r="H1018" s="1">
        <v>8.4031930000000005E-7</v>
      </c>
      <c r="I1018">
        <v>283.9076</v>
      </c>
      <c r="J1018">
        <v>-239.21690000000001</v>
      </c>
      <c r="K1018">
        <v>1.10988</v>
      </c>
      <c r="L1018">
        <v>282.17630000000003</v>
      </c>
      <c r="M1018">
        <v>-0.99988639999999995</v>
      </c>
      <c r="N1018">
        <v>0</v>
      </c>
      <c r="O1018">
        <v>-6.3981719999999997E-3</v>
      </c>
      <c r="P1018">
        <v>-0.9855623</v>
      </c>
      <c r="Q1018">
        <v>0.161048</v>
      </c>
      <c r="R1018">
        <v>-5.2253019999999997E-2</v>
      </c>
      <c r="S1018">
        <v>-3.0682369999999999</v>
      </c>
      <c r="T1018">
        <v>-9.59512E-2</v>
      </c>
      <c r="U1018">
        <v>0.1495667</v>
      </c>
      <c r="V1018">
        <v>-4.5634439999999998E-2</v>
      </c>
      <c r="W1018">
        <v>0.17457020000000001</v>
      </c>
      <c r="X1018">
        <v>0.98358670000000004</v>
      </c>
      <c r="Y1018">
        <v>5.504916E-2</v>
      </c>
      <c r="Z1018">
        <v>1.0599839999999999E-3</v>
      </c>
      <c r="AA1018">
        <v>0.99848309999999996</v>
      </c>
      <c r="AB1018">
        <v>31</v>
      </c>
      <c r="AC1018">
        <v>-35.191899999999897</v>
      </c>
      <c r="AD1018">
        <v>-1.1098791596807001</v>
      </c>
      <c r="AE1018">
        <v>1.7312999999999701</v>
      </c>
      <c r="AF1018">
        <v>1.9545100164795699</v>
      </c>
      <c r="AG1018">
        <v>-1.1098791596807001</v>
      </c>
      <c r="AH1018">
        <v>35.1452288990317</v>
      </c>
      <c r="AI1018">
        <v>91.805999165838799</v>
      </c>
      <c r="AJ1018">
        <v>86.8169237957094</v>
      </c>
      <c r="AK1018">
        <v>35.217027920012598</v>
      </c>
      <c r="AL1018">
        <v>79.946352888926498</v>
      </c>
      <c r="AM1018">
        <v>92.656387219592901</v>
      </c>
      <c r="AN1018">
        <v>1.0000000266295199</v>
      </c>
    </row>
    <row r="1019" spans="1:40" x14ac:dyDescent="0.3">
      <c r="A1019" t="str">
        <f>"20200111150742605"</f>
        <v>20200111150742605</v>
      </c>
      <c r="B1019" t="str">
        <f>"1578726462601770"</f>
        <v>1578726462601770</v>
      </c>
      <c r="C1019" t="s">
        <v>40</v>
      </c>
      <c r="D1019">
        <v>5.4525319999999997</v>
      </c>
      <c r="E1019">
        <v>0.53659709999999905</v>
      </c>
      <c r="F1019" t="s">
        <v>55</v>
      </c>
      <c r="G1019">
        <v>-259.67149999999998</v>
      </c>
      <c r="H1019" s="1">
        <v>3.6099299999999999E-6</v>
      </c>
      <c r="I1019">
        <v>283.16300000000001</v>
      </c>
      <c r="J1019">
        <v>-239.5119</v>
      </c>
      <c r="K1019">
        <v>1.109872</v>
      </c>
      <c r="L1019">
        <v>282.17540000000002</v>
      </c>
      <c r="M1019">
        <v>-0.99989159999999999</v>
      </c>
      <c r="N1019">
        <v>0</v>
      </c>
      <c r="O1019">
        <v>-5.5335159999999996E-3</v>
      </c>
      <c r="P1019">
        <v>-0.9856239</v>
      </c>
      <c r="Q1019">
        <v>0.16135679999999999</v>
      </c>
      <c r="R1019">
        <v>-5.0096309999999998E-2</v>
      </c>
      <c r="S1019">
        <v>-3.079132</v>
      </c>
      <c r="T1019">
        <v>-0.1670751</v>
      </c>
      <c r="U1019">
        <v>0.1485291</v>
      </c>
      <c r="V1019">
        <v>-4.4323410000000001E-2</v>
      </c>
      <c r="W1019">
        <v>0.17487720000000001</v>
      </c>
      <c r="X1019">
        <v>0.98359209999999997</v>
      </c>
      <c r="Y1019">
        <v>5.3621330000000002E-2</v>
      </c>
      <c r="Z1019">
        <v>1.75274E-3</v>
      </c>
      <c r="AA1019">
        <v>0.9985598</v>
      </c>
      <c r="AB1019">
        <v>31</v>
      </c>
      <c r="AC1019">
        <v>-20.159599999999902</v>
      </c>
      <c r="AD1019">
        <v>-1.1098683900699999</v>
      </c>
      <c r="AE1019">
        <v>0.98759999999998604</v>
      </c>
      <c r="AF1019">
        <v>1.09583525886302</v>
      </c>
      <c r="AG1019">
        <v>-1.1098683900699999</v>
      </c>
      <c r="AH1019">
        <v>20.093070553732201</v>
      </c>
      <c r="AI1019">
        <v>93.156916443835996</v>
      </c>
      <c r="AJ1019">
        <v>86.878297156284802</v>
      </c>
      <c r="AK1019">
        <v>20.1535145082714</v>
      </c>
      <c r="AL1019">
        <v>79.9284881081403</v>
      </c>
      <c r="AM1019">
        <v>92.580162486100505</v>
      </c>
      <c r="AN1019">
        <v>1.0000000094681301</v>
      </c>
    </row>
    <row r="1020" spans="1:40" x14ac:dyDescent="0.3">
      <c r="A1020" t="str">
        <f>"20200111150742629"</f>
        <v>20200111150742629</v>
      </c>
      <c r="B1020" t="str">
        <f>"1578726462622266"</f>
        <v>1578726462622266</v>
      </c>
      <c r="C1020" t="s">
        <v>40</v>
      </c>
      <c r="D1020">
        <v>5.4442380000000004</v>
      </c>
      <c r="E1020">
        <v>0.53683139999999996</v>
      </c>
      <c r="F1020" t="s">
        <v>55</v>
      </c>
      <c r="G1020">
        <v>-258.63889999999998</v>
      </c>
      <c r="H1020" s="1">
        <v>3.060411E-6</v>
      </c>
      <c r="I1020">
        <v>283.16730000000001</v>
      </c>
      <c r="J1020">
        <v>-239.83359999999999</v>
      </c>
      <c r="K1020">
        <v>1.1098699999999999</v>
      </c>
      <c r="L1020">
        <v>282.1746</v>
      </c>
      <c r="M1020">
        <v>-0.99989640000000002</v>
      </c>
      <c r="N1020">
        <v>0</v>
      </c>
      <c r="O1020">
        <v>-4.5845230000000001E-3</v>
      </c>
      <c r="P1020">
        <v>-0.98559560000000002</v>
      </c>
      <c r="Q1020">
        <v>0.1618887</v>
      </c>
      <c r="R1020">
        <v>-4.8925639999999999E-2</v>
      </c>
      <c r="S1020">
        <v>-3.0811459999999999</v>
      </c>
      <c r="T1020">
        <v>-0.17878740000000001</v>
      </c>
      <c r="U1020">
        <v>0.15978999999999999</v>
      </c>
      <c r="V1020">
        <v>-4.4084209999999999E-2</v>
      </c>
      <c r="W1020">
        <v>0.17540729999999999</v>
      </c>
      <c r="X1020">
        <v>0.98350850000000001</v>
      </c>
      <c r="Y1020">
        <v>5.6267150000000002E-2</v>
      </c>
      <c r="Z1020">
        <v>1.895674E-3</v>
      </c>
      <c r="AA1020">
        <v>0.99841389999999997</v>
      </c>
      <c r="AB1020">
        <v>31</v>
      </c>
      <c r="AC1020">
        <v>-18.8052999999999</v>
      </c>
      <c r="AD1020">
        <v>-1.109866939589</v>
      </c>
      <c r="AE1020">
        <v>0.99270000000001302</v>
      </c>
      <c r="AF1020">
        <v>1.0751762507674101</v>
      </c>
      <c r="AG1020">
        <v>-1.109866939589</v>
      </c>
      <c r="AH1020">
        <v>18.735472376004299</v>
      </c>
      <c r="AI1020">
        <v>93.384615706440997</v>
      </c>
      <c r="AJ1020">
        <v>86.715558172810105</v>
      </c>
      <c r="AK1020">
        <v>18.799088641363099</v>
      </c>
      <c r="AL1020">
        <v>79.897639236343807</v>
      </c>
      <c r="AM1020">
        <v>92.566474642019799</v>
      </c>
      <c r="AN1020">
        <v>1.00000005401843</v>
      </c>
    </row>
    <row r="1021" spans="1:40" x14ac:dyDescent="0.3">
      <c r="A1021" t="str">
        <f>"20200111150742651"</f>
        <v>20200111150742651</v>
      </c>
      <c r="B1021" t="str">
        <f>"1578726462642762"</f>
        <v>1578726462642762</v>
      </c>
      <c r="C1021" t="s">
        <v>40</v>
      </c>
      <c r="D1021">
        <v>5.3200560000000001</v>
      </c>
      <c r="E1021">
        <v>0.53602780000000005</v>
      </c>
      <c r="F1021" t="s">
        <v>55</v>
      </c>
      <c r="G1021">
        <v>-259.17959999999999</v>
      </c>
      <c r="H1021" s="1">
        <v>3.3481129999999999E-6</v>
      </c>
      <c r="I1021">
        <v>283.21449999999999</v>
      </c>
      <c r="J1021">
        <v>-240.13829999999999</v>
      </c>
      <c r="K1021">
        <v>1.1098699999999999</v>
      </c>
      <c r="L1021">
        <v>282.17419999999998</v>
      </c>
      <c r="M1021">
        <v>-0.99990020000000002</v>
      </c>
      <c r="N1021">
        <v>0</v>
      </c>
      <c r="O1021">
        <v>-3.685177E-3</v>
      </c>
      <c r="P1021">
        <v>-0.98557450000000002</v>
      </c>
      <c r="Q1021">
        <v>0.16232839999999901</v>
      </c>
      <c r="R1021">
        <v>-4.7883990000000001E-2</v>
      </c>
      <c r="S1021">
        <v>-3.0811000000000002</v>
      </c>
      <c r="T1021">
        <v>-0.17676120000000001</v>
      </c>
      <c r="U1021">
        <v>0.16561890000000001</v>
      </c>
      <c r="V1021">
        <v>-4.3926430000000002E-2</v>
      </c>
      <c r="W1021">
        <v>0.1758448</v>
      </c>
      <c r="X1021">
        <v>0.98343740000000002</v>
      </c>
      <c r="Y1021">
        <v>5.7255599999999997E-2</v>
      </c>
      <c r="Z1021">
        <v>1.850948E-3</v>
      </c>
      <c r="AA1021">
        <v>0.99835779999999996</v>
      </c>
      <c r="AB1021">
        <v>31</v>
      </c>
      <c r="AC1021">
        <v>-19.0413</v>
      </c>
      <c r="AD1021">
        <v>-1.109866651887</v>
      </c>
      <c r="AE1021">
        <v>1.0403</v>
      </c>
      <c r="AF1021">
        <v>1.1067212226394501</v>
      </c>
      <c r="AG1021">
        <v>-1.109866651887</v>
      </c>
      <c r="AH1021">
        <v>18.973069101479702</v>
      </c>
      <c r="AI1021">
        <v>93.342145013091496</v>
      </c>
      <c r="AJ1021">
        <v>86.661653276326902</v>
      </c>
      <c r="AK1021">
        <v>19.037699098870501</v>
      </c>
      <c r="AL1021">
        <v>79.872176242152804</v>
      </c>
      <c r="AM1021">
        <v>92.557485934278304</v>
      </c>
      <c r="AN1021">
        <v>1.0000000223291701</v>
      </c>
    </row>
    <row r="1022" spans="1:40" x14ac:dyDescent="0.3">
      <c r="A1022" t="str">
        <f>"20200111150742674"</f>
        <v>20200111150742674</v>
      </c>
      <c r="B1022" t="str">
        <f>"1578726462671674"</f>
        <v>1578726462671674</v>
      </c>
      <c r="C1022" t="s">
        <v>40</v>
      </c>
      <c r="D1022">
        <v>5.5125830000000002</v>
      </c>
      <c r="E1022">
        <v>0.5012316</v>
      </c>
      <c r="F1022" t="s">
        <v>55</v>
      </c>
      <c r="G1022">
        <v>-258.49919999999997</v>
      </c>
      <c r="H1022" s="1">
        <v>2.9860840000000001E-6</v>
      </c>
      <c r="I1022">
        <v>283.1422</v>
      </c>
      <c r="J1022">
        <v>-240.45330000000001</v>
      </c>
      <c r="K1022">
        <v>1.109866</v>
      </c>
      <c r="L1022">
        <v>282.17399999999998</v>
      </c>
      <c r="M1022">
        <v>-0.99990310000000004</v>
      </c>
      <c r="N1022">
        <v>0</v>
      </c>
      <c r="O1022">
        <v>-2.755941E-3</v>
      </c>
      <c r="P1022">
        <v>-0.98551630000000001</v>
      </c>
      <c r="Q1022">
        <v>0.16291800000000001</v>
      </c>
      <c r="R1022">
        <v>-4.7064950000000001E-2</v>
      </c>
      <c r="S1022">
        <v>-3.0824889999999998</v>
      </c>
      <c r="T1022">
        <v>-0.18632750000000001</v>
      </c>
      <c r="U1022">
        <v>0.16250609999999999</v>
      </c>
      <c r="V1022">
        <v>-4.4022079999999998E-2</v>
      </c>
      <c r="W1022">
        <v>0.17643200000000001</v>
      </c>
      <c r="X1022">
        <v>0.98332790000000003</v>
      </c>
      <c r="Y1022">
        <v>5.5292519999999998E-2</v>
      </c>
      <c r="Z1022">
        <v>1.834797E-3</v>
      </c>
      <c r="AA1022">
        <v>0.99846849999999998</v>
      </c>
      <c r="AB1022">
        <v>31</v>
      </c>
      <c r="AC1022">
        <v>-18.0458999999999</v>
      </c>
      <c r="AD1022">
        <v>-1.109863013916</v>
      </c>
      <c r="AE1022">
        <v>0.96819999999996698</v>
      </c>
      <c r="AF1022">
        <v>1.0141095056724201</v>
      </c>
      <c r="AG1022">
        <v>-1.109863013916</v>
      </c>
      <c r="AH1022">
        <v>17.975365814080799</v>
      </c>
      <c r="AI1022">
        <v>93.527564797634597</v>
      </c>
      <c r="AJ1022">
        <v>86.770988288820107</v>
      </c>
      <c r="AK1022">
        <v>18.038126015447901</v>
      </c>
      <c r="AL1022">
        <v>79.837997324399097</v>
      </c>
      <c r="AM1022">
        <v>92.563332484616794</v>
      </c>
      <c r="AN1022">
        <v>0.99999997653496797</v>
      </c>
    </row>
    <row r="1023" spans="1:40" x14ac:dyDescent="0.3">
      <c r="A1023" t="str">
        <f>"20200111150742696"</f>
        <v>20200111150742696</v>
      </c>
      <c r="B1023" t="str">
        <f>"1578726462692169"</f>
        <v>1578726462692169</v>
      </c>
      <c r="C1023" t="s">
        <v>40</v>
      </c>
      <c r="D1023">
        <v>5.2882910000000001</v>
      </c>
      <c r="E1023">
        <v>0.53566159999999996</v>
      </c>
      <c r="F1023" t="s">
        <v>57</v>
      </c>
      <c r="G1023">
        <v>-512.85440000000006</v>
      </c>
      <c r="H1023">
        <v>88.125389999999996</v>
      </c>
      <c r="I1023">
        <v>268.6191</v>
      </c>
      <c r="J1023">
        <v>-240.74549999999999</v>
      </c>
      <c r="K1023">
        <v>1.109866</v>
      </c>
      <c r="L1023">
        <v>282.17419999999998</v>
      </c>
      <c r="M1023">
        <v>-0.9999053</v>
      </c>
      <c r="N1023">
        <v>0</v>
      </c>
      <c r="O1023">
        <v>-1.8943059999999999E-3</v>
      </c>
      <c r="P1023">
        <v>-0.98549100000000001</v>
      </c>
      <c r="Q1023">
        <v>0.16327030000000001</v>
      </c>
      <c r="R1023">
        <v>-4.6373789999999998E-2</v>
      </c>
      <c r="S1023">
        <v>-2.8848880000000001</v>
      </c>
      <c r="T1023">
        <v>0.92154550000000002</v>
      </c>
      <c r="U1023">
        <v>-0.14355470000000001</v>
      </c>
      <c r="V1023">
        <v>-4.417869E-2</v>
      </c>
      <c r="W1023">
        <v>0.17678260000000001</v>
      </c>
      <c r="X1023">
        <v>0.98325790000000002</v>
      </c>
      <c r="Y1023">
        <v>-4.5635040000000002E-2</v>
      </c>
      <c r="Z1023">
        <v>6.5175719999999897E-3</v>
      </c>
      <c r="AA1023">
        <v>0.99893690000000002</v>
      </c>
      <c r="AB1023">
        <v>31</v>
      </c>
      <c r="AC1023">
        <v>-272.10890000000001</v>
      </c>
      <c r="AD1023">
        <v>87.015523999999999</v>
      </c>
      <c r="AE1023">
        <v>-13.5550999999999</v>
      </c>
      <c r="AF1023">
        <v>-11.8325616163816</v>
      </c>
      <c r="AG1023">
        <v>87.015523999999999</v>
      </c>
      <c r="AH1023">
        <v>246.94398223835799</v>
      </c>
      <c r="AI1023">
        <v>70.609681567759097</v>
      </c>
      <c r="AJ1023">
        <v>92.743284934889701</v>
      </c>
      <c r="AK1023">
        <v>262.09357354795702</v>
      </c>
      <c r="AL1023">
        <v>79.817588571417602</v>
      </c>
      <c r="AM1023">
        <v>92.572622286966705</v>
      </c>
      <c r="AN1023">
        <v>0.99999997111264205</v>
      </c>
    </row>
    <row r="1024" spans="1:40" x14ac:dyDescent="0.3">
      <c r="A1024" t="str">
        <f>"20200111150742718"</f>
        <v>20200111150742718</v>
      </c>
      <c r="B1024" t="str">
        <f>"1578726462711691"</f>
        <v>1578726462711691</v>
      </c>
      <c r="C1024" t="s">
        <v>40</v>
      </c>
      <c r="D1024">
        <v>5.389983</v>
      </c>
      <c r="E1024">
        <v>0.50310189999999999</v>
      </c>
      <c r="F1024" t="s">
        <v>55</v>
      </c>
      <c r="G1024">
        <v>-262.3535</v>
      </c>
      <c r="H1024" s="1">
        <v>-2.8440230000000001E-7</v>
      </c>
      <c r="I1024">
        <v>283.31920000000002</v>
      </c>
      <c r="J1024">
        <v>-241.05950000000001</v>
      </c>
      <c r="K1024">
        <v>1.1098619999999999</v>
      </c>
      <c r="L1024">
        <v>282.1746</v>
      </c>
      <c r="M1024">
        <v>-0.99990659999999998</v>
      </c>
      <c r="N1024">
        <v>0</v>
      </c>
      <c r="O1024">
        <v>-9.6350199999999998E-4</v>
      </c>
      <c r="P1024">
        <v>-0.98542050000000003</v>
      </c>
      <c r="Q1024">
        <v>0.16388069999999999</v>
      </c>
      <c r="R1024">
        <v>-4.5713080000000003E-2</v>
      </c>
      <c r="S1024">
        <v>-3.0780180000000001</v>
      </c>
      <c r="T1024">
        <v>-0.15809899999999999</v>
      </c>
      <c r="U1024">
        <v>0.1631165</v>
      </c>
      <c r="V1024">
        <v>-4.4432550000000001E-2</v>
      </c>
      <c r="W1024">
        <v>0.17739079999999999</v>
      </c>
      <c r="X1024">
        <v>0.98313700000000004</v>
      </c>
      <c r="Y1024">
        <v>5.3809950000000002E-2</v>
      </c>
      <c r="Z1024">
        <v>1.429495E-3</v>
      </c>
      <c r="AA1024">
        <v>0.99855020000000005</v>
      </c>
      <c r="AB1024">
        <v>31</v>
      </c>
      <c r="AC1024">
        <v>-21.293999999999901</v>
      </c>
      <c r="AD1024">
        <v>-1.1098622844023001</v>
      </c>
      <c r="AE1024">
        <v>1.14460000000002</v>
      </c>
      <c r="AF1024">
        <v>1.1619706862439301</v>
      </c>
      <c r="AG1024">
        <v>-1.1098622844023001</v>
      </c>
      <c r="AH1024">
        <v>21.2353656568955</v>
      </c>
      <c r="AI1024">
        <v>92.9873698261909</v>
      </c>
      <c r="AJ1024">
        <v>86.867975308375904</v>
      </c>
      <c r="AK1024">
        <v>21.296072988888898</v>
      </c>
      <c r="AL1024">
        <v>79.782182536809003</v>
      </c>
      <c r="AM1024">
        <v>92.587702828883195</v>
      </c>
      <c r="AN1024">
        <v>1.0000000540965699</v>
      </c>
    </row>
    <row r="1025" spans="1:40" x14ac:dyDescent="0.3">
      <c r="A1025" t="str">
        <f>"20200111150742741"</f>
        <v>20200111150742741</v>
      </c>
      <c r="B1025" t="str">
        <f>"1578726462732186"</f>
        <v>1578726462732186</v>
      </c>
      <c r="C1025" t="s">
        <v>40</v>
      </c>
      <c r="D1025">
        <v>5.1730489999999998</v>
      </c>
      <c r="E1025">
        <v>0.51483429999999997</v>
      </c>
      <c r="F1025" t="s">
        <v>57</v>
      </c>
      <c r="G1025">
        <v>-512.84690000000001</v>
      </c>
      <c r="H1025">
        <v>65.459400000000002</v>
      </c>
      <c r="I1025">
        <v>271.1961</v>
      </c>
      <c r="J1025">
        <v>-241.38210000000001</v>
      </c>
      <c r="K1025">
        <v>1.1098460000000001</v>
      </c>
      <c r="L1025">
        <v>282.17529999999999</v>
      </c>
      <c r="M1025">
        <v>-0.99990710000000005</v>
      </c>
      <c r="N1025">
        <v>0</v>
      </c>
      <c r="O1025" s="1">
        <v>1.0722980000000001E-5</v>
      </c>
      <c r="P1025">
        <v>-0.98541889999999999</v>
      </c>
      <c r="Q1025">
        <v>0.1639805</v>
      </c>
      <c r="R1025">
        <v>-4.5388289999999998E-2</v>
      </c>
      <c r="S1025">
        <v>-2.9237820000000001</v>
      </c>
      <c r="T1025">
        <v>0.69224730000000001</v>
      </c>
      <c r="U1025">
        <v>-0.118103</v>
      </c>
      <c r="V1025">
        <v>-4.5064119999999999E-2</v>
      </c>
      <c r="W1025">
        <v>0.177490799999999</v>
      </c>
      <c r="X1025">
        <v>0.98309020000000003</v>
      </c>
      <c r="Y1025">
        <v>-3.9287019999999999E-2</v>
      </c>
      <c r="Z1025">
        <v>4.5881769999999997E-3</v>
      </c>
      <c r="AA1025">
        <v>0.99921749999999998</v>
      </c>
      <c r="AB1025">
        <v>31</v>
      </c>
      <c r="AC1025">
        <v>-271.46480000000003</v>
      </c>
      <c r="AD1025">
        <v>64.349553999999998</v>
      </c>
      <c r="AE1025">
        <v>-10.979199999999899</v>
      </c>
      <c r="AF1025">
        <v>-10.3987527565764</v>
      </c>
      <c r="AG1025">
        <v>64.349553999999998</v>
      </c>
      <c r="AH1025">
        <v>257.044758166907</v>
      </c>
      <c r="AI1025">
        <v>75.956252278929895</v>
      </c>
      <c r="AJ1025">
        <v>92.316639075102103</v>
      </c>
      <c r="AK1025">
        <v>265.181083148808</v>
      </c>
      <c r="AL1025">
        <v>79.776360532590701</v>
      </c>
      <c r="AM1025">
        <v>92.624558465362</v>
      </c>
      <c r="AN1025">
        <v>1.00000005016602</v>
      </c>
    </row>
    <row r="1026" spans="1:40" x14ac:dyDescent="0.3">
      <c r="A1026" t="str">
        <f>"20200111150742765"</f>
        <v>20200111150742765</v>
      </c>
      <c r="B1026" t="str">
        <f>"1578726462762488"</f>
        <v>1578726462762488</v>
      </c>
      <c r="C1026" t="s">
        <v>40</v>
      </c>
      <c r="D1026">
        <v>5.0887609999999999</v>
      </c>
      <c r="E1026">
        <v>0.48808620000000003</v>
      </c>
      <c r="F1026" t="s">
        <v>60</v>
      </c>
      <c r="G1026">
        <v>-622.55129999999997</v>
      </c>
      <c r="H1026">
        <v>-0.1</v>
      </c>
      <c r="I1026">
        <v>281.66359999999997</v>
      </c>
      <c r="J1026">
        <v>-241.68979999999999</v>
      </c>
      <c r="K1026">
        <v>1.1098250000000001</v>
      </c>
      <c r="L1026">
        <v>282.1764</v>
      </c>
      <c r="M1026">
        <v>-0.99990650000000003</v>
      </c>
      <c r="N1026">
        <v>0</v>
      </c>
      <c r="O1026">
        <v>9.6843160000000005E-4</v>
      </c>
      <c r="P1026">
        <v>-0.98548119999999995</v>
      </c>
      <c r="Q1026">
        <v>0.1636649</v>
      </c>
      <c r="R1026">
        <v>-4.517525E-2</v>
      </c>
      <c r="S1026">
        <v>-3.0458069999999999</v>
      </c>
      <c r="T1026">
        <v>-9.6675159999999993E-3</v>
      </c>
      <c r="U1026">
        <v>-4.0893550000000002E-3</v>
      </c>
      <c r="V1026">
        <v>-4.578724E-2</v>
      </c>
      <c r="W1026">
        <v>0.17717729999999901</v>
      </c>
      <c r="X1026">
        <v>0.98311329999999997</v>
      </c>
      <c r="Y1026">
        <v>-2.3111210000000002E-3</v>
      </c>
      <c r="Z1026" s="1">
        <v>-6.7419050000000001E-6</v>
      </c>
      <c r="AA1026">
        <v>0.99999729999999998</v>
      </c>
      <c r="AB1026">
        <v>31</v>
      </c>
      <c r="AC1026">
        <v>-380.86149999999998</v>
      </c>
      <c r="AD1026">
        <v>-1.2098249999999999</v>
      </c>
      <c r="AE1026">
        <v>-0.51280000000002701</v>
      </c>
      <c r="AF1026">
        <v>-0.88166349153659795</v>
      </c>
      <c r="AG1026">
        <v>-1.2098249999999999</v>
      </c>
      <c r="AH1026">
        <v>380.85698169630899</v>
      </c>
      <c r="AI1026">
        <v>90.182003877815305</v>
      </c>
      <c r="AJ1026">
        <v>90.132636420510906</v>
      </c>
      <c r="AK1026">
        <v>380.85992374344897</v>
      </c>
      <c r="AL1026">
        <v>79.794611656781598</v>
      </c>
      <c r="AM1026">
        <v>92.666550483845597</v>
      </c>
      <c r="AN1026">
        <v>1.00000001380949</v>
      </c>
    </row>
    <row r="1027" spans="1:40" x14ac:dyDescent="0.3">
      <c r="A1027" t="str">
        <f>"20200111150742785"</f>
        <v>20200111150742785</v>
      </c>
      <c r="B1027" t="str">
        <f>"1578726462782007"</f>
        <v>1578726462782007</v>
      </c>
      <c r="C1027" t="s">
        <v>40</v>
      </c>
      <c r="D1027">
        <v>5.1126069999999997</v>
      </c>
      <c r="E1027">
        <v>0.482547</v>
      </c>
      <c r="F1027" t="s">
        <v>55</v>
      </c>
      <c r="G1027">
        <v>-269.5788</v>
      </c>
      <c r="H1027" s="1">
        <v>3.560583E-6</v>
      </c>
      <c r="I1027">
        <v>280.22739999999999</v>
      </c>
      <c r="J1027">
        <v>-241.98150000000001</v>
      </c>
      <c r="K1027">
        <v>1.1097969999999999</v>
      </c>
      <c r="L1027">
        <v>282.17770000000002</v>
      </c>
      <c r="M1027">
        <v>-0.9999053</v>
      </c>
      <c r="N1027">
        <v>0</v>
      </c>
      <c r="O1027">
        <v>1.9022830000000001E-3</v>
      </c>
      <c r="P1027">
        <v>-0.98558109999999999</v>
      </c>
      <c r="Q1027">
        <v>0.16305799999999901</v>
      </c>
      <c r="R1027">
        <v>-4.5190059999999997E-2</v>
      </c>
      <c r="S1027">
        <v>-3.0545960000000001</v>
      </c>
      <c r="T1027">
        <v>-0.12155530000000001</v>
      </c>
      <c r="U1027">
        <v>-0.21347050000000001</v>
      </c>
      <c r="V1027">
        <v>-4.6714940000000003E-2</v>
      </c>
      <c r="W1027">
        <v>0.17657419999999999</v>
      </c>
      <c r="X1027">
        <v>0.98317810000000005</v>
      </c>
      <c r="Y1027">
        <v>-7.1554820000000005E-2</v>
      </c>
      <c r="Z1027">
        <v>-1.497026E-3</v>
      </c>
      <c r="AA1027">
        <v>0.99743559999999998</v>
      </c>
      <c r="AB1027">
        <v>31</v>
      </c>
      <c r="AC1027">
        <v>-27.597299999999901</v>
      </c>
      <c r="AD1027">
        <v>-1.1097934394169999</v>
      </c>
      <c r="AE1027">
        <v>-1.9503000000000199</v>
      </c>
      <c r="AF1027">
        <v>-1.9995816619745299</v>
      </c>
      <c r="AG1027">
        <v>-1.1097934394169999</v>
      </c>
      <c r="AH1027">
        <v>27.549209796922302</v>
      </c>
      <c r="AI1027">
        <v>92.300812045366598</v>
      </c>
      <c r="AJ1027">
        <v>94.151372657713395</v>
      </c>
      <c r="AK1027">
        <v>27.6439673118009</v>
      </c>
      <c r="AL1027">
        <v>79.829719688514302</v>
      </c>
      <c r="AM1027">
        <v>92.720318341028502</v>
      </c>
      <c r="AN1027">
        <v>0.99999995502222505</v>
      </c>
    </row>
    <row r="1028" spans="1:40" x14ac:dyDescent="0.3">
      <c r="A1028" t="str">
        <f>"20200111150742808"</f>
        <v>20200111150742808</v>
      </c>
      <c r="B1028" t="str">
        <f>"1578726462802503"</f>
        <v>1578726462802503</v>
      </c>
      <c r="C1028" t="s">
        <v>40</v>
      </c>
      <c r="D1028">
        <v>5.3653760000000004</v>
      </c>
      <c r="E1028">
        <v>0.47982130000000001</v>
      </c>
      <c r="F1028" t="s">
        <v>55</v>
      </c>
      <c r="G1028">
        <v>-266.19940000000003</v>
      </c>
      <c r="H1028" s="1">
        <v>1.7622179999999999E-6</v>
      </c>
      <c r="I1028">
        <v>280.1431</v>
      </c>
      <c r="J1028">
        <v>-242.2876</v>
      </c>
      <c r="K1028">
        <v>1.109774</v>
      </c>
      <c r="L1028">
        <v>282.17930000000001</v>
      </c>
      <c r="M1028">
        <v>-0.99990279999999998</v>
      </c>
      <c r="N1028">
        <v>0</v>
      </c>
      <c r="O1028">
        <v>2.9221680000000002E-3</v>
      </c>
      <c r="P1028">
        <v>-0.98569700000000005</v>
      </c>
      <c r="Q1028">
        <v>0.16243440000000001</v>
      </c>
      <c r="R1028">
        <v>-4.4905819999999999E-2</v>
      </c>
      <c r="S1028">
        <v>-3.0552830000000002</v>
      </c>
      <c r="T1028">
        <v>-0.14000950000000001</v>
      </c>
      <c r="U1028">
        <v>-0.2566833</v>
      </c>
      <c r="V1028">
        <v>-4.7425370000000001E-2</v>
      </c>
      <c r="W1028">
        <v>0.1759551</v>
      </c>
      <c r="X1028">
        <v>0.98325510000000005</v>
      </c>
      <c r="Y1028">
        <v>-8.6536639999999998E-2</v>
      </c>
      <c r="Z1028">
        <v>-2.1118880000000001E-3</v>
      </c>
      <c r="AA1028">
        <v>0.99624650000000003</v>
      </c>
      <c r="AB1028">
        <v>31</v>
      </c>
      <c r="AC1028">
        <v>-23.911799999999999</v>
      </c>
      <c r="AD1028">
        <v>-1.1097722377820001</v>
      </c>
      <c r="AE1028">
        <v>-2.0362</v>
      </c>
      <c r="AF1028">
        <v>-2.10157791176352</v>
      </c>
      <c r="AG1028">
        <v>-1.1097722377820001</v>
      </c>
      <c r="AH1028">
        <v>23.854734328329801</v>
      </c>
      <c r="AI1028">
        <v>92.653337069811698</v>
      </c>
      <c r="AJ1028">
        <v>95.034701445342805</v>
      </c>
      <c r="AK1028">
        <v>23.972829912510601</v>
      </c>
      <c r="AL1028">
        <v>79.865755959172304</v>
      </c>
      <c r="AM1028">
        <v>92.761408816143998</v>
      </c>
      <c r="AN1028">
        <v>0.99999997730582801</v>
      </c>
    </row>
    <row r="1029" spans="1:40" x14ac:dyDescent="0.3">
      <c r="A1029" t="str">
        <f>"20200111150742830"</f>
        <v>20200111150742830</v>
      </c>
      <c r="B1029" t="str">
        <f>"1578726462822023"</f>
        <v>1578726462822023</v>
      </c>
      <c r="C1029" t="s">
        <v>40</v>
      </c>
      <c r="D1029">
        <v>5.1327099999999897</v>
      </c>
      <c r="E1029">
        <v>0.47785420000000001</v>
      </c>
      <c r="F1029" t="s">
        <v>55</v>
      </c>
      <c r="G1029">
        <v>-269.97660000000002</v>
      </c>
      <c r="H1029" s="1">
        <v>-1.3326270000000001E-6</v>
      </c>
      <c r="I1029">
        <v>279.661</v>
      </c>
      <c r="J1029">
        <v>-242.59469999999999</v>
      </c>
      <c r="K1029">
        <v>1.1097399999999999</v>
      </c>
      <c r="L1029">
        <v>282.1814</v>
      </c>
      <c r="M1029">
        <v>-0.99989910000000004</v>
      </c>
      <c r="N1029">
        <v>0</v>
      </c>
      <c r="O1029">
        <v>3.9942780000000004E-3</v>
      </c>
      <c r="P1029">
        <v>-0.98583569999999998</v>
      </c>
      <c r="Q1029">
        <v>0.16165889999999999</v>
      </c>
      <c r="R1029">
        <v>-4.4662519999999997E-2</v>
      </c>
      <c r="S1029">
        <v>-3.0510410000000001</v>
      </c>
      <c r="T1029">
        <v>-0.12228559999999999</v>
      </c>
      <c r="U1029">
        <v>-0.27749629999999997</v>
      </c>
      <c r="V1029">
        <v>-4.8227239999999998E-2</v>
      </c>
      <c r="W1029">
        <v>0.17518520000000001</v>
      </c>
      <c r="X1029">
        <v>0.98335360000000005</v>
      </c>
      <c r="Y1029">
        <v>-9.4476599999999994E-2</v>
      </c>
      <c r="Z1029">
        <v>-2.0483760000000002E-3</v>
      </c>
      <c r="AA1029">
        <v>0.99552499999999999</v>
      </c>
      <c r="AB1029">
        <v>31</v>
      </c>
      <c r="AC1029">
        <v>-27.381900000000002</v>
      </c>
      <c r="AD1029">
        <v>-1.109741332627</v>
      </c>
      <c r="AE1029">
        <v>-2.5203999999999902</v>
      </c>
      <c r="AF1029">
        <v>-2.6254847379928301</v>
      </c>
      <c r="AG1029">
        <v>-1.109741332627</v>
      </c>
      <c r="AH1029">
        <v>27.327104612125702</v>
      </c>
      <c r="AI1029">
        <v>92.314830391541406</v>
      </c>
      <c r="AJ1029">
        <v>95.487917250817404</v>
      </c>
      <c r="AK1029">
        <v>27.475358822349101</v>
      </c>
      <c r="AL1029">
        <v>79.910564340377405</v>
      </c>
      <c r="AM1029">
        <v>92.807743893425894</v>
      </c>
      <c r="AN1029">
        <v>1.0000000118050001</v>
      </c>
    </row>
    <row r="1030" spans="1:40" x14ac:dyDescent="0.3">
      <c r="A1030" t="str">
        <f>"20200111150742863"</f>
        <v>20200111150742863</v>
      </c>
      <c r="B1030" t="str">
        <f>"1578726462852279"</f>
        <v>1578726462852279</v>
      </c>
      <c r="C1030" t="s">
        <v>40</v>
      </c>
      <c r="D1030">
        <v>5.0765669999999998</v>
      </c>
      <c r="E1030">
        <v>0.47667330000000002</v>
      </c>
      <c r="F1030" t="s">
        <v>55</v>
      </c>
      <c r="G1030">
        <v>-267.5591</v>
      </c>
      <c r="H1030" s="1">
        <v>2.4857580000000001E-6</v>
      </c>
      <c r="I1030">
        <v>279.79390000000001</v>
      </c>
      <c r="J1030">
        <v>-243.04429999999999</v>
      </c>
      <c r="K1030">
        <v>1.109683</v>
      </c>
      <c r="L1030">
        <v>282.18509999999998</v>
      </c>
      <c r="M1030">
        <v>-0.99989110000000003</v>
      </c>
      <c r="N1030">
        <v>0</v>
      </c>
      <c r="O1030">
        <v>5.6591410000000003E-3</v>
      </c>
      <c r="P1030">
        <v>-0.98581920000000001</v>
      </c>
      <c r="Q1030">
        <v>0.1619023</v>
      </c>
      <c r="R1030">
        <v>-4.413806E-2</v>
      </c>
      <c r="S1030">
        <v>-3.0521240000000001</v>
      </c>
      <c r="T1030">
        <v>-0.1356755</v>
      </c>
      <c r="U1030">
        <v>-0.29190060000000001</v>
      </c>
      <c r="V1030">
        <v>-4.9319399999999999E-2</v>
      </c>
      <c r="W1030">
        <v>0.17543499999999901</v>
      </c>
      <c r="X1030">
        <v>0.98325490000000004</v>
      </c>
      <c r="Y1030">
        <v>-0.1007324</v>
      </c>
      <c r="Z1030">
        <v>-2.4836369999999999E-3</v>
      </c>
      <c r="AA1030">
        <v>0.99491050000000003</v>
      </c>
      <c r="AB1030">
        <v>31</v>
      </c>
      <c r="AC1030">
        <v>-24.514800000000001</v>
      </c>
      <c r="AD1030">
        <v>-1.1096805142420001</v>
      </c>
      <c r="AE1030">
        <v>-2.39119999999996</v>
      </c>
      <c r="AF1030">
        <v>-2.5247828081801802</v>
      </c>
      <c r="AG1030">
        <v>-1.1096805142420001</v>
      </c>
      <c r="AH1030">
        <v>24.451245863926101</v>
      </c>
      <c r="AI1030">
        <v>92.584769574250899</v>
      </c>
      <c r="AJ1030">
        <v>95.895345204300995</v>
      </c>
      <c r="AK1030">
        <v>24.606286663581098</v>
      </c>
      <c r="AL1030">
        <v>79.8960268022593</v>
      </c>
      <c r="AM1030">
        <v>92.871510917730106</v>
      </c>
      <c r="AN1030">
        <v>1.00000002040768</v>
      </c>
    </row>
    <row r="1031" spans="1:40" x14ac:dyDescent="0.3">
      <c r="A1031" t="str">
        <f>"20200111150742885"</f>
        <v>20200111150742885</v>
      </c>
      <c r="B1031" t="str">
        <f>"1578726462881560"</f>
        <v>1578726462881560</v>
      </c>
      <c r="C1031" t="s">
        <v>40</v>
      </c>
      <c r="D1031">
        <v>4.9440150000000003</v>
      </c>
      <c r="E1031">
        <v>0.4763521</v>
      </c>
      <c r="F1031" t="s">
        <v>55</v>
      </c>
      <c r="G1031">
        <v>-266.0686</v>
      </c>
      <c r="H1031" s="1">
        <v>1.692636E-6</v>
      </c>
      <c r="I1031">
        <v>279.92059999999998</v>
      </c>
      <c r="J1031">
        <v>-243.34219999999999</v>
      </c>
      <c r="K1031">
        <v>1.1096520000000001</v>
      </c>
      <c r="L1031">
        <v>282.18799999999999</v>
      </c>
      <c r="M1031">
        <v>-0.99988379999999999</v>
      </c>
      <c r="N1031">
        <v>0</v>
      </c>
      <c r="O1031">
        <v>6.8223569999999898E-3</v>
      </c>
      <c r="P1031">
        <v>-0.9857494</v>
      </c>
      <c r="Q1031">
        <v>0.16256770000000001</v>
      </c>
      <c r="R1031">
        <v>-4.3244949999999997E-2</v>
      </c>
      <c r="S1031">
        <v>-3.0538639999999999</v>
      </c>
      <c r="T1031">
        <v>-0.1471838</v>
      </c>
      <c r="U1031">
        <v>-0.30035400000000001</v>
      </c>
      <c r="V1031">
        <v>-4.9555790000000002E-2</v>
      </c>
      <c r="W1031">
        <v>0.1761025</v>
      </c>
      <c r="X1031">
        <v>0.98312370000000004</v>
      </c>
      <c r="Y1031">
        <v>-0.1045398</v>
      </c>
      <c r="Z1031">
        <v>-2.8395719999999998E-3</v>
      </c>
      <c r="AA1031">
        <v>0.99451670000000003</v>
      </c>
      <c r="AB1031">
        <v>30</v>
      </c>
      <c r="AC1031">
        <v>-22.726400000000002</v>
      </c>
      <c r="AD1031">
        <v>-1.1096503073639901</v>
      </c>
      <c r="AE1031">
        <v>-2.2673999999999999</v>
      </c>
      <c r="AF1031">
        <v>-2.4167045431770502</v>
      </c>
      <c r="AG1031">
        <v>-1.1096503073639901</v>
      </c>
      <c r="AH1031">
        <v>22.656918228797</v>
      </c>
      <c r="AI1031">
        <v>92.788099782236699</v>
      </c>
      <c r="AJ1031">
        <v>96.088444637963704</v>
      </c>
      <c r="AK1031">
        <v>22.812446784157999</v>
      </c>
      <c r="AL1031">
        <v>79.857177218246704</v>
      </c>
      <c r="AM1031">
        <v>92.885635384509101</v>
      </c>
      <c r="AN1031">
        <v>1.0000000381652301</v>
      </c>
    </row>
    <row r="1032" spans="1:40" x14ac:dyDescent="0.3">
      <c r="A1032" t="str">
        <f>"20200111150742906"</f>
        <v>20200111150742906</v>
      </c>
      <c r="B1032" t="str">
        <f>"1578726462902055"</f>
        <v>1578726462902055</v>
      </c>
      <c r="C1032" t="s">
        <v>40</v>
      </c>
      <c r="D1032">
        <v>5.077966</v>
      </c>
      <c r="E1032">
        <v>0.47556169999999998</v>
      </c>
      <c r="F1032" t="s">
        <v>55</v>
      </c>
      <c r="G1032">
        <v>-265.25479999999999</v>
      </c>
      <c r="H1032" s="1">
        <v>1.259546E-6</v>
      </c>
      <c r="I1032">
        <v>280.03019999999998</v>
      </c>
      <c r="J1032">
        <v>-243.6379</v>
      </c>
      <c r="K1032">
        <v>1.109626</v>
      </c>
      <c r="L1032">
        <v>282.19130000000001</v>
      </c>
      <c r="M1032">
        <v>-0.99987510000000002</v>
      </c>
      <c r="N1032">
        <v>0</v>
      </c>
      <c r="O1032">
        <v>8.0105109999999997E-3</v>
      </c>
      <c r="P1032">
        <v>-0.98572590000000004</v>
      </c>
      <c r="Q1032">
        <v>0.163191</v>
      </c>
      <c r="R1032">
        <v>-4.1394460000000001E-2</v>
      </c>
      <c r="S1032">
        <v>-3.0556950000000001</v>
      </c>
      <c r="T1032">
        <v>-0.15473999999999999</v>
      </c>
      <c r="U1032">
        <v>-0.30090329999999998</v>
      </c>
      <c r="V1032">
        <v>-4.8862049999999997E-2</v>
      </c>
      <c r="W1032">
        <v>0.17672579999999999</v>
      </c>
      <c r="X1032">
        <v>0.98304650000000005</v>
      </c>
      <c r="Y1032">
        <v>-0.105824</v>
      </c>
      <c r="Z1032">
        <v>-3.0757839999999998E-3</v>
      </c>
      <c r="AA1032">
        <v>0.99438009999999999</v>
      </c>
      <c r="AB1032">
        <v>30</v>
      </c>
      <c r="AC1032">
        <v>-21.616899999999902</v>
      </c>
      <c r="AD1032">
        <v>-1.1096247404539901</v>
      </c>
      <c r="AE1032">
        <v>-2.16110000000003</v>
      </c>
      <c r="AF1032">
        <v>-2.3281354189953398</v>
      </c>
      <c r="AG1032">
        <v>-1.1096247404539901</v>
      </c>
      <c r="AH1032">
        <v>21.542691875988201</v>
      </c>
      <c r="AI1032">
        <v>92.931555723748801</v>
      </c>
      <c r="AJ1032">
        <v>96.168060800398194</v>
      </c>
      <c r="AK1032">
        <v>21.6965217225614</v>
      </c>
      <c r="AL1032">
        <v>79.820894966363298</v>
      </c>
      <c r="AM1032">
        <v>92.845528810698497</v>
      </c>
      <c r="AN1032">
        <v>0.99999996473904496</v>
      </c>
    </row>
    <row r="1033" spans="1:40" x14ac:dyDescent="0.3">
      <c r="A1033" t="str">
        <f>"20200111150742930"</f>
        <v>20200111150742930</v>
      </c>
      <c r="B1033" t="str">
        <f>"1578726462921575"</f>
        <v>1578726462921575</v>
      </c>
      <c r="C1033" t="s">
        <v>40</v>
      </c>
      <c r="D1033">
        <v>5.6117269999999904</v>
      </c>
      <c r="E1033">
        <v>0.47553420000000002</v>
      </c>
      <c r="F1033" t="s">
        <v>55</v>
      </c>
      <c r="G1033">
        <v>-264.95319999999998</v>
      </c>
      <c r="H1033" s="1">
        <v>1.0990749999999999E-6</v>
      </c>
      <c r="I1033">
        <v>280.0829</v>
      </c>
      <c r="J1033">
        <v>-243.95249999999999</v>
      </c>
      <c r="K1033">
        <v>1.109605</v>
      </c>
      <c r="L1033">
        <v>282.19529999999997</v>
      </c>
      <c r="M1033">
        <v>-0.99986399999999998</v>
      </c>
      <c r="N1033">
        <v>0</v>
      </c>
      <c r="O1033">
        <v>9.3009000000000008E-3</v>
      </c>
      <c r="P1033">
        <v>-0.98570919999999895</v>
      </c>
      <c r="Q1033">
        <v>0.16372020000000001</v>
      </c>
      <c r="R1033">
        <v>-3.9666E-2</v>
      </c>
      <c r="S1033">
        <v>-3.0571139999999999</v>
      </c>
      <c r="T1033">
        <v>-0.15914610000000001</v>
      </c>
      <c r="U1033">
        <v>-0.30239870000000002</v>
      </c>
      <c r="V1033">
        <v>-4.839425E-2</v>
      </c>
      <c r="W1033">
        <v>0.17725379999999999</v>
      </c>
      <c r="X1033">
        <v>0.98297460000000003</v>
      </c>
      <c r="Y1033">
        <v>-0.1075316</v>
      </c>
      <c r="Z1033">
        <v>-3.2730070000000001E-3</v>
      </c>
      <c r="AA1033">
        <v>0.99419630000000003</v>
      </c>
      <c r="AB1033">
        <v>30</v>
      </c>
      <c r="AC1033">
        <v>-21.000699999999899</v>
      </c>
      <c r="AD1033">
        <v>-1.1096039009250001</v>
      </c>
      <c r="AE1033">
        <v>-2.1123999999999801</v>
      </c>
      <c r="AF1033">
        <v>-2.3012919786096102</v>
      </c>
      <c r="AG1033">
        <v>-1.1096039009250001</v>
      </c>
      <c r="AH1033">
        <v>20.922318673167499</v>
      </c>
      <c r="AI1033">
        <v>93.017641387789695</v>
      </c>
      <c r="AJ1033">
        <v>96.276857246099794</v>
      </c>
      <c r="AK1033">
        <v>21.077727207868801</v>
      </c>
      <c r="AL1033">
        <v>79.790157778446499</v>
      </c>
      <c r="AM1033">
        <v>92.818535974248505</v>
      </c>
      <c r="AN1033">
        <v>0.999999988646331</v>
      </c>
    </row>
    <row r="1034" spans="1:40" x14ac:dyDescent="0.3">
      <c r="A1034" t="str">
        <f>"20200111150742952"</f>
        <v>20200111150742952</v>
      </c>
      <c r="B1034" t="str">
        <f>"1578726462942074"</f>
        <v>1578726462942074</v>
      </c>
      <c r="C1034" t="s">
        <v>40</v>
      </c>
      <c r="D1034">
        <v>5.0902659999999997</v>
      </c>
      <c r="E1034">
        <v>0.45551920000000001</v>
      </c>
      <c r="F1034" t="s">
        <v>55</v>
      </c>
      <c r="G1034">
        <v>-266.2079</v>
      </c>
      <c r="H1034" s="1">
        <v>1.76674E-6</v>
      </c>
      <c r="I1034">
        <v>280.03190000000001</v>
      </c>
      <c r="J1034">
        <v>-244.25890000000001</v>
      </c>
      <c r="K1034">
        <v>1.1095950000000001</v>
      </c>
      <c r="L1034">
        <v>282.1995</v>
      </c>
      <c r="M1034">
        <v>-0.9998513</v>
      </c>
      <c r="N1034">
        <v>0</v>
      </c>
      <c r="O1034">
        <v>1.0573880000000001E-2</v>
      </c>
      <c r="P1034">
        <v>-0.98563520000000004</v>
      </c>
      <c r="Q1034">
        <v>0.16455239999999999</v>
      </c>
      <c r="R1034">
        <v>-3.8024460000000003E-2</v>
      </c>
      <c r="S1034">
        <v>-3.056854</v>
      </c>
      <c r="T1034">
        <v>-0.1524076</v>
      </c>
      <c r="U1034">
        <v>-0.29714970000000002</v>
      </c>
      <c r="V1034">
        <v>-4.7999310000000003E-2</v>
      </c>
      <c r="W1034">
        <v>0.178083399999999</v>
      </c>
      <c r="X1034">
        <v>0.9828441</v>
      </c>
      <c r="Y1034">
        <v>-0.1071266</v>
      </c>
      <c r="Z1034">
        <v>-3.1883549999999999E-3</v>
      </c>
      <c r="AA1034">
        <v>0.99424029999999997</v>
      </c>
      <c r="AB1034">
        <v>30</v>
      </c>
      <c r="AC1034">
        <v>-21.948999999999899</v>
      </c>
      <c r="AD1034">
        <v>-1.10959323326</v>
      </c>
      <c r="AE1034">
        <v>-2.16759999999999</v>
      </c>
      <c r="AF1034">
        <v>-2.3935285330946501</v>
      </c>
      <c r="AG1034">
        <v>-1.10959323326</v>
      </c>
      <c r="AH1034">
        <v>21.869500096523701</v>
      </c>
      <c r="AI1034">
        <v>92.887314599112003</v>
      </c>
      <c r="AJ1034">
        <v>96.245932222143907</v>
      </c>
      <c r="AK1034">
        <v>22.028055076512899</v>
      </c>
      <c r="AL1034">
        <v>79.741857673044095</v>
      </c>
      <c r="AM1034">
        <v>92.795941460586306</v>
      </c>
      <c r="AN1034">
        <v>1.0000000780104199</v>
      </c>
    </row>
    <row r="1035" spans="1:40" x14ac:dyDescent="0.3">
      <c r="A1035" t="str">
        <f>"20200111150742974"</f>
        <v>20200111150742974</v>
      </c>
      <c r="B1035" t="str">
        <f>"1578726462972327"</f>
        <v>1578726462972327</v>
      </c>
      <c r="C1035" t="s">
        <v>40</v>
      </c>
      <c r="D1035">
        <v>5.0388830000000002</v>
      </c>
      <c r="E1035">
        <v>0.46573550000000002</v>
      </c>
      <c r="F1035" t="s">
        <v>56</v>
      </c>
      <c r="G1035">
        <v>-352.55</v>
      </c>
      <c r="H1035">
        <v>30.079239999999999</v>
      </c>
      <c r="I1035">
        <v>264.39980000000003</v>
      </c>
      <c r="J1035">
        <v>-244.54820000000001</v>
      </c>
      <c r="K1035">
        <v>1.1095930000000001</v>
      </c>
      <c r="L1035">
        <v>282.2038</v>
      </c>
      <c r="M1035">
        <v>-0.9998378</v>
      </c>
      <c r="N1035">
        <v>0</v>
      </c>
      <c r="O1035">
        <v>1.1782580000000001E-2</v>
      </c>
      <c r="P1035">
        <v>-0.98565199999999997</v>
      </c>
      <c r="Q1035">
        <v>0.1650771</v>
      </c>
      <c r="R1035">
        <v>-3.5213109999999999E-2</v>
      </c>
      <c r="S1035">
        <v>-2.8960110000000001</v>
      </c>
      <c r="T1035">
        <v>0.77473309999999995</v>
      </c>
      <c r="U1035">
        <v>-0.47601320000000003</v>
      </c>
      <c r="V1035">
        <v>-4.6375130000000001E-2</v>
      </c>
      <c r="W1035">
        <v>0.17860319999999999</v>
      </c>
      <c r="X1035">
        <v>0.98282769999999997</v>
      </c>
      <c r="Y1035">
        <v>-0.1676588</v>
      </c>
      <c r="Z1035">
        <v>2.4977719999999998E-2</v>
      </c>
      <c r="AA1035">
        <v>0.98552859999999998</v>
      </c>
      <c r="AB1035">
        <v>30</v>
      </c>
      <c r="AC1035">
        <v>-108.0018</v>
      </c>
      <c r="AD1035">
        <v>28.969646999999998</v>
      </c>
      <c r="AE1035">
        <v>-17.803999999999899</v>
      </c>
      <c r="AF1035">
        <v>-17.826739908734002</v>
      </c>
      <c r="AG1035">
        <v>28.969646999999998</v>
      </c>
      <c r="AH1035">
        <v>100.72890426918499</v>
      </c>
      <c r="AI1035">
        <v>74.187915604644601</v>
      </c>
      <c r="AJ1035">
        <v>100.03613872003</v>
      </c>
      <c r="AK1035">
        <v>106.317191734681</v>
      </c>
      <c r="AL1035">
        <v>79.711589504333006</v>
      </c>
      <c r="AM1035">
        <v>92.701521208355501</v>
      </c>
      <c r="AN1035">
        <v>1.00000002181002</v>
      </c>
    </row>
    <row r="1036" spans="1:40" x14ac:dyDescent="0.3">
      <c r="A1036" t="str">
        <f>"20200111150742996"</f>
        <v>20200111150742996</v>
      </c>
      <c r="B1036" t="str">
        <f>"1578726462991846"</f>
        <v>1578726462991846</v>
      </c>
      <c r="C1036" t="s">
        <v>40</v>
      </c>
      <c r="D1036">
        <v>4.6505320000000001</v>
      </c>
      <c r="E1036">
        <v>0.49569740000000001</v>
      </c>
      <c r="F1036" t="s">
        <v>55</v>
      </c>
      <c r="G1036">
        <v>-266.49009999999998</v>
      </c>
      <c r="H1036">
        <v>7.1540389999999995E-2</v>
      </c>
      <c r="I1036">
        <v>279.59480000000002</v>
      </c>
      <c r="J1036">
        <v>-244.8545</v>
      </c>
      <c r="K1036">
        <v>1.1095919999999999</v>
      </c>
      <c r="L1036">
        <v>282.2088</v>
      </c>
      <c r="M1036">
        <v>-0.99982199999999999</v>
      </c>
      <c r="N1036">
        <v>0</v>
      </c>
      <c r="O1036">
        <v>1.306217E-2</v>
      </c>
      <c r="P1036">
        <v>-0.98573239999999995</v>
      </c>
      <c r="Q1036">
        <v>0.16512379999999999</v>
      </c>
      <c r="R1036">
        <v>-3.2648320000000002E-2</v>
      </c>
      <c r="S1036">
        <v>-3.054916</v>
      </c>
      <c r="T1036">
        <v>-0.14452590000000001</v>
      </c>
      <c r="U1036">
        <v>-0.36325069999999998</v>
      </c>
      <c r="V1036">
        <v>-4.5070470000000001E-2</v>
      </c>
      <c r="W1036">
        <v>0.17864639999999901</v>
      </c>
      <c r="X1036">
        <v>0.98288050000000005</v>
      </c>
      <c r="Y1036">
        <v>-0.1308783</v>
      </c>
      <c r="Z1036">
        <v>-3.698921E-3</v>
      </c>
      <c r="AA1036">
        <v>0.99139149999999998</v>
      </c>
      <c r="AB1036">
        <v>30</v>
      </c>
      <c r="AC1036">
        <v>-21.635599999999901</v>
      </c>
      <c r="AD1036">
        <v>-1.0380516099999999</v>
      </c>
      <c r="AE1036">
        <v>-2.6139999999999701</v>
      </c>
      <c r="AF1036">
        <v>-2.8898543739632299</v>
      </c>
      <c r="AG1036">
        <v>-1.0380516099999999</v>
      </c>
      <c r="AH1036">
        <v>21.550710778457201</v>
      </c>
      <c r="AI1036">
        <v>92.733256540449403</v>
      </c>
      <c r="AJ1036">
        <v>97.637547941821694</v>
      </c>
      <c r="AK1036">
        <v>21.768370276721399</v>
      </c>
      <c r="AL1036">
        <v>79.709073437505097</v>
      </c>
      <c r="AM1036">
        <v>92.625487026845505</v>
      </c>
      <c r="AN1036">
        <v>0.99999998038961502</v>
      </c>
    </row>
    <row r="1037" spans="1:40" x14ac:dyDescent="0.3">
      <c r="A1037" t="str">
        <f>"20200111150743042"</f>
        <v>20200111150743042</v>
      </c>
      <c r="B1037" t="str">
        <f>"1578726463031866"</f>
        <v>1578726463031866</v>
      </c>
      <c r="C1037" t="s">
        <v>40</v>
      </c>
      <c r="D1037">
        <v>5.1055060000000001</v>
      </c>
      <c r="E1037">
        <v>0.47797650000000003</v>
      </c>
      <c r="F1037" t="s">
        <v>55</v>
      </c>
      <c r="G1037">
        <v>-259.94760000000002</v>
      </c>
      <c r="H1037" s="1">
        <v>3.7568300000000002E-6</v>
      </c>
      <c r="I1037">
        <v>281.65460000000002</v>
      </c>
      <c r="J1037">
        <v>-245.46899999999999</v>
      </c>
      <c r="K1037">
        <v>1.1095820000000001</v>
      </c>
      <c r="L1037">
        <v>282.22000000000003</v>
      </c>
      <c r="M1037">
        <v>-0.99978529999999999</v>
      </c>
      <c r="N1037">
        <v>0</v>
      </c>
      <c r="O1037">
        <v>1.561889E-2</v>
      </c>
      <c r="P1037">
        <v>-0.98600569999999998</v>
      </c>
      <c r="Q1037">
        <v>0.1642286</v>
      </c>
      <c r="R1037">
        <v>-2.8671439999999999E-2</v>
      </c>
      <c r="S1037">
        <v>-3.077591</v>
      </c>
      <c r="T1037">
        <v>-0.2262526</v>
      </c>
      <c r="U1037">
        <v>-0.1130066</v>
      </c>
      <c r="V1037">
        <v>-4.3619600000000001E-2</v>
      </c>
      <c r="W1037">
        <v>0.1777474</v>
      </c>
      <c r="X1037">
        <v>0.98310889999999995</v>
      </c>
      <c r="Y1037">
        <v>-5.2117209999999997E-2</v>
      </c>
      <c r="Z1037">
        <v>-3.0589660000000002E-3</v>
      </c>
      <c r="AA1037">
        <v>0.99863630000000003</v>
      </c>
      <c r="AB1037">
        <v>30</v>
      </c>
      <c r="AC1037">
        <v>-14.4786</v>
      </c>
      <c r="AD1037">
        <v>-1.1095782431700001</v>
      </c>
      <c r="AE1037">
        <v>-0.565400000000011</v>
      </c>
      <c r="AF1037">
        <v>-0.78687732286013301</v>
      </c>
      <c r="AG1037">
        <v>-1.1095782431700001</v>
      </c>
      <c r="AH1037">
        <v>14.3836546924705</v>
      </c>
      <c r="AI1037">
        <v>94.404592267841707</v>
      </c>
      <c r="AJ1037">
        <v>93.131321963893498</v>
      </c>
      <c r="AK1037">
        <v>14.4478324364306</v>
      </c>
      <c r="AL1037">
        <v>79.761419936810199</v>
      </c>
      <c r="AM1037">
        <v>92.540492636212306</v>
      </c>
      <c r="AN1037">
        <v>0.99999995848506396</v>
      </c>
    </row>
    <row r="1038" spans="1:40" x14ac:dyDescent="0.3">
      <c r="A1038" t="str">
        <f>"20200111150743065"</f>
        <v>20200111150743065</v>
      </c>
      <c r="B1038" t="str">
        <f>"1578726463062119"</f>
        <v>1578726463062119</v>
      </c>
      <c r="C1038" t="s">
        <v>40</v>
      </c>
      <c r="D1038">
        <v>5.1824909999999997</v>
      </c>
      <c r="E1038">
        <v>0.47358119999999998</v>
      </c>
      <c r="F1038" t="s">
        <v>55</v>
      </c>
      <c r="G1038">
        <v>-261.6909</v>
      </c>
      <c r="H1038" s="1">
        <v>-6.3698009999999896E-7</v>
      </c>
      <c r="I1038">
        <v>280.94040000000001</v>
      </c>
      <c r="J1038">
        <v>-245.7732</v>
      </c>
      <c r="K1038">
        <v>1.109578</v>
      </c>
      <c r="L1038">
        <v>282.22620000000001</v>
      </c>
      <c r="M1038">
        <v>-0.99976480000000001</v>
      </c>
      <c r="N1038">
        <v>0</v>
      </c>
      <c r="O1038">
        <v>1.6879410000000001E-2</v>
      </c>
      <c r="P1038">
        <v>-0.98629060000000002</v>
      </c>
      <c r="Q1038">
        <v>0.16279769999999999</v>
      </c>
      <c r="R1038">
        <v>-2.6971200000000001E-2</v>
      </c>
      <c r="S1038">
        <v>-3.0705110000000002</v>
      </c>
      <c r="T1038">
        <v>-0.21002380000000001</v>
      </c>
      <c r="U1038">
        <v>-0.24221799999999999</v>
      </c>
      <c r="V1038">
        <v>-4.3170529999999999E-2</v>
      </c>
      <c r="W1038">
        <v>0.17631749999999999</v>
      </c>
      <c r="X1038">
        <v>0.98338619999999999</v>
      </c>
      <c r="Y1038">
        <v>-9.5198089999999999E-2</v>
      </c>
      <c r="Z1038">
        <v>-4.3986470000000003E-3</v>
      </c>
      <c r="AA1038">
        <v>0.99544860000000002</v>
      </c>
      <c r="AB1038">
        <v>30</v>
      </c>
      <c r="AC1038">
        <v>-15.9176999999999</v>
      </c>
      <c r="AD1038">
        <v>-1.1095786369801</v>
      </c>
      <c r="AE1038">
        <v>-1.2857999999999901</v>
      </c>
      <c r="AF1038">
        <v>-1.5468554865862301</v>
      </c>
      <c r="AG1038">
        <v>-1.1095786369801</v>
      </c>
      <c r="AH1038">
        <v>15.8173664099088</v>
      </c>
      <c r="AI1038">
        <v>93.993700675687904</v>
      </c>
      <c r="AJ1038">
        <v>95.585465836394803</v>
      </c>
      <c r="AK1038">
        <v>15.9315098717396</v>
      </c>
      <c r="AL1038">
        <v>79.844662282046301</v>
      </c>
      <c r="AM1038">
        <v>92.513663537913303</v>
      </c>
      <c r="AN1038">
        <v>0.99999998690858505</v>
      </c>
    </row>
    <row r="1039" spans="1:40" x14ac:dyDescent="0.3">
      <c r="A1039" t="str">
        <f>"20200111150743086"</f>
        <v>20200111150743086</v>
      </c>
      <c r="B1039" t="str">
        <f>"1578726463081639"</f>
        <v>1578726463081639</v>
      </c>
      <c r="C1039" t="s">
        <v>40</v>
      </c>
      <c r="D1039">
        <v>5.2052180000000003</v>
      </c>
      <c r="E1039">
        <v>0.47079929999999898</v>
      </c>
      <c r="F1039" t="s">
        <v>55</v>
      </c>
      <c r="G1039">
        <v>-263.16890000000001</v>
      </c>
      <c r="H1039" s="1">
        <v>1.49513499999999E-7</v>
      </c>
      <c r="I1039">
        <v>280.67959999999999</v>
      </c>
      <c r="J1039">
        <v>-246.0694</v>
      </c>
      <c r="K1039">
        <v>1.1095729999999999</v>
      </c>
      <c r="L1039">
        <v>282.23250000000002</v>
      </c>
      <c r="M1039">
        <v>-0.99974339999999995</v>
      </c>
      <c r="N1039">
        <v>0</v>
      </c>
      <c r="O1039">
        <v>1.8104410000000001E-2</v>
      </c>
      <c r="P1039">
        <v>-0.98647370000000001</v>
      </c>
      <c r="Q1039">
        <v>0.1618108</v>
      </c>
      <c r="R1039">
        <v>-2.6210089999999998E-2</v>
      </c>
      <c r="S1039">
        <v>-3.0665279999999999</v>
      </c>
      <c r="T1039">
        <v>-0.19559770000000001</v>
      </c>
      <c r="U1039">
        <v>-0.272644</v>
      </c>
      <c r="V1039">
        <v>-4.3623790000000003E-2</v>
      </c>
      <c r="W1039">
        <v>0.17533219999999999</v>
      </c>
      <c r="X1039">
        <v>0.98354240000000004</v>
      </c>
      <c r="Y1039">
        <v>-0.1063298</v>
      </c>
      <c r="Z1039">
        <v>-4.5326580000000002E-3</v>
      </c>
      <c r="AA1039">
        <v>0.9943206</v>
      </c>
      <c r="AB1039">
        <v>30</v>
      </c>
      <c r="AC1039">
        <v>-17.099499999999999</v>
      </c>
      <c r="AD1039">
        <v>-1.1095728504864999</v>
      </c>
      <c r="AE1039">
        <v>-1.5529000000000199</v>
      </c>
      <c r="AF1039">
        <v>-1.8545057675135499</v>
      </c>
      <c r="AG1039">
        <v>-1.1095728504864999</v>
      </c>
      <c r="AH1039">
        <v>16.997595189854799</v>
      </c>
      <c r="AI1039">
        <v>93.712896739907805</v>
      </c>
      <c r="AJ1039">
        <v>96.226570768697897</v>
      </c>
      <c r="AK1039">
        <v>17.134426917479701</v>
      </c>
      <c r="AL1039">
        <v>79.902009678397903</v>
      </c>
      <c r="AM1039">
        <v>92.539617977833601</v>
      </c>
      <c r="AN1039">
        <v>1.0000000340042801</v>
      </c>
    </row>
    <row r="1040" spans="1:40" x14ac:dyDescent="0.3">
      <c r="A1040" t="str">
        <f>"20200111150743108"</f>
        <v>20200111150743108</v>
      </c>
      <c r="B1040" t="str">
        <f>"1578726463102135"</f>
        <v>1578726463102135</v>
      </c>
      <c r="C1040" t="s">
        <v>40</v>
      </c>
      <c r="D1040">
        <v>5.9602870000000001</v>
      </c>
      <c r="E1040">
        <v>0.47079929999999898</v>
      </c>
      <c r="F1040" t="s">
        <v>55</v>
      </c>
      <c r="G1040">
        <v>-262.60300000000001</v>
      </c>
      <c r="H1040" s="1">
        <v>-1.5158669999999999E-7</v>
      </c>
      <c r="I1040">
        <v>280.65949999999998</v>
      </c>
      <c r="J1040">
        <v>-246.36510000000001</v>
      </c>
      <c r="K1040">
        <v>1.109558</v>
      </c>
      <c r="L1040">
        <v>282.23919999999998</v>
      </c>
      <c r="M1040">
        <v>-0.99972059999999996</v>
      </c>
      <c r="N1040">
        <v>0</v>
      </c>
      <c r="O1040">
        <v>1.9326949999999999E-2</v>
      </c>
      <c r="P1040">
        <v>-0.98659669999999999</v>
      </c>
      <c r="Q1040">
        <v>0.16122</v>
      </c>
      <c r="R1040">
        <v>-2.5203929999999999E-2</v>
      </c>
      <c r="S1040">
        <v>-3.0671689999999998</v>
      </c>
      <c r="T1040">
        <v>-0.20583750000000001</v>
      </c>
      <c r="U1040">
        <v>-0.29180909999999999</v>
      </c>
      <c r="V1040">
        <v>-4.3827789999999998E-2</v>
      </c>
      <c r="W1040">
        <v>0.17474110000000001</v>
      </c>
      <c r="X1040">
        <v>0.98363849999999997</v>
      </c>
      <c r="Y1040">
        <v>-0.1136395</v>
      </c>
      <c r="Z1040">
        <v>-5.0933559999999899E-3</v>
      </c>
      <c r="AA1040">
        <v>0.99350899999999998</v>
      </c>
      <c r="AB1040">
        <v>30</v>
      </c>
      <c r="AC1040">
        <v>-16.2378999999999</v>
      </c>
      <c r="AD1040">
        <v>-1.1095581515866999</v>
      </c>
      <c r="AE1040">
        <v>-1.5797000000000001</v>
      </c>
      <c r="AF1040">
        <v>-1.88454624587303</v>
      </c>
      <c r="AG1040">
        <v>-1.1095581515866999</v>
      </c>
      <c r="AH1040">
        <v>16.129726404269601</v>
      </c>
      <c r="AI1040">
        <v>93.908652538085903</v>
      </c>
      <c r="AJ1040">
        <v>96.664044081633605</v>
      </c>
      <c r="AK1040">
        <v>16.277306525379998</v>
      </c>
      <c r="AL1040">
        <v>79.936408047014595</v>
      </c>
      <c r="AM1040">
        <v>92.551229509563001</v>
      </c>
      <c r="AN1040">
        <v>1.00000001294387</v>
      </c>
    </row>
    <row r="1041" spans="1:40" x14ac:dyDescent="0.3">
      <c r="A1041" t="str">
        <f>"20200111150743132"</f>
        <v>20200111150743132</v>
      </c>
      <c r="B1041" t="str">
        <f>"1578726463122632"</f>
        <v>1578726463122632</v>
      </c>
      <c r="C1041" t="s">
        <v>40</v>
      </c>
      <c r="D1041">
        <v>5.261069</v>
      </c>
      <c r="E1041">
        <v>0.4589897</v>
      </c>
      <c r="F1041" t="s">
        <v>55</v>
      </c>
      <c r="G1041">
        <v>-262.75659999999999</v>
      </c>
      <c r="H1041" s="1">
        <v>-6.987761E-8</v>
      </c>
      <c r="I1041">
        <v>280.69479999999999</v>
      </c>
      <c r="J1041">
        <v>-246.6874</v>
      </c>
      <c r="K1041">
        <v>1.1095630000000001</v>
      </c>
      <c r="L1041">
        <v>282.24689999999998</v>
      </c>
      <c r="M1041">
        <v>-0.99969390000000002</v>
      </c>
      <c r="N1041">
        <v>0</v>
      </c>
      <c r="O1041">
        <v>2.065999E-2</v>
      </c>
      <c r="P1041">
        <v>-0.98683699999999996</v>
      </c>
      <c r="Q1041">
        <v>0.15996779999999999</v>
      </c>
      <c r="R1041">
        <v>-2.3725610000000001E-2</v>
      </c>
      <c r="S1041">
        <v>-3.067291</v>
      </c>
      <c r="T1041">
        <v>-0.20762829999999999</v>
      </c>
      <c r="U1041">
        <v>-0.28900150000000002</v>
      </c>
      <c r="V1041">
        <v>-4.3673910000000003E-2</v>
      </c>
      <c r="W1041">
        <v>0.1734897</v>
      </c>
      <c r="X1041">
        <v>0.98386680000000004</v>
      </c>
      <c r="Y1041">
        <v>-0.11405</v>
      </c>
      <c r="Z1041">
        <v>-5.2413980000000004E-3</v>
      </c>
      <c r="AA1041">
        <v>0.99346120000000004</v>
      </c>
      <c r="AB1041">
        <v>30</v>
      </c>
      <c r="AC1041">
        <v>-16.069199999999899</v>
      </c>
      <c r="AD1041">
        <v>-1.1095630698776</v>
      </c>
      <c r="AE1041">
        <v>-1.55209999999999</v>
      </c>
      <c r="AF1041">
        <v>-1.87493230420351</v>
      </c>
      <c r="AG1041">
        <v>-1.1095630698776</v>
      </c>
      <c r="AH1041">
        <v>15.9583178541839</v>
      </c>
      <c r="AI1041">
        <v>93.950223693820803</v>
      </c>
      <c r="AJ1041">
        <v>96.700923643628101</v>
      </c>
      <c r="AK1041">
        <v>16.106346888309201</v>
      </c>
      <c r="AL1041">
        <v>80.009219877151196</v>
      </c>
      <c r="AM1041">
        <v>92.541694732078497</v>
      </c>
      <c r="AN1041">
        <v>0.99999998328150896</v>
      </c>
    </row>
    <row r="1042" spans="1:40" x14ac:dyDescent="0.3">
      <c r="A1042" t="str">
        <f>"20200111150743153"</f>
        <v>20200111150743153</v>
      </c>
      <c r="B1042" t="str">
        <f>"1578726463142151"</f>
        <v>1578726463142151</v>
      </c>
      <c r="C1042" t="s">
        <v>40</v>
      </c>
      <c r="D1042">
        <v>4.8510839999999904</v>
      </c>
      <c r="E1042">
        <v>0.46436260000000001</v>
      </c>
      <c r="F1042" t="s">
        <v>56</v>
      </c>
      <c r="G1042">
        <v>-352.08690000000001</v>
      </c>
      <c r="H1042">
        <v>26.821020000000001</v>
      </c>
      <c r="I1042">
        <v>267.60539999999997</v>
      </c>
      <c r="J1042">
        <v>-246.9725</v>
      </c>
      <c r="K1042">
        <v>1.1095649999999999</v>
      </c>
      <c r="L1042">
        <v>282.25409999999999</v>
      </c>
      <c r="M1042">
        <v>-0.99966889999999997</v>
      </c>
      <c r="N1042">
        <v>0</v>
      </c>
      <c r="O1042">
        <v>2.1838900000000001E-2</v>
      </c>
      <c r="P1042">
        <v>-0.98690869999999997</v>
      </c>
      <c r="Q1042">
        <v>0.159714299999999</v>
      </c>
      <c r="R1042">
        <v>-2.241829E-2</v>
      </c>
      <c r="S1042">
        <v>-2.915009</v>
      </c>
      <c r="T1042">
        <v>0.71109840000000002</v>
      </c>
      <c r="U1042">
        <v>-0.40493770000000001</v>
      </c>
      <c r="V1042">
        <v>-4.3532340000000003E-2</v>
      </c>
      <c r="W1042">
        <v>0.17323469999999999</v>
      </c>
      <c r="X1042">
        <v>0.98391799999999996</v>
      </c>
      <c r="Y1042">
        <v>-0.15412629999999999</v>
      </c>
      <c r="Z1042">
        <v>2.3671190000000002E-2</v>
      </c>
      <c r="AA1042">
        <v>0.98776759999999997</v>
      </c>
      <c r="AB1042">
        <v>30</v>
      </c>
      <c r="AC1042">
        <v>-105.1144</v>
      </c>
      <c r="AD1042">
        <v>25.711454999999901</v>
      </c>
      <c r="AE1042">
        <v>-14.6487</v>
      </c>
      <c r="AF1042">
        <v>-16.001829603669101</v>
      </c>
      <c r="AG1042">
        <v>25.711454999999901</v>
      </c>
      <c r="AH1042">
        <v>98.961202648421207</v>
      </c>
      <c r="AI1042">
        <v>75.614743143406102</v>
      </c>
      <c r="AJ1042">
        <v>99.185112131651493</v>
      </c>
      <c r="AK1042">
        <v>103.49133827767299</v>
      </c>
      <c r="AL1042">
        <v>80.024054881571203</v>
      </c>
      <c r="AM1042">
        <v>92.533334859606498</v>
      </c>
      <c r="AN1042">
        <v>0.99999997831698195</v>
      </c>
    </row>
    <row r="1043" spans="1:40" x14ac:dyDescent="0.3">
      <c r="A1043" t="str">
        <f>"20200111150743174"</f>
        <v>20200111150743174</v>
      </c>
      <c r="B1043" t="str">
        <f>"1578726463172407"</f>
        <v>1578726463172407</v>
      </c>
      <c r="C1043" t="s">
        <v>40</v>
      </c>
      <c r="D1043">
        <v>5.5404010000000001</v>
      </c>
      <c r="E1043">
        <v>0.46436260000000001</v>
      </c>
      <c r="F1043" t="s">
        <v>55</v>
      </c>
      <c r="G1043">
        <v>-269.0883</v>
      </c>
      <c r="H1043" s="1">
        <v>3.2995599999999901E-6</v>
      </c>
      <c r="I1043">
        <v>279.84160000000003</v>
      </c>
      <c r="J1043">
        <v>-247.25630000000001</v>
      </c>
      <c r="K1043">
        <v>1.1095710000000001</v>
      </c>
      <c r="L1043">
        <v>282.26159999999999</v>
      </c>
      <c r="M1043">
        <v>-0.99964260000000005</v>
      </c>
      <c r="N1043">
        <v>0</v>
      </c>
      <c r="O1043">
        <v>2.3012270000000001E-2</v>
      </c>
      <c r="P1043">
        <v>-0.98691870000000004</v>
      </c>
      <c r="Q1043">
        <v>0.1598263</v>
      </c>
      <c r="R1043">
        <v>-2.1147829999999999E-2</v>
      </c>
      <c r="S1043">
        <v>-3.0570219999999999</v>
      </c>
      <c r="T1043">
        <v>-0.15337239999999999</v>
      </c>
      <c r="U1043">
        <v>-0.33346559999999997</v>
      </c>
      <c r="V1043">
        <v>-4.342029E-2</v>
      </c>
      <c r="W1043">
        <v>0.17334459999999999</v>
      </c>
      <c r="X1043">
        <v>0.98390359999999999</v>
      </c>
      <c r="Y1043">
        <v>-0.13109689999999999</v>
      </c>
      <c r="Z1043">
        <v>-4.4276300000000001E-3</v>
      </c>
      <c r="AA1043">
        <v>0.99135969999999995</v>
      </c>
      <c r="AB1043">
        <v>30</v>
      </c>
      <c r="AC1043">
        <v>-21.831999999999901</v>
      </c>
      <c r="AD1043">
        <v>-1.10956770044</v>
      </c>
      <c r="AE1043">
        <v>-2.4199999999999502</v>
      </c>
      <c r="AF1043">
        <v>-2.9143730193513999</v>
      </c>
      <c r="AG1043">
        <v>-1.10956770044</v>
      </c>
      <c r="AH1043">
        <v>21.715113750746099</v>
      </c>
      <c r="AI1043">
        <v>92.899125283044398</v>
      </c>
      <c r="AJ1043">
        <v>97.643957490121196</v>
      </c>
      <c r="AK1043">
        <v>21.937886766633302</v>
      </c>
      <c r="AL1043">
        <v>80.017661394213206</v>
      </c>
      <c r="AM1043">
        <v>92.526859582234096</v>
      </c>
      <c r="AN1043">
        <v>0.99999998301290105</v>
      </c>
    </row>
    <row r="1044" spans="1:40" x14ac:dyDescent="0.3">
      <c r="A1044" t="str">
        <f>"20200111150743197"</f>
        <v>20200111150743197</v>
      </c>
      <c r="B1044" t="str">
        <f>"1578726463191927"</f>
        <v>1578726463191927</v>
      </c>
      <c r="C1044" t="s">
        <v>40</v>
      </c>
      <c r="D1044">
        <v>6.9709339999999997</v>
      </c>
      <c r="E1044">
        <v>0.54809419999999898</v>
      </c>
      <c r="F1044" t="s">
        <v>55</v>
      </c>
      <c r="G1044">
        <v>-269.42239999999998</v>
      </c>
      <c r="H1044" s="1">
        <v>3.4773550000000002E-6</v>
      </c>
      <c r="I1044">
        <v>279.87240000000003</v>
      </c>
      <c r="J1044">
        <v>-247.5735</v>
      </c>
      <c r="K1044">
        <v>1.1095790000000001</v>
      </c>
      <c r="L1044">
        <v>282.27030000000002</v>
      </c>
      <c r="M1044">
        <v>-0.99961160000000004</v>
      </c>
      <c r="N1044">
        <v>0</v>
      </c>
      <c r="O1044">
        <v>2.4324990000000001E-2</v>
      </c>
      <c r="P1044">
        <v>-0.98681070000000004</v>
      </c>
      <c r="Q1044">
        <v>0.16066420000000001</v>
      </c>
      <c r="R1044">
        <v>-1.9800169999999999E-2</v>
      </c>
      <c r="S1044">
        <v>-3.0574949999999999</v>
      </c>
      <c r="T1044">
        <v>-0.153048499999999</v>
      </c>
      <c r="U1044">
        <v>-0.3295593</v>
      </c>
      <c r="V1044">
        <v>-4.3364079999999999E-2</v>
      </c>
      <c r="W1044">
        <v>0.17417859999999999</v>
      </c>
      <c r="X1044">
        <v>0.98375880000000004</v>
      </c>
      <c r="Y1044">
        <v>-0.13112950000000001</v>
      </c>
      <c r="Z1044">
        <v>-4.4842379999999998E-3</v>
      </c>
      <c r="AA1044">
        <v>0.99135510000000004</v>
      </c>
      <c r="AB1044">
        <v>30</v>
      </c>
      <c r="AC1044">
        <v>-21.848899999999901</v>
      </c>
      <c r="AD1044">
        <v>-1.1095755226449999</v>
      </c>
      <c r="AE1044">
        <v>-2.3978999999999902</v>
      </c>
      <c r="AF1044">
        <v>-2.9212694225024598</v>
      </c>
      <c r="AG1044">
        <v>-1.1095755226449999</v>
      </c>
      <c r="AH1044">
        <v>21.728727647796202</v>
      </c>
      <c r="AI1044">
        <v>92.897243319818799</v>
      </c>
      <c r="AJ1044">
        <v>97.657087622974004</v>
      </c>
      <c r="AK1044">
        <v>21.952279564350601</v>
      </c>
      <c r="AL1044">
        <v>79.969138766242196</v>
      </c>
      <c r="AM1044">
        <v>92.523963621212303</v>
      </c>
      <c r="AN1044">
        <v>1.0000000023548199</v>
      </c>
    </row>
    <row r="1045" spans="1:40" x14ac:dyDescent="0.3">
      <c r="A1045" t="str">
        <f>"20200111150743221"</f>
        <v>20200111150743221</v>
      </c>
      <c r="B1045" t="str">
        <f>"1578726463212423"</f>
        <v>1578726463212423</v>
      </c>
      <c r="C1045" t="s">
        <v>40</v>
      </c>
      <c r="D1045">
        <v>4.6919940000000002</v>
      </c>
      <c r="E1045">
        <v>0.61426879999999995</v>
      </c>
      <c r="F1045" t="s">
        <v>61</v>
      </c>
      <c r="G1045">
        <v>-511.83510000000001</v>
      </c>
      <c r="H1045">
        <v>44.979750000000003</v>
      </c>
      <c r="I1045">
        <v>311.1259</v>
      </c>
      <c r="J1045">
        <v>-247.8749</v>
      </c>
      <c r="K1045">
        <v>1.109585</v>
      </c>
      <c r="L1045">
        <v>282.279</v>
      </c>
      <c r="M1045">
        <v>-0.99958049999999998</v>
      </c>
      <c r="N1045">
        <v>0</v>
      </c>
      <c r="O1045">
        <v>2.557214E-2</v>
      </c>
      <c r="P1045">
        <v>-0.98670979999999997</v>
      </c>
      <c r="Q1045">
        <v>0.16145909999999999</v>
      </c>
      <c r="R1045">
        <v>-1.8304339999999999E-2</v>
      </c>
      <c r="S1045">
        <v>-2.966431</v>
      </c>
      <c r="T1045">
        <v>0.49245889999999998</v>
      </c>
      <c r="U1045">
        <v>0.32391360000000002</v>
      </c>
      <c r="V1045">
        <v>-4.3095250000000002E-2</v>
      </c>
      <c r="W1045">
        <v>0.17496879999999901</v>
      </c>
      <c r="X1045">
        <v>0.98363040000000002</v>
      </c>
      <c r="Y1045">
        <v>8.2321859999999997E-2</v>
      </c>
      <c r="Z1045">
        <v>-2.564261E-3</v>
      </c>
      <c r="AA1045">
        <v>0.99660249999999995</v>
      </c>
      <c r="AB1045">
        <v>30</v>
      </c>
      <c r="AC1045">
        <v>-263.96019999999999</v>
      </c>
      <c r="AD1045">
        <v>43.870165</v>
      </c>
      <c r="AE1045">
        <v>28.846900000000002</v>
      </c>
      <c r="AF1045">
        <v>21.499942257053998</v>
      </c>
      <c r="AG1045">
        <v>43.870165</v>
      </c>
      <c r="AH1045">
        <v>257.58058417073198</v>
      </c>
      <c r="AI1045">
        <v>80.367210411949898</v>
      </c>
      <c r="AJ1045">
        <v>85.228650257758503</v>
      </c>
      <c r="AK1045">
        <v>262.17283657144799</v>
      </c>
      <c r="AL1045">
        <v>79.923157764570107</v>
      </c>
      <c r="AM1045">
        <v>92.508663694529702</v>
      </c>
      <c r="AN1045">
        <v>1.00000002267508</v>
      </c>
    </row>
    <row r="1046" spans="1:40" x14ac:dyDescent="0.3">
      <c r="A1046" t="str">
        <f>"20200111150743242"</f>
        <v>20200111150743242</v>
      </c>
      <c r="B1046" t="str">
        <f>"1578726463231946"</f>
        <v>1578726463231946</v>
      </c>
      <c r="C1046" t="s">
        <v>40</v>
      </c>
      <c r="D1046">
        <v>5.0930049999999998</v>
      </c>
      <c r="E1046">
        <v>0.60300589999999998</v>
      </c>
      <c r="F1046" t="s">
        <v>62</v>
      </c>
      <c r="G1046">
        <v>-347.81189999999998</v>
      </c>
      <c r="H1046">
        <v>8.6966719999999995</v>
      </c>
      <c r="I1046">
        <v>310.86880000000002</v>
      </c>
      <c r="J1046">
        <v>-248.17169999999999</v>
      </c>
      <c r="K1046">
        <v>1.109585</v>
      </c>
      <c r="L1046">
        <v>282.28800000000001</v>
      </c>
      <c r="M1046">
        <v>-0.99954829999999995</v>
      </c>
      <c r="N1046">
        <v>0</v>
      </c>
      <c r="O1046">
        <v>2.6800290000000001E-2</v>
      </c>
      <c r="P1046">
        <v>-0.98662229999999995</v>
      </c>
      <c r="Q1046">
        <v>0.1621533</v>
      </c>
      <c r="R1046">
        <v>-1.681357E-2</v>
      </c>
      <c r="S1046">
        <v>-3.0189210000000002</v>
      </c>
      <c r="T1046">
        <v>0.2291927</v>
      </c>
      <c r="U1046">
        <v>0.86364750000000001</v>
      </c>
      <c r="V1046">
        <v>-4.2812700000000002E-2</v>
      </c>
      <c r="W1046">
        <v>0.17565939999999999</v>
      </c>
      <c r="X1046">
        <v>0.98351960000000005</v>
      </c>
      <c r="Y1046">
        <v>0.2485878</v>
      </c>
      <c r="Z1046">
        <v>-7.2480859999999999E-3</v>
      </c>
      <c r="AA1046">
        <v>0.96858219999999995</v>
      </c>
      <c r="AB1046">
        <v>30</v>
      </c>
      <c r="AC1046">
        <v>-99.640199999999993</v>
      </c>
      <c r="AD1046">
        <v>7.5870869999999897</v>
      </c>
      <c r="AE1046">
        <v>28.5808</v>
      </c>
      <c r="AF1046">
        <v>25.7618858492005</v>
      </c>
      <c r="AG1046">
        <v>7.5870869999999897</v>
      </c>
      <c r="AH1046">
        <v>99.835603033246997</v>
      </c>
      <c r="AI1046">
        <v>85.791452586780494</v>
      </c>
      <c r="AJ1046">
        <v>75.530857768405895</v>
      </c>
      <c r="AK1046">
        <v>103.38465207498101</v>
      </c>
      <c r="AL1046">
        <v>79.882966386114305</v>
      </c>
      <c r="AM1046">
        <v>92.492517094362597</v>
      </c>
      <c r="AN1046">
        <v>0.99999997783690397</v>
      </c>
    </row>
    <row r="1047" spans="1:40" x14ac:dyDescent="0.3">
      <c r="A1047" t="str">
        <f>"20200111150743265"</f>
        <v>20200111150743265</v>
      </c>
      <c r="B1047" t="str">
        <f>"1578726463262199"</f>
        <v>1578726463262199</v>
      </c>
      <c r="C1047" t="s">
        <v>40</v>
      </c>
      <c r="D1047">
        <v>5.36313</v>
      </c>
      <c r="E1047">
        <v>0.59701009999999999</v>
      </c>
      <c r="F1047" t="s">
        <v>62</v>
      </c>
      <c r="G1047">
        <v>-358.55770000000001</v>
      </c>
      <c r="H1047">
        <v>7.0035550000000004</v>
      </c>
      <c r="I1047">
        <v>310.7337</v>
      </c>
      <c r="J1047">
        <v>-248.4615</v>
      </c>
      <c r="K1047">
        <v>1.1095820000000001</v>
      </c>
      <c r="L1047">
        <v>282.29700000000003</v>
      </c>
      <c r="M1047">
        <v>-0.99951540000000005</v>
      </c>
      <c r="N1047">
        <v>0</v>
      </c>
      <c r="O1047">
        <v>2.8000299999999999E-2</v>
      </c>
      <c r="P1047">
        <v>-0.98661410000000005</v>
      </c>
      <c r="Q1047">
        <v>0.162358</v>
      </c>
      <c r="R1047">
        <v>-1.5254469999999999E-2</v>
      </c>
      <c r="S1047">
        <v>-3.0274350000000001</v>
      </c>
      <c r="T1047">
        <v>0.1616476</v>
      </c>
      <c r="U1047">
        <v>0.78015140000000005</v>
      </c>
      <c r="V1047">
        <v>-4.2437839999999998E-2</v>
      </c>
      <c r="W1047">
        <v>0.1758612</v>
      </c>
      <c r="X1047">
        <v>0.98349980000000004</v>
      </c>
      <c r="Y1047">
        <v>0.22206780000000001</v>
      </c>
      <c r="Z1047">
        <v>-4.3606110000000003E-3</v>
      </c>
      <c r="AA1047">
        <v>0.97502149999999999</v>
      </c>
      <c r="AB1047">
        <v>30</v>
      </c>
      <c r="AC1047">
        <v>-110.0962</v>
      </c>
      <c r="AD1047">
        <v>5.8939729999999999</v>
      </c>
      <c r="AE1047">
        <v>28.436699999999899</v>
      </c>
      <c r="AF1047">
        <v>25.274630506919198</v>
      </c>
      <c r="AG1047">
        <v>5.8939729999999999</v>
      </c>
      <c r="AH1047">
        <v>110.552310609402</v>
      </c>
      <c r="AI1047">
        <v>87.024847468763994</v>
      </c>
      <c r="AJ1047">
        <v>77.122274283391704</v>
      </c>
      <c r="AK1047">
        <v>113.55773529823399</v>
      </c>
      <c r="AL1047">
        <v>79.871221429222103</v>
      </c>
      <c r="AM1047">
        <v>92.470769923866399</v>
      </c>
      <c r="AN1047">
        <v>0.99999999426467201</v>
      </c>
    </row>
    <row r="1048" spans="1:40" x14ac:dyDescent="0.3">
      <c r="A1048" t="str">
        <f>"20200111150743286"</f>
        <v>20200111150743286</v>
      </c>
      <c r="B1048" t="str">
        <f>"1578726463281719"</f>
        <v>1578726463281719</v>
      </c>
      <c r="C1048" t="s">
        <v>40</v>
      </c>
      <c r="D1048">
        <v>6.7562550000000003</v>
      </c>
      <c r="E1048">
        <v>0.60027969999999997</v>
      </c>
      <c r="F1048" t="s">
        <v>63</v>
      </c>
      <c r="G1048">
        <v>-385.298</v>
      </c>
      <c r="H1048">
        <v>8.3271619999999995</v>
      </c>
      <c r="I1048">
        <v>315.64800000000002</v>
      </c>
      <c r="J1048">
        <v>-248.75550000000001</v>
      </c>
      <c r="K1048">
        <v>1.1095839999999999</v>
      </c>
      <c r="L1048">
        <v>282.3066</v>
      </c>
      <c r="M1048">
        <v>-0.9994807</v>
      </c>
      <c r="N1048">
        <v>0</v>
      </c>
      <c r="O1048">
        <v>2.9217300000000002E-2</v>
      </c>
      <c r="P1048">
        <v>-0.98672769999999999</v>
      </c>
      <c r="Q1048">
        <v>0.16177510000000001</v>
      </c>
      <c r="R1048">
        <v>-1.4054860000000001E-2</v>
      </c>
      <c r="S1048">
        <v>-3.0258479999999999</v>
      </c>
      <c r="T1048">
        <v>0.15960429999999901</v>
      </c>
      <c r="U1048">
        <v>0.73748780000000003</v>
      </c>
      <c r="V1048">
        <v>-4.2444679999999999E-2</v>
      </c>
      <c r="W1048">
        <v>0.17527770000000001</v>
      </c>
      <c r="X1048">
        <v>0.98360369999999997</v>
      </c>
      <c r="Y1048">
        <v>0.20807300000000001</v>
      </c>
      <c r="Z1048">
        <v>-3.888318E-3</v>
      </c>
      <c r="AA1048">
        <v>0.97810560000000002</v>
      </c>
      <c r="AB1048">
        <v>30</v>
      </c>
      <c r="AC1048">
        <v>-136.54249999999999</v>
      </c>
      <c r="AD1048">
        <v>7.2175779999999996</v>
      </c>
      <c r="AE1048">
        <v>33.341399999999901</v>
      </c>
      <c r="AF1048">
        <v>29.260235231301198</v>
      </c>
      <c r="AG1048">
        <v>7.2175779999999996</v>
      </c>
      <c r="AH1048">
        <v>137.09692076262101</v>
      </c>
      <c r="AI1048">
        <v>87.052658565925597</v>
      </c>
      <c r="AJ1048">
        <v>77.952271588285001</v>
      </c>
      <c r="AK1048">
        <v>140.3702977149</v>
      </c>
      <c r="AL1048">
        <v>79.905181382685399</v>
      </c>
      <c r="AM1048">
        <v>92.470906950525602</v>
      </c>
      <c r="AN1048">
        <v>1.00000003081564</v>
      </c>
    </row>
    <row r="1049" spans="1:40" x14ac:dyDescent="0.3">
      <c r="A1049" t="str">
        <f>"20200111150743310"</f>
        <v>20200111150743310</v>
      </c>
      <c r="B1049" t="str">
        <f>"1578726463302215"</f>
        <v>1578726463302215</v>
      </c>
      <c r="C1049" t="s">
        <v>40</v>
      </c>
      <c r="D1049">
        <v>5.8245680000000002</v>
      </c>
      <c r="E1049">
        <v>0.59903109999999904</v>
      </c>
      <c r="F1049" t="s">
        <v>64</v>
      </c>
      <c r="G1049">
        <v>-381.6771</v>
      </c>
      <c r="H1049">
        <v>7.4019149999999998</v>
      </c>
      <c r="I1049">
        <v>316.0172</v>
      </c>
      <c r="J1049">
        <v>-249.06659999999999</v>
      </c>
      <c r="K1049">
        <v>1.109583</v>
      </c>
      <c r="L1049">
        <v>282.31709999999998</v>
      </c>
      <c r="M1049">
        <v>-0.99944200000000005</v>
      </c>
      <c r="N1049">
        <v>0</v>
      </c>
      <c r="O1049">
        <v>3.050576E-2</v>
      </c>
      <c r="P1049">
        <v>-0.986842</v>
      </c>
      <c r="Q1049">
        <v>0.1611938</v>
      </c>
      <c r="R1049">
        <v>-1.261991E-2</v>
      </c>
      <c r="S1049">
        <v>-3.0277859999999999</v>
      </c>
      <c r="T1049">
        <v>0.14333460000000001</v>
      </c>
      <c r="U1049">
        <v>0.76788330000000005</v>
      </c>
      <c r="V1049">
        <v>-4.2286839999999999E-2</v>
      </c>
      <c r="W1049">
        <v>0.1746955</v>
      </c>
      <c r="X1049">
        <v>0.98371399999999998</v>
      </c>
      <c r="Y1049">
        <v>0.215948</v>
      </c>
      <c r="Z1049">
        <v>-3.609634E-3</v>
      </c>
      <c r="AA1049">
        <v>0.97639819999999999</v>
      </c>
      <c r="AB1049">
        <v>30</v>
      </c>
      <c r="AC1049">
        <v>-132.6105</v>
      </c>
      <c r="AD1049">
        <v>6.292332</v>
      </c>
      <c r="AE1049">
        <v>33.700099999999999</v>
      </c>
      <c r="AF1049">
        <v>29.576103927072602</v>
      </c>
      <c r="AG1049">
        <v>6.292332</v>
      </c>
      <c r="AH1049">
        <v>133.29500794875801</v>
      </c>
      <c r="AI1049">
        <v>87.361377386299296</v>
      </c>
      <c r="AJ1049">
        <v>77.489629906898202</v>
      </c>
      <c r="AK1049">
        <v>136.681741683236</v>
      </c>
      <c r="AL1049">
        <v>79.939061053725595</v>
      </c>
      <c r="AM1049">
        <v>92.461453972977395</v>
      </c>
      <c r="AN1049">
        <v>0.99999996417671699</v>
      </c>
    </row>
    <row r="1050" spans="1:40" x14ac:dyDescent="0.3">
      <c r="A1050" t="str">
        <f>"20200111150743332"</f>
        <v>20200111150743332</v>
      </c>
      <c r="B1050" t="str">
        <f>"1578726463321735"</f>
        <v>1578726463321735</v>
      </c>
      <c r="C1050" t="s">
        <v>40</v>
      </c>
      <c r="D1050">
        <v>5.2142460000000002</v>
      </c>
      <c r="E1050">
        <v>0.59830530000000004</v>
      </c>
      <c r="F1050" t="s">
        <v>62</v>
      </c>
      <c r="G1050">
        <v>-359.4665</v>
      </c>
      <c r="H1050">
        <v>7.5667200000000001</v>
      </c>
      <c r="I1050">
        <v>310.13240000000002</v>
      </c>
      <c r="J1050">
        <v>-249.37459999999999</v>
      </c>
      <c r="K1050">
        <v>1.1095809999999999</v>
      </c>
      <c r="L1050">
        <v>282.3279</v>
      </c>
      <c r="M1050">
        <v>-0.99940229999999997</v>
      </c>
      <c r="N1050">
        <v>0</v>
      </c>
      <c r="O1050">
        <v>3.1781289999999997E-2</v>
      </c>
      <c r="P1050">
        <v>-0.98702780000000001</v>
      </c>
      <c r="Q1050">
        <v>0.16015450000000001</v>
      </c>
      <c r="R1050">
        <v>-1.1266780000000001E-2</v>
      </c>
      <c r="S1050">
        <v>-3.0208740000000001</v>
      </c>
      <c r="T1050">
        <v>0.1766868</v>
      </c>
      <c r="U1050">
        <v>0.76110840000000002</v>
      </c>
      <c r="V1050">
        <v>-4.2201830000000003E-2</v>
      </c>
      <c r="W1050">
        <v>0.17365639999999999</v>
      </c>
      <c r="X1050">
        <v>0.98390160000000004</v>
      </c>
      <c r="Y1050">
        <v>0.2130794</v>
      </c>
      <c r="Z1050">
        <v>-4.3035959999999998E-3</v>
      </c>
      <c r="AA1050">
        <v>0.97702540000000004</v>
      </c>
      <c r="AB1050">
        <v>30</v>
      </c>
      <c r="AC1050">
        <v>-110.0919</v>
      </c>
      <c r="AD1050">
        <v>6.4571389999999997</v>
      </c>
      <c r="AE1050">
        <v>27.804500000000001</v>
      </c>
      <c r="AF1050">
        <v>24.2129652715285</v>
      </c>
      <c r="AG1050">
        <v>6.4571389999999997</v>
      </c>
      <c r="AH1050">
        <v>110.562482118153</v>
      </c>
      <c r="AI1050">
        <v>86.734782660808804</v>
      </c>
      <c r="AJ1050">
        <v>77.647351569167895</v>
      </c>
      <c r="AK1050">
        <v>113.366771072623</v>
      </c>
      <c r="AL1050">
        <v>79.999521112848498</v>
      </c>
      <c r="AM1050">
        <v>92.456043927148997</v>
      </c>
      <c r="AN1050">
        <v>0.99999994909943302</v>
      </c>
    </row>
    <row r="1051" spans="1:40" x14ac:dyDescent="0.3">
      <c r="A1051" t="str">
        <f>"20200111150743353"</f>
        <v>20200111150743353</v>
      </c>
      <c r="B1051" t="str">
        <f>"1578726463351990"</f>
        <v>1578726463351990</v>
      </c>
      <c r="C1051" t="s">
        <v>40</v>
      </c>
      <c r="D1051">
        <v>5.2429110000000003</v>
      </c>
      <c r="E1051">
        <v>0.5972326</v>
      </c>
      <c r="F1051" t="s">
        <v>64</v>
      </c>
      <c r="G1051">
        <v>-379.63740000000001</v>
      </c>
      <c r="H1051">
        <v>6.1861969999999999</v>
      </c>
      <c r="I1051">
        <v>315.04680000000002</v>
      </c>
      <c r="J1051">
        <v>-249.66470000000001</v>
      </c>
      <c r="K1051">
        <v>1.109578</v>
      </c>
      <c r="L1051">
        <v>282.33850000000001</v>
      </c>
      <c r="M1051">
        <v>-0.99936349999999996</v>
      </c>
      <c r="N1051">
        <v>0</v>
      </c>
      <c r="O1051">
        <v>3.2983030000000003E-2</v>
      </c>
      <c r="P1051">
        <v>-0.98714080000000004</v>
      </c>
      <c r="Q1051">
        <v>0.15953419999999999</v>
      </c>
      <c r="R1051">
        <v>-1.0097709999999999E-2</v>
      </c>
      <c r="S1051">
        <v>-3.0289609999999998</v>
      </c>
      <c r="T1051">
        <v>0.11804829999999999</v>
      </c>
      <c r="U1051">
        <v>0.76080319999999901</v>
      </c>
      <c r="V1051">
        <v>-4.2225749999999999E-2</v>
      </c>
      <c r="W1051">
        <v>0.1730361</v>
      </c>
      <c r="X1051">
        <v>0.98400989999999999</v>
      </c>
      <c r="Y1051">
        <v>0.2113572</v>
      </c>
      <c r="Z1051">
        <v>-2.7901810000000001E-3</v>
      </c>
      <c r="AA1051">
        <v>0.97740490000000002</v>
      </c>
      <c r="AB1051">
        <v>30</v>
      </c>
      <c r="AC1051">
        <v>-129.9727</v>
      </c>
      <c r="AD1051">
        <v>5.076619</v>
      </c>
      <c r="AE1051">
        <v>32.708300000000001</v>
      </c>
      <c r="AF1051">
        <v>28.362517905939601</v>
      </c>
      <c r="AG1051">
        <v>5.076619</v>
      </c>
      <c r="AH1051">
        <v>130.79323303957901</v>
      </c>
      <c r="AI1051">
        <v>87.827671730114204</v>
      </c>
      <c r="AJ1051">
        <v>77.764842256443103</v>
      </c>
      <c r="AK1051">
        <v>133.92936306643699</v>
      </c>
      <c r="AL1051">
        <v>80.035608466786996</v>
      </c>
      <c r="AM1051">
        <v>92.457164173504296</v>
      </c>
      <c r="AN1051">
        <v>0.99999999458214095</v>
      </c>
    </row>
    <row r="1052" spans="1:40" x14ac:dyDescent="0.3">
      <c r="A1052" t="str">
        <f>"20200111150743375"</f>
        <v>20200111150743375</v>
      </c>
      <c r="B1052" t="str">
        <f>"1578726463372487"</f>
        <v>1578726463372487</v>
      </c>
      <c r="C1052" t="s">
        <v>40</v>
      </c>
      <c r="D1052">
        <v>5.5040769999999997</v>
      </c>
      <c r="E1052">
        <v>0.59679609999999905</v>
      </c>
      <c r="F1052" t="s">
        <v>65</v>
      </c>
      <c r="G1052">
        <v>-328.08019999999999</v>
      </c>
      <c r="H1052">
        <v>2.5931510000000002</v>
      </c>
      <c r="I1052">
        <v>301.88839999999999</v>
      </c>
      <c r="J1052">
        <v>-249.94290000000001</v>
      </c>
      <c r="K1052">
        <v>1.1095660000000001</v>
      </c>
      <c r="L1052">
        <v>282.34890000000001</v>
      </c>
      <c r="M1052">
        <v>-0.99932480000000001</v>
      </c>
      <c r="N1052">
        <v>0</v>
      </c>
      <c r="O1052">
        <v>3.4136069999999998E-2</v>
      </c>
      <c r="P1052">
        <v>-0.98737929999999996</v>
      </c>
      <c r="Q1052">
        <v>0.15809019999999999</v>
      </c>
      <c r="R1052">
        <v>-9.4824729999999999E-3</v>
      </c>
      <c r="S1052">
        <v>-3.0375369999999999</v>
      </c>
      <c r="T1052">
        <v>5.7471389999999997E-2</v>
      </c>
      <c r="U1052">
        <v>0.75729369999999996</v>
      </c>
      <c r="V1052">
        <v>-4.2761269999999997E-2</v>
      </c>
      <c r="W1052">
        <v>0.171595</v>
      </c>
      <c r="X1052">
        <v>0.98423910000000003</v>
      </c>
      <c r="Y1052">
        <v>0.2086114</v>
      </c>
      <c r="Z1052">
        <v>-1.308212E-3</v>
      </c>
      <c r="AA1052">
        <v>0.97799769999999997</v>
      </c>
      <c r="AB1052">
        <v>30</v>
      </c>
      <c r="AC1052">
        <v>-78.137299999999897</v>
      </c>
      <c r="AD1052">
        <v>1.4835849999999899</v>
      </c>
      <c r="AE1052">
        <v>19.539499999999901</v>
      </c>
      <c r="AF1052">
        <v>16.854844894748101</v>
      </c>
      <c r="AG1052">
        <v>1.4835849999999899</v>
      </c>
      <c r="AH1052">
        <v>78.732103398327993</v>
      </c>
      <c r="AI1052">
        <v>88.944389722161006</v>
      </c>
      <c r="AJ1052">
        <v>77.916598645014005</v>
      </c>
      <c r="AK1052">
        <v>80.529689720023498</v>
      </c>
      <c r="AL1052">
        <v>80.1194311964571</v>
      </c>
      <c r="AM1052">
        <v>92.487709044748897</v>
      </c>
      <c r="AN1052">
        <v>0.99999998810291102</v>
      </c>
    </row>
    <row r="1053" spans="1:40" x14ac:dyDescent="0.3">
      <c r="A1053" t="str">
        <f>"20200111150743398"</f>
        <v>20200111150743398</v>
      </c>
      <c r="B1053" t="str">
        <f>"1578726463392010"</f>
        <v>1578726463392010</v>
      </c>
      <c r="C1053" t="s">
        <v>40</v>
      </c>
      <c r="D1053">
        <v>5.2226480000000004</v>
      </c>
      <c r="E1053">
        <v>0.59586989999999995</v>
      </c>
      <c r="F1053" t="s">
        <v>65</v>
      </c>
      <c r="G1053">
        <v>-328.48340000000002</v>
      </c>
      <c r="H1053">
        <v>2.1005609999999999</v>
      </c>
      <c r="I1053">
        <v>301.88839999999999</v>
      </c>
      <c r="J1053">
        <v>-250.2576</v>
      </c>
      <c r="K1053">
        <v>1.1095649999999999</v>
      </c>
      <c r="L1053">
        <v>282.36110000000002</v>
      </c>
      <c r="M1053">
        <v>-0.99927940000000004</v>
      </c>
      <c r="N1053">
        <v>0</v>
      </c>
      <c r="O1053">
        <v>3.5440149999999997E-2</v>
      </c>
      <c r="P1053">
        <v>-0.98749240000000005</v>
      </c>
      <c r="Q1053">
        <v>0.15744900000000001</v>
      </c>
      <c r="R1053">
        <v>-8.2780570000000001E-3</v>
      </c>
      <c r="S1053">
        <v>-3.0394589999999999</v>
      </c>
      <c r="T1053">
        <v>3.835392E-2</v>
      </c>
      <c r="U1053">
        <v>0.75616459999999996</v>
      </c>
      <c r="V1053">
        <v>-4.2851060000000003E-2</v>
      </c>
      <c r="W1053">
        <v>0.17095379999999999</v>
      </c>
      <c r="X1053">
        <v>0.98434679999999997</v>
      </c>
      <c r="Y1053">
        <v>0.20686399999999999</v>
      </c>
      <c r="Z1053">
        <v>-8.4556029999999997E-4</v>
      </c>
      <c r="AA1053">
        <v>0.97836939999999994</v>
      </c>
      <c r="AB1053">
        <v>30</v>
      </c>
      <c r="AC1053">
        <v>-78.225800000000007</v>
      </c>
      <c r="AD1053">
        <v>0.99099599999999899</v>
      </c>
      <c r="AE1053">
        <v>19.527299999999901</v>
      </c>
      <c r="AF1053">
        <v>16.739911608332601</v>
      </c>
      <c r="AG1053">
        <v>0.99099599999999899</v>
      </c>
      <c r="AH1053">
        <v>78.856850616417006</v>
      </c>
      <c r="AI1053">
        <v>89.295693274563703</v>
      </c>
      <c r="AJ1053">
        <v>78.015036997892196</v>
      </c>
      <c r="AK1053">
        <v>80.620156306389703</v>
      </c>
      <c r="AL1053">
        <v>80.156720564178997</v>
      </c>
      <c r="AM1053">
        <v>92.492653732648506</v>
      </c>
      <c r="AN1053">
        <v>1.0000000188739</v>
      </c>
    </row>
    <row r="1054" spans="1:40" x14ac:dyDescent="0.3">
      <c r="A1054" t="str">
        <f>"20200111150743421"</f>
        <v>20200111150743421</v>
      </c>
      <c r="B1054" t="str">
        <f>"1578726463412503"</f>
        <v>1578726463412503</v>
      </c>
      <c r="C1054" t="s">
        <v>40</v>
      </c>
      <c r="D1054">
        <v>5.2672639999999999</v>
      </c>
      <c r="E1054">
        <v>0.59517089999999995</v>
      </c>
      <c r="F1054" t="s">
        <v>65</v>
      </c>
      <c r="G1054">
        <v>-329.09559999999999</v>
      </c>
      <c r="H1054">
        <v>1.4205950000000001</v>
      </c>
      <c r="I1054">
        <v>301.88839999999999</v>
      </c>
      <c r="J1054">
        <v>-250.55609999999999</v>
      </c>
      <c r="K1054">
        <v>1.109567</v>
      </c>
      <c r="L1054">
        <v>282.37299999999999</v>
      </c>
      <c r="M1054">
        <v>-0.99923479999999998</v>
      </c>
      <c r="N1054">
        <v>0</v>
      </c>
      <c r="O1054">
        <v>3.6677649999999999E-2</v>
      </c>
      <c r="P1054">
        <v>-0.98742770000000002</v>
      </c>
      <c r="Q1054">
        <v>0.15792049999999999</v>
      </c>
      <c r="R1054">
        <v>-6.907552E-3</v>
      </c>
      <c r="S1054">
        <v>-3.0424039999999999</v>
      </c>
      <c r="T1054">
        <v>1.200593E-2</v>
      </c>
      <c r="U1054">
        <v>0.75357059999999998</v>
      </c>
      <c r="V1054">
        <v>-4.2700630000000003E-2</v>
      </c>
      <c r="W1054">
        <v>0.17142209999999999</v>
      </c>
      <c r="X1054">
        <v>0.98427189999999998</v>
      </c>
      <c r="Y1054">
        <v>0.2046558</v>
      </c>
      <c r="Z1054">
        <v>-2.5538189999999998E-4</v>
      </c>
      <c r="AA1054">
        <v>0.97883399999999998</v>
      </c>
      <c r="AB1054">
        <v>30</v>
      </c>
      <c r="AC1054">
        <v>-78.539500000000004</v>
      </c>
      <c r="AD1054">
        <v>0.31102800000000003</v>
      </c>
      <c r="AE1054">
        <v>19.5154</v>
      </c>
      <c r="AF1054">
        <v>16.621110943358602</v>
      </c>
      <c r="AG1054">
        <v>0.31102800000000003</v>
      </c>
      <c r="AH1054">
        <v>79.201320038693893</v>
      </c>
      <c r="AI1054">
        <v>89.779794163716005</v>
      </c>
      <c r="AJ1054">
        <v>78.147957803405006</v>
      </c>
      <c r="AK1054">
        <v>80.927171971346098</v>
      </c>
      <c r="AL1054">
        <v>80.129487016255098</v>
      </c>
      <c r="AM1054">
        <v>92.484102953470099</v>
      </c>
      <c r="AN1054">
        <v>1.0000000266502</v>
      </c>
    </row>
    <row r="1055" spans="1:40" x14ac:dyDescent="0.3">
      <c r="A1055" t="str">
        <f>"20200111150743444"</f>
        <v>20200111150743444</v>
      </c>
      <c r="B1055" t="str">
        <f>"1578726463441784"</f>
        <v>1578726463441784</v>
      </c>
      <c r="C1055" t="s">
        <v>40</v>
      </c>
      <c r="D1055">
        <v>5.3513519999999897</v>
      </c>
      <c r="E1055">
        <v>0.59359689999999998</v>
      </c>
      <c r="F1055" t="s">
        <v>65</v>
      </c>
      <c r="G1055">
        <v>-329.4821</v>
      </c>
      <c r="H1055">
        <v>0.90493179999999995</v>
      </c>
      <c r="I1055">
        <v>301.88839999999999</v>
      </c>
      <c r="J1055">
        <v>-250.8734</v>
      </c>
      <c r="K1055">
        <v>1.109572</v>
      </c>
      <c r="L1055">
        <v>282.38619999999997</v>
      </c>
      <c r="M1055">
        <v>-0.99918569999999995</v>
      </c>
      <c r="N1055">
        <v>0</v>
      </c>
      <c r="O1055">
        <v>3.7992930000000001E-2</v>
      </c>
      <c r="P1055">
        <v>-0.9873826</v>
      </c>
      <c r="Q1055">
        <v>0.15824440000000001</v>
      </c>
      <c r="R1055">
        <v>-5.87793E-3</v>
      </c>
      <c r="S1055">
        <v>-3.044708</v>
      </c>
      <c r="T1055">
        <v>-7.8910590000000006E-3</v>
      </c>
      <c r="U1055">
        <v>0.75283809999999995</v>
      </c>
      <c r="V1055">
        <v>-4.2968510000000001E-2</v>
      </c>
      <c r="W1055">
        <v>0.17174389999999901</v>
      </c>
      <c r="X1055">
        <v>0.98420410000000003</v>
      </c>
      <c r="Y1055">
        <v>0.20297299999999999</v>
      </c>
      <c r="Z1055">
        <v>1.6223729999999999E-4</v>
      </c>
      <c r="AA1055">
        <v>0.97918430000000001</v>
      </c>
      <c r="AB1055">
        <v>30</v>
      </c>
      <c r="AC1055">
        <v>-78.608699999999999</v>
      </c>
      <c r="AD1055">
        <v>-0.204640199999999</v>
      </c>
      <c r="AE1055">
        <v>19.502199999999998</v>
      </c>
      <c r="AF1055">
        <v>16.5011612758856</v>
      </c>
      <c r="AG1055">
        <v>-0.204640199999999</v>
      </c>
      <c r="AH1055">
        <v>79.292442531784502</v>
      </c>
      <c r="AI1055">
        <v>90.144768692161193</v>
      </c>
      <c r="AJ1055">
        <v>78.244244766828004</v>
      </c>
      <c r="AK1055">
        <v>80.991491180991304</v>
      </c>
      <c r="AL1055">
        <v>80.1107712666184</v>
      </c>
      <c r="AM1055">
        <v>92.499839107212097</v>
      </c>
      <c r="AN1055">
        <v>0.99999998524781997</v>
      </c>
    </row>
    <row r="1056" spans="1:40" x14ac:dyDescent="0.3">
      <c r="A1056" t="str">
        <f>"20200111150743467"</f>
        <v>20200111150743467</v>
      </c>
      <c r="B1056" t="str">
        <f>"1578726463462280"</f>
        <v>1578726463462280</v>
      </c>
      <c r="C1056" t="s">
        <v>40</v>
      </c>
      <c r="D1056">
        <v>5.3174109999999999</v>
      </c>
      <c r="E1056">
        <v>0.59287840000000003</v>
      </c>
      <c r="F1056" t="s">
        <v>65</v>
      </c>
      <c r="G1056">
        <v>-330.71010000000001</v>
      </c>
      <c r="H1056">
        <v>0.3885248</v>
      </c>
      <c r="I1056">
        <v>301.88839999999999</v>
      </c>
      <c r="J1056">
        <v>-251.1636</v>
      </c>
      <c r="K1056">
        <v>1.109561</v>
      </c>
      <c r="L1056">
        <v>282.39850000000001</v>
      </c>
      <c r="M1056">
        <v>-0.99913920000000001</v>
      </c>
      <c r="N1056">
        <v>0</v>
      </c>
      <c r="O1056">
        <v>3.9195920000000002E-2</v>
      </c>
      <c r="P1056">
        <v>-0.98749589999999998</v>
      </c>
      <c r="Q1056">
        <v>0.15755769999999999</v>
      </c>
      <c r="R1056">
        <v>-5.2210650000000004E-3</v>
      </c>
      <c r="S1056">
        <v>-3.04718</v>
      </c>
      <c r="T1056">
        <v>-2.7517679999999999E-2</v>
      </c>
      <c r="U1056">
        <v>0.74435419999999997</v>
      </c>
      <c r="V1056">
        <v>-4.350644E-2</v>
      </c>
      <c r="W1056">
        <v>0.1710585</v>
      </c>
      <c r="X1056">
        <v>0.98429979999999995</v>
      </c>
      <c r="Y1056">
        <v>0.1990307</v>
      </c>
      <c r="Z1056">
        <v>5.3725959999999999E-4</v>
      </c>
      <c r="AA1056">
        <v>0.97999309999999995</v>
      </c>
      <c r="AB1056">
        <v>30</v>
      </c>
      <c r="AC1056">
        <v>-79.546499999999995</v>
      </c>
      <c r="AD1056">
        <v>-0.72103619999999902</v>
      </c>
      <c r="AE1056">
        <v>19.489899999999899</v>
      </c>
      <c r="AF1056">
        <v>16.355466440764001</v>
      </c>
      <c r="AG1056">
        <v>-0.72103619999999902</v>
      </c>
      <c r="AH1056">
        <v>80.243136256247297</v>
      </c>
      <c r="AI1056">
        <v>90.504454196439099</v>
      </c>
      <c r="AJ1056">
        <v>78.479558352413605</v>
      </c>
      <c r="AK1056">
        <v>81.896166527715593</v>
      </c>
      <c r="AL1056">
        <v>80.150631411107796</v>
      </c>
      <c r="AM1056">
        <v>92.530848794567603</v>
      </c>
      <c r="AN1056">
        <v>0.99999995851188095</v>
      </c>
    </row>
    <row r="1057" spans="1:40" x14ac:dyDescent="0.3">
      <c r="A1057" t="str">
        <f>"20200111150743488"</f>
        <v>20200111150743488</v>
      </c>
      <c r="B1057" t="str">
        <f>"1578726463481799"</f>
        <v>1578726463481799</v>
      </c>
      <c r="C1057" t="s">
        <v>40</v>
      </c>
      <c r="D1057">
        <v>5.2733189999999999</v>
      </c>
      <c r="E1057">
        <v>0.59233219999999998</v>
      </c>
      <c r="F1057" t="s">
        <v>65</v>
      </c>
      <c r="G1057">
        <v>-331.30709999999999</v>
      </c>
      <c r="H1057">
        <v>5.6934129999999999E-2</v>
      </c>
      <c r="I1057">
        <v>301.88839999999999</v>
      </c>
      <c r="J1057">
        <v>-251.45320000000001</v>
      </c>
      <c r="K1057">
        <v>1.1095549999999901</v>
      </c>
      <c r="L1057">
        <v>282.41120000000001</v>
      </c>
      <c r="M1057">
        <v>-0.99909130000000002</v>
      </c>
      <c r="N1057">
        <v>0</v>
      </c>
      <c r="O1057">
        <v>4.0395630000000002E-2</v>
      </c>
      <c r="P1057">
        <v>-0.98768370000000005</v>
      </c>
      <c r="Q1057">
        <v>0.15641360000000001</v>
      </c>
      <c r="R1057">
        <v>-3.9491090000000001E-3</v>
      </c>
      <c r="S1057">
        <v>-3.048279</v>
      </c>
      <c r="T1057">
        <v>-4.0033939999999997E-2</v>
      </c>
      <c r="U1057">
        <v>0.74130249999999998</v>
      </c>
      <c r="V1057">
        <v>-4.3431610000000002E-2</v>
      </c>
      <c r="W1057">
        <v>0.16991489999999901</v>
      </c>
      <c r="X1057">
        <v>0.98450119999999997</v>
      </c>
      <c r="Y1057">
        <v>0.19683929999999999</v>
      </c>
      <c r="Z1057">
        <v>7.5175990000000005E-4</v>
      </c>
      <c r="AA1057">
        <v>0.98043550000000002</v>
      </c>
      <c r="AB1057">
        <v>30</v>
      </c>
      <c r="AC1057">
        <v>-79.853899999999896</v>
      </c>
      <c r="AD1057">
        <v>-1.0526208699999999</v>
      </c>
      <c r="AE1057">
        <v>19.4771999999999</v>
      </c>
      <c r="AF1057">
        <v>16.232590205092698</v>
      </c>
      <c r="AG1057">
        <v>-1.0526208699999999</v>
      </c>
      <c r="AH1057">
        <v>80.562362204234503</v>
      </c>
      <c r="AI1057">
        <v>90.733832676160503</v>
      </c>
      <c r="AJ1057">
        <v>78.607949304100501</v>
      </c>
      <c r="AK1057">
        <v>82.188193795634007</v>
      </c>
      <c r="AL1057">
        <v>80.217128752991798</v>
      </c>
      <c r="AM1057">
        <v>92.525985264294306</v>
      </c>
      <c r="AN1057">
        <v>0.99999999539532103</v>
      </c>
    </row>
    <row r="1058" spans="1:40" x14ac:dyDescent="0.3">
      <c r="A1058" t="str">
        <f>"20200111150743511"</f>
        <v>20200111150743511</v>
      </c>
      <c r="B1058" t="str">
        <f>"1578726463502295"</f>
        <v>1578726463502295</v>
      </c>
      <c r="C1058" t="s">
        <v>40</v>
      </c>
      <c r="D1058">
        <v>5.3642699999999897</v>
      </c>
      <c r="E1058">
        <v>0.59176770000000001</v>
      </c>
      <c r="F1058" t="s">
        <v>58</v>
      </c>
      <c r="G1058">
        <v>-310.24560000000002</v>
      </c>
      <c r="H1058">
        <v>7.9999559999999997E-2</v>
      </c>
      <c r="I1058">
        <v>296.6986</v>
      </c>
      <c r="J1058">
        <v>-251.75229999999999</v>
      </c>
      <c r="K1058">
        <v>1.1095549999999901</v>
      </c>
      <c r="L1058">
        <v>282.42469999999997</v>
      </c>
      <c r="M1058">
        <v>-0.9990407</v>
      </c>
      <c r="N1058">
        <v>0</v>
      </c>
      <c r="O1058">
        <v>4.1630599999999997E-2</v>
      </c>
      <c r="P1058">
        <v>-0.9877764</v>
      </c>
      <c r="Q1058">
        <v>0.15586410000000001</v>
      </c>
      <c r="R1058">
        <v>-2.019898E-3</v>
      </c>
      <c r="S1058">
        <v>-3.0488279999999999</v>
      </c>
      <c r="T1058">
        <v>-5.3390149999999997E-2</v>
      </c>
      <c r="U1058">
        <v>0.74090579999999995</v>
      </c>
      <c r="V1058">
        <v>-4.2730150000000001E-2</v>
      </c>
      <c r="W1058">
        <v>0.16936319999999999</v>
      </c>
      <c r="X1058">
        <v>0.98462689999999997</v>
      </c>
      <c r="Y1058">
        <v>0.19545670000000001</v>
      </c>
      <c r="Z1058">
        <v>9.6918779999999999E-4</v>
      </c>
      <c r="AA1058">
        <v>0.98071189999999997</v>
      </c>
      <c r="AB1058">
        <v>30</v>
      </c>
      <c r="AC1058">
        <v>-58.493299999999998</v>
      </c>
      <c r="AD1058">
        <v>-1.02955543999999</v>
      </c>
      <c r="AE1058">
        <v>14.273899999999999</v>
      </c>
      <c r="AF1058">
        <v>11.8227304419056</v>
      </c>
      <c r="AG1058">
        <v>-1.02955543999999</v>
      </c>
      <c r="AH1058">
        <v>59.019610059895797</v>
      </c>
      <c r="AI1058">
        <v>90.979919459000598</v>
      </c>
      <c r="AJ1058">
        <v>78.672511796815201</v>
      </c>
      <c r="AK1058">
        <v>60.200924503932299</v>
      </c>
      <c r="AL1058">
        <v>80.249203232211102</v>
      </c>
      <c r="AM1058">
        <v>92.484923001881199</v>
      </c>
      <c r="AN1058">
        <v>0.99999994571843398</v>
      </c>
    </row>
    <row r="1059" spans="1:40" x14ac:dyDescent="0.3">
      <c r="A1059" t="str">
        <f>"20200111150743533"</f>
        <v>20200111150743533</v>
      </c>
      <c r="B1059" t="str">
        <f>"1578726463521815"</f>
        <v>1578726463521815</v>
      </c>
      <c r="C1059" t="s">
        <v>40</v>
      </c>
      <c r="D1059">
        <v>6.4000560000000002</v>
      </c>
      <c r="E1059">
        <v>0.52595159999999996</v>
      </c>
      <c r="F1059" t="s">
        <v>58</v>
      </c>
      <c r="G1059">
        <v>-304.1918</v>
      </c>
      <c r="H1059" s="1">
        <v>1.189652E-6</v>
      </c>
      <c r="I1059">
        <v>295.18869999999998</v>
      </c>
      <c r="J1059">
        <v>-252.04419999999999</v>
      </c>
      <c r="K1059">
        <v>1.109567</v>
      </c>
      <c r="L1059">
        <v>282.43810000000002</v>
      </c>
      <c r="M1059">
        <v>-0.99899020000000005</v>
      </c>
      <c r="N1059">
        <v>0</v>
      </c>
      <c r="O1059">
        <v>4.2823960000000001E-2</v>
      </c>
      <c r="P1059">
        <v>-0.98787389999999997</v>
      </c>
      <c r="Q1059">
        <v>0.1552569</v>
      </c>
      <c r="R1059">
        <v>6.8796149999999904E-4</v>
      </c>
      <c r="S1059">
        <v>-3.0488279999999999</v>
      </c>
      <c r="T1059">
        <v>-6.450939E-2</v>
      </c>
      <c r="U1059">
        <v>0.74209590000000003</v>
      </c>
      <c r="V1059">
        <v>-4.1212800000000001E-2</v>
      </c>
      <c r="W1059">
        <v>0.16875219999999999</v>
      </c>
      <c r="X1059">
        <v>0.98479649999999996</v>
      </c>
      <c r="Y1059">
        <v>0.1946368</v>
      </c>
      <c r="Z1059">
        <v>1.137589E-3</v>
      </c>
      <c r="AA1059">
        <v>0.98087469999999999</v>
      </c>
      <c r="AB1059">
        <v>30</v>
      </c>
      <c r="AC1059">
        <v>-52.147599999999997</v>
      </c>
      <c r="AD1059">
        <v>-1.1095658103479999</v>
      </c>
      <c r="AE1059">
        <v>12.750599999999899</v>
      </c>
      <c r="AF1059">
        <v>10.5010419530446</v>
      </c>
      <c r="AG1059">
        <v>-1.1095658103479999</v>
      </c>
      <c r="AH1059">
        <v>52.623354210174597</v>
      </c>
      <c r="AI1059">
        <v>91.184557321744904</v>
      </c>
      <c r="AJ1059">
        <v>78.714807061661404</v>
      </c>
      <c r="AK1059">
        <v>53.672343219917302</v>
      </c>
      <c r="AL1059">
        <v>80.284722479801204</v>
      </c>
      <c r="AM1059">
        <v>92.3963757538246</v>
      </c>
      <c r="AN1059">
        <v>0.99999997315046396</v>
      </c>
    </row>
    <row r="1060" spans="1:40" x14ac:dyDescent="0.3">
      <c r="A1060" t="str">
        <f>"20200111150743555"</f>
        <v>20200111150743555</v>
      </c>
      <c r="B1060" t="str">
        <f>"1578726463552071"</f>
        <v>1578726463552071</v>
      </c>
      <c r="C1060" t="s">
        <v>40</v>
      </c>
      <c r="D1060">
        <v>6.0063139999999997</v>
      </c>
      <c r="E1060">
        <v>0.436722</v>
      </c>
      <c r="F1060" t="s">
        <v>61</v>
      </c>
      <c r="G1060">
        <v>-511.84449999999998</v>
      </c>
      <c r="H1060">
        <v>73.534930000000003</v>
      </c>
      <c r="I1060">
        <v>300.1635</v>
      </c>
      <c r="J1060">
        <v>-252.33019999999999</v>
      </c>
      <c r="K1060">
        <v>1.10958</v>
      </c>
      <c r="L1060">
        <v>282.45170000000002</v>
      </c>
      <c r="M1060">
        <v>-0.9989403</v>
      </c>
      <c r="N1060">
        <v>0</v>
      </c>
      <c r="O1060">
        <v>4.397624E-2</v>
      </c>
      <c r="P1060">
        <v>-0.9879019</v>
      </c>
      <c r="Q1060">
        <v>0.1550503</v>
      </c>
      <c r="R1060">
        <v>3.061879E-3</v>
      </c>
      <c r="S1060">
        <v>-2.9092250000000002</v>
      </c>
      <c r="T1060">
        <v>0.81101440000000002</v>
      </c>
      <c r="U1060">
        <v>0.1984863</v>
      </c>
      <c r="V1060">
        <v>-3.9987200000000001E-2</v>
      </c>
      <c r="W1060">
        <v>0.16854069999999999</v>
      </c>
      <c r="X1060">
        <v>0.98488319999999996</v>
      </c>
      <c r="Y1060">
        <v>2.484892E-2</v>
      </c>
      <c r="Z1060">
        <v>8.6154969999999997E-3</v>
      </c>
      <c r="AA1060">
        <v>0.99965409999999999</v>
      </c>
      <c r="AB1060">
        <v>30</v>
      </c>
      <c r="AC1060">
        <v>-259.51429999999999</v>
      </c>
      <c r="AD1060">
        <v>72.425349999999995</v>
      </c>
      <c r="AE1060">
        <v>17.711799999999901</v>
      </c>
      <c r="AF1060">
        <v>5.8292366192529199</v>
      </c>
      <c r="AG1060">
        <v>72.425349999999995</v>
      </c>
      <c r="AH1060">
        <v>241.33289246990199</v>
      </c>
      <c r="AI1060">
        <v>73.299805274055103</v>
      </c>
      <c r="AJ1060">
        <v>88.6163273404146</v>
      </c>
      <c r="AK1060">
        <v>252.03368090411001</v>
      </c>
      <c r="AL1060">
        <v>80.297016215423497</v>
      </c>
      <c r="AM1060">
        <v>92.324986483254506</v>
      </c>
      <c r="AN1060">
        <v>0.99999993068128201</v>
      </c>
    </row>
    <row r="1061" spans="1:40" x14ac:dyDescent="0.3">
      <c r="A1061" t="str">
        <f>"20200111150743577"</f>
        <v>20200111150743577</v>
      </c>
      <c r="B1061" t="str">
        <f>"1578726463572567"</f>
        <v>1578726463572567</v>
      </c>
      <c r="C1061" t="s">
        <v>40</v>
      </c>
      <c r="D1061">
        <v>5.2529940000000002</v>
      </c>
      <c r="E1061">
        <v>0.45690649999999999</v>
      </c>
      <c r="F1061" t="s">
        <v>56</v>
      </c>
      <c r="G1061">
        <v>-352.55</v>
      </c>
      <c r="H1061">
        <v>28.555730000000001</v>
      </c>
      <c r="I1061">
        <v>265.03710000000001</v>
      </c>
      <c r="J1061">
        <v>-252.62809999999999</v>
      </c>
      <c r="K1061">
        <v>1.109599</v>
      </c>
      <c r="L1061">
        <v>282.46609999999998</v>
      </c>
      <c r="M1061">
        <v>-0.99888790000000005</v>
      </c>
      <c r="N1061">
        <v>0</v>
      </c>
      <c r="O1061">
        <v>4.5151869999999997E-2</v>
      </c>
      <c r="P1061">
        <v>-0.98797679999999999</v>
      </c>
      <c r="Q1061">
        <v>0.1545224</v>
      </c>
      <c r="R1061">
        <v>4.9903619999999999E-3</v>
      </c>
      <c r="S1061">
        <v>-2.913116</v>
      </c>
      <c r="T1061">
        <v>0.79778709999999997</v>
      </c>
      <c r="U1061">
        <v>-0.50619510000000001</v>
      </c>
      <c r="V1061">
        <v>-3.9234709999999999E-2</v>
      </c>
      <c r="W1061">
        <v>0.16800870000000001</v>
      </c>
      <c r="X1061">
        <v>0.9850044</v>
      </c>
      <c r="Y1061">
        <v>-0.20649690000000001</v>
      </c>
      <c r="Z1061">
        <v>3.9634469999999998E-2</v>
      </c>
      <c r="AA1061">
        <v>0.97764419999999996</v>
      </c>
      <c r="AB1061">
        <v>30</v>
      </c>
      <c r="AC1061">
        <v>-99.921899999999994</v>
      </c>
      <c r="AD1061">
        <v>27.446131000000001</v>
      </c>
      <c r="AE1061">
        <v>-17.428999999999899</v>
      </c>
      <c r="AF1061">
        <v>-20.427605812974001</v>
      </c>
      <c r="AG1061">
        <v>27.446131000000001</v>
      </c>
      <c r="AH1061">
        <v>92.276539507978299</v>
      </c>
      <c r="AI1061">
        <v>73.806555782285102</v>
      </c>
      <c r="AJ1061">
        <v>102.482474545576</v>
      </c>
      <c r="AK1061">
        <v>98.415125512732502</v>
      </c>
      <c r="AL1061">
        <v>80.3279389715631</v>
      </c>
      <c r="AM1061">
        <v>92.281000519787298</v>
      </c>
      <c r="AN1061">
        <v>0.999999976881916</v>
      </c>
    </row>
    <row r="1062" spans="1:40" x14ac:dyDescent="0.3">
      <c r="A1062" t="str">
        <f>"20200111150743600"</f>
        <v>20200111150743600</v>
      </c>
      <c r="B1062" t="str">
        <f>"1578726463592087"</f>
        <v>1578726463592087</v>
      </c>
      <c r="C1062" t="s">
        <v>40</v>
      </c>
      <c r="D1062">
        <v>5.1300889999999999</v>
      </c>
      <c r="E1062">
        <v>0.46280929999999998</v>
      </c>
      <c r="F1062" t="s">
        <v>56</v>
      </c>
      <c r="G1062">
        <v>-377.85160000000002</v>
      </c>
      <c r="H1062">
        <v>35.765509999999999</v>
      </c>
      <c r="I1062">
        <v>267.85000000000002</v>
      </c>
      <c r="J1062">
        <v>-252.93770000000001</v>
      </c>
      <c r="K1062">
        <v>1.109621</v>
      </c>
      <c r="L1062">
        <v>282.48140000000001</v>
      </c>
      <c r="M1062">
        <v>-0.99883339999999998</v>
      </c>
      <c r="N1062">
        <v>0</v>
      </c>
      <c r="O1062">
        <v>4.6340640000000002E-2</v>
      </c>
      <c r="P1062">
        <v>-0.98796399999999995</v>
      </c>
      <c r="Q1062">
        <v>0.154563899999999</v>
      </c>
      <c r="R1062">
        <v>6.1046049999999999E-3</v>
      </c>
      <c r="S1062">
        <v>-2.91214</v>
      </c>
      <c r="T1062">
        <v>0.80594429999999995</v>
      </c>
      <c r="U1062">
        <v>-0.33990479999999901</v>
      </c>
      <c r="V1062">
        <v>-3.9306309999999997E-2</v>
      </c>
      <c r="W1062">
        <v>0.16804530000000001</v>
      </c>
      <c r="X1062">
        <v>0.98499530000000002</v>
      </c>
      <c r="Y1062">
        <v>-0.15438560000000001</v>
      </c>
      <c r="Z1062">
        <v>3.3456180000000002E-2</v>
      </c>
      <c r="AA1062">
        <v>0.98744399999999999</v>
      </c>
      <c r="AB1062">
        <v>30</v>
      </c>
      <c r="AC1062">
        <v>-124.9139</v>
      </c>
      <c r="AD1062">
        <v>34.655889000000002</v>
      </c>
      <c r="AE1062">
        <v>-14.6313999999999</v>
      </c>
      <c r="AF1062">
        <v>-18.964801039244001</v>
      </c>
      <c r="AG1062">
        <v>34.655889000000002</v>
      </c>
      <c r="AH1062">
        <v>115.34353045216901</v>
      </c>
      <c r="AI1062">
        <v>73.486107158493695</v>
      </c>
      <c r="AJ1062">
        <v>99.337039875182697</v>
      </c>
      <c r="AK1062">
        <v>121.92138589275</v>
      </c>
      <c r="AL1062">
        <v>80.325811682324101</v>
      </c>
      <c r="AM1062">
        <v>92.285179831654006</v>
      </c>
      <c r="AN1062">
        <v>0.99999997493999704</v>
      </c>
    </row>
    <row r="1063" spans="1:40" x14ac:dyDescent="0.3">
      <c r="A1063" t="str">
        <f>"20200111150743613"</f>
        <v>20200111150743613</v>
      </c>
      <c r="B1063" t="str">
        <f>"1578726463601847"</f>
        <v>1578726463601847</v>
      </c>
      <c r="C1063" t="s">
        <v>40</v>
      </c>
      <c r="D1063">
        <v>5.1582460000000001</v>
      </c>
      <c r="E1063">
        <v>0.48579</v>
      </c>
      <c r="F1063" t="s">
        <v>57</v>
      </c>
      <c r="G1063">
        <v>-512.8492</v>
      </c>
      <c r="H1063">
        <v>72.643680000000003</v>
      </c>
      <c r="I1063">
        <v>256.65379999999999</v>
      </c>
      <c r="J1063">
        <v>-253.1123</v>
      </c>
      <c r="K1063">
        <v>1.109634</v>
      </c>
      <c r="L1063">
        <v>282.49020000000002</v>
      </c>
      <c r="M1063">
        <v>-0.998803</v>
      </c>
      <c r="N1063">
        <v>0</v>
      </c>
      <c r="O1063">
        <v>4.699188E-2</v>
      </c>
      <c r="P1063">
        <v>-0.98797570000000001</v>
      </c>
      <c r="Q1063">
        <v>0.1544836</v>
      </c>
      <c r="R1063">
        <v>6.241903E-3</v>
      </c>
      <c r="S1063">
        <v>-2.9129179999999999</v>
      </c>
      <c r="T1063">
        <v>0.80170710000000001</v>
      </c>
      <c r="U1063">
        <v>-0.28945920000000003</v>
      </c>
      <c r="V1063">
        <v>-3.982024E-2</v>
      </c>
      <c r="W1063">
        <v>0.16796349999999999</v>
      </c>
      <c r="X1063">
        <v>0.98498859999999999</v>
      </c>
      <c r="Y1063">
        <v>-0.13869509999999999</v>
      </c>
      <c r="Z1063">
        <v>3.13668E-2</v>
      </c>
      <c r="AA1063">
        <v>0.9898382</v>
      </c>
      <c r="AB1063">
        <v>30</v>
      </c>
      <c r="AC1063">
        <v>-259.73689999999999</v>
      </c>
      <c r="AD1063">
        <v>71.534045999999904</v>
      </c>
      <c r="AE1063">
        <v>-25.836400000000001</v>
      </c>
      <c r="AF1063">
        <v>-35.358798418212302</v>
      </c>
      <c r="AG1063">
        <v>71.534045999999904</v>
      </c>
      <c r="AH1063">
        <v>240.19527323215601</v>
      </c>
      <c r="AI1063">
        <v>73.582873785969696</v>
      </c>
      <c r="AJ1063">
        <v>98.374283163207195</v>
      </c>
      <c r="AK1063">
        <v>253.103009950059</v>
      </c>
      <c r="AL1063">
        <v>80.330565962419001</v>
      </c>
      <c r="AM1063">
        <v>92.315041988712593</v>
      </c>
      <c r="AN1063">
        <v>0.99999996548793302</v>
      </c>
    </row>
    <row r="1064" spans="1:40" x14ac:dyDescent="0.3">
      <c r="A1064" t="str">
        <f>"20200111150743634"</f>
        <v>20200111150743634</v>
      </c>
      <c r="B1064" t="str">
        <f>"1578726463622346"</f>
        <v>1578726463622346</v>
      </c>
      <c r="C1064" t="s">
        <v>40</v>
      </c>
      <c r="D1064">
        <v>5.2556409999999998</v>
      </c>
      <c r="E1064">
        <v>0.4863111</v>
      </c>
      <c r="F1064" t="s">
        <v>58</v>
      </c>
      <c r="G1064">
        <v>-293.7253</v>
      </c>
      <c r="H1064" s="1">
        <v>3.141633E-6</v>
      </c>
      <c r="I1064">
        <v>281.4699</v>
      </c>
      <c r="J1064">
        <v>-253.37559999999999</v>
      </c>
      <c r="K1064">
        <v>1.109648</v>
      </c>
      <c r="L1064">
        <v>282.50369999999998</v>
      </c>
      <c r="M1064">
        <v>-0.99875709999999995</v>
      </c>
      <c r="N1064">
        <v>0</v>
      </c>
      <c r="O1064">
        <v>4.7957670000000001E-2</v>
      </c>
      <c r="P1064">
        <v>-0.98807590000000001</v>
      </c>
      <c r="Q1064">
        <v>0.15386620000000001</v>
      </c>
      <c r="R1064">
        <v>5.5674610000000001E-3</v>
      </c>
      <c r="S1064">
        <v>-3.050049</v>
      </c>
      <c r="T1064">
        <v>-8.3333610000000002E-2</v>
      </c>
      <c r="U1064">
        <v>-7.6629639999999999E-2</v>
      </c>
      <c r="V1064">
        <v>-4.1463769999999997E-2</v>
      </c>
      <c r="W1064">
        <v>0.16734679999999999</v>
      </c>
      <c r="X1064">
        <v>0.98502579999999995</v>
      </c>
      <c r="Y1064">
        <v>-7.2989100000000001E-2</v>
      </c>
      <c r="Z1064">
        <v>-2.3065550000000001E-3</v>
      </c>
      <c r="AA1064">
        <v>0.9973301</v>
      </c>
      <c r="AB1064">
        <v>30</v>
      </c>
      <c r="AC1064">
        <v>-40.349699999999999</v>
      </c>
      <c r="AD1064">
        <v>-1.109644858367</v>
      </c>
      <c r="AE1064">
        <v>-1.0337999999999801</v>
      </c>
      <c r="AF1064">
        <v>-2.96562481795032</v>
      </c>
      <c r="AG1064">
        <v>-1.109644858367</v>
      </c>
      <c r="AH1064">
        <v>40.223280169353501</v>
      </c>
      <c r="AI1064">
        <v>91.575949880801502</v>
      </c>
      <c r="AJ1064">
        <v>94.216734579827502</v>
      </c>
      <c r="AK1064">
        <v>40.3477200081349</v>
      </c>
      <c r="AL1064">
        <v>80.366408028845896</v>
      </c>
      <c r="AM1064">
        <v>92.410391013491093</v>
      </c>
      <c r="AN1064">
        <v>1.00000001117924</v>
      </c>
    </row>
    <row r="1065" spans="1:40" x14ac:dyDescent="0.3">
      <c r="A1065" t="str">
        <f>"20200111150743655"</f>
        <v>20200111150743655</v>
      </c>
      <c r="B1065" t="str">
        <f>"1578726463652598"</f>
        <v>1578726463652598</v>
      </c>
      <c r="C1065" t="s">
        <v>40</v>
      </c>
      <c r="D1065">
        <v>5.2737270000000001</v>
      </c>
      <c r="E1065">
        <v>0.48521690000000001</v>
      </c>
      <c r="F1065" t="s">
        <v>58</v>
      </c>
      <c r="G1065">
        <v>-285.90899999999999</v>
      </c>
      <c r="H1065" s="1">
        <v>6.3800760000000003E-6</v>
      </c>
      <c r="I1065">
        <v>281.72120000000001</v>
      </c>
      <c r="J1065">
        <v>-253.6551</v>
      </c>
      <c r="K1065">
        <v>1.109664</v>
      </c>
      <c r="L1065">
        <v>282.51819999999998</v>
      </c>
      <c r="M1065">
        <v>-0.9987087</v>
      </c>
      <c r="N1065">
        <v>0</v>
      </c>
      <c r="O1065">
        <v>4.8957670000000002E-2</v>
      </c>
      <c r="P1065">
        <v>-0.98821890000000001</v>
      </c>
      <c r="Q1065">
        <v>0.15294349999999901</v>
      </c>
      <c r="R1065">
        <v>5.6578849999999997E-3</v>
      </c>
      <c r="S1065">
        <v>-3.0528559999999998</v>
      </c>
      <c r="T1065">
        <v>-0.104126</v>
      </c>
      <c r="U1065">
        <v>-7.3425290000000004E-2</v>
      </c>
      <c r="V1065">
        <v>-4.2379809999999997E-2</v>
      </c>
      <c r="W1065">
        <v>0.16642290000000001</v>
      </c>
      <c r="X1065">
        <v>0.98514330000000006</v>
      </c>
      <c r="Y1065">
        <v>-7.2892769999999996E-2</v>
      </c>
      <c r="Z1065">
        <v>-2.9115690000000001E-3</v>
      </c>
      <c r="AA1065">
        <v>0.99733559999999999</v>
      </c>
      <c r="AB1065">
        <v>30</v>
      </c>
      <c r="AC1065">
        <v>-32.253899999999902</v>
      </c>
      <c r="AD1065">
        <v>-1.109657619924</v>
      </c>
      <c r="AE1065">
        <v>-0.79699999999996796</v>
      </c>
      <c r="AF1065">
        <v>-2.3724588705216099</v>
      </c>
      <c r="AG1065">
        <v>-1.109657619924</v>
      </c>
      <c r="AH1065">
        <v>32.1381766102173</v>
      </c>
      <c r="AI1065">
        <v>91.972144409980501</v>
      </c>
      <c r="AJ1065">
        <v>94.221949706175394</v>
      </c>
      <c r="AK1065">
        <v>32.244725102802398</v>
      </c>
      <c r="AL1065">
        <v>80.420096164443706</v>
      </c>
      <c r="AM1065">
        <v>92.4632842976022</v>
      </c>
      <c r="AN1065">
        <v>0.99999997573746702</v>
      </c>
    </row>
    <row r="1066" spans="1:40" x14ac:dyDescent="0.3">
      <c r="A1066" t="str">
        <f>"20200111150743678"</f>
        <v>20200111150743678</v>
      </c>
      <c r="B1066" t="str">
        <f>"1578726463672119"</f>
        <v>1578726463672119</v>
      </c>
      <c r="C1066" t="s">
        <v>40</v>
      </c>
      <c r="D1066">
        <v>5.2748520000000001</v>
      </c>
      <c r="E1066">
        <v>0.48538199999999998</v>
      </c>
      <c r="F1066" t="s">
        <v>58</v>
      </c>
      <c r="G1066">
        <v>-289.8288</v>
      </c>
      <c r="H1066" s="1">
        <v>4.6810380000000004E-6</v>
      </c>
      <c r="I1066">
        <v>281.53140000000002</v>
      </c>
      <c r="J1066">
        <v>-253.95939999999999</v>
      </c>
      <c r="K1066">
        <v>1.109683</v>
      </c>
      <c r="L1066">
        <v>282.53429999999997</v>
      </c>
      <c r="M1066">
        <v>-0.99865619999999999</v>
      </c>
      <c r="N1066">
        <v>0</v>
      </c>
      <c r="O1066">
        <v>5.001858E-2</v>
      </c>
      <c r="P1066">
        <v>-0.98834029999999995</v>
      </c>
      <c r="Q1066">
        <v>0.15209790000000001</v>
      </c>
      <c r="R1066">
        <v>7.0582619999999896E-3</v>
      </c>
      <c r="S1066">
        <v>-3.0507200000000001</v>
      </c>
      <c r="T1066">
        <v>-9.3583459999999993E-2</v>
      </c>
      <c r="U1066">
        <v>-8.3221439999999994E-2</v>
      </c>
      <c r="V1066">
        <v>-4.2047210000000002E-2</v>
      </c>
      <c r="W1066">
        <v>0.1655742</v>
      </c>
      <c r="X1066">
        <v>0.98530059999999997</v>
      </c>
      <c r="Y1066">
        <v>-7.7179769999999995E-2</v>
      </c>
      <c r="Z1066">
        <v>-2.7169189999999999E-3</v>
      </c>
      <c r="AA1066">
        <v>0.9970135</v>
      </c>
      <c r="AB1066">
        <v>29</v>
      </c>
      <c r="AC1066">
        <v>-35.869399999999999</v>
      </c>
      <c r="AD1066">
        <v>-1.1096783189620001</v>
      </c>
      <c r="AE1066">
        <v>-1.0028999999999499</v>
      </c>
      <c r="AF1066">
        <v>-2.7932746205424399</v>
      </c>
      <c r="AG1066">
        <v>-1.1096783189620001</v>
      </c>
      <c r="AH1066">
        <v>35.740146027208603</v>
      </c>
      <c r="AI1066">
        <v>91.772974184980697</v>
      </c>
      <c r="AJ1066">
        <v>94.4688730925333</v>
      </c>
      <c r="AK1066">
        <v>35.8663046204029</v>
      </c>
      <c r="AL1066">
        <v>80.469407739770006</v>
      </c>
      <c r="AM1066">
        <v>92.443586087338204</v>
      </c>
      <c r="AN1066">
        <v>1.00000002796739</v>
      </c>
    </row>
    <row r="1067" spans="1:40" x14ac:dyDescent="0.3">
      <c r="A1067" t="str">
        <f>"20200111150743701"</f>
        <v>20200111150743701</v>
      </c>
      <c r="B1067" t="str">
        <f>"1578726463692615"</f>
        <v>1578726463692615</v>
      </c>
      <c r="C1067" t="s">
        <v>40</v>
      </c>
      <c r="D1067">
        <v>5.4014389999999999</v>
      </c>
      <c r="E1067">
        <v>0.4891451</v>
      </c>
      <c r="F1067" t="s">
        <v>58</v>
      </c>
      <c r="G1067">
        <v>-290.78160000000003</v>
      </c>
      <c r="H1067" s="1">
        <v>2.6093839999999999E-6</v>
      </c>
      <c r="I1067">
        <v>281.58519999999999</v>
      </c>
      <c r="J1067">
        <v>-254.26390000000001</v>
      </c>
      <c r="K1067">
        <v>1.1097060000000001</v>
      </c>
      <c r="L1067">
        <v>282.55079999999998</v>
      </c>
      <c r="M1067">
        <v>-0.99860360000000004</v>
      </c>
      <c r="N1067">
        <v>0</v>
      </c>
      <c r="O1067">
        <v>5.1057119999999998E-2</v>
      </c>
      <c r="P1067">
        <v>-0.98849019999999999</v>
      </c>
      <c r="Q1067">
        <v>0.1510628</v>
      </c>
      <c r="R1067">
        <v>8.1978680000000005E-3</v>
      </c>
      <c r="S1067">
        <v>-3.0500949999999998</v>
      </c>
      <c r="T1067">
        <v>-9.1918109999999997E-2</v>
      </c>
      <c r="U1067">
        <v>-7.8613279999999994E-2</v>
      </c>
      <c r="V1067">
        <v>-4.19531E-2</v>
      </c>
      <c r="W1067">
        <v>0.16453709999999999</v>
      </c>
      <c r="X1067">
        <v>0.98547830000000003</v>
      </c>
      <c r="Y1067">
        <v>-7.671878E-2</v>
      </c>
      <c r="Z1067">
        <v>-2.6935040000000002E-3</v>
      </c>
      <c r="AA1067">
        <v>0.99704919999999997</v>
      </c>
      <c r="AB1067">
        <v>29</v>
      </c>
      <c r="AC1067">
        <v>-36.517699999999998</v>
      </c>
      <c r="AD1067">
        <v>-1.1097033906160001</v>
      </c>
      <c r="AE1067">
        <v>-0.96559999999999402</v>
      </c>
      <c r="AF1067">
        <v>-2.8263923662601198</v>
      </c>
      <c r="AG1067">
        <v>-1.1097033906160001</v>
      </c>
      <c r="AH1067">
        <v>36.387179397591197</v>
      </c>
      <c r="AI1067">
        <v>91.741570882044201</v>
      </c>
      <c r="AJ1067">
        <v>94.441559976072895</v>
      </c>
      <c r="AK1067">
        <v>36.513651692698197</v>
      </c>
      <c r="AL1067">
        <v>80.529655268381404</v>
      </c>
      <c r="AM1067">
        <v>92.437684355694302</v>
      </c>
      <c r="AN1067">
        <v>0.999999999823455</v>
      </c>
    </row>
    <row r="1068" spans="1:40" x14ac:dyDescent="0.3">
      <c r="A1068" t="str">
        <f>"20200111150743721"</f>
        <v>20200111150743721</v>
      </c>
      <c r="B1068" t="str">
        <f>"1578726463712137"</f>
        <v>1578726463712137</v>
      </c>
      <c r="C1068" t="s">
        <v>40</v>
      </c>
      <c r="D1068">
        <v>5.2818259999999997</v>
      </c>
      <c r="E1068">
        <v>0.48580089999999998</v>
      </c>
      <c r="F1068" t="s">
        <v>57</v>
      </c>
      <c r="G1068">
        <v>-511.9744</v>
      </c>
      <c r="H1068">
        <v>47.648310000000002</v>
      </c>
      <c r="I1068">
        <v>276.9171</v>
      </c>
      <c r="J1068">
        <v>-254.5401</v>
      </c>
      <c r="K1068">
        <v>1.109718</v>
      </c>
      <c r="L1068">
        <v>282.5659</v>
      </c>
      <c r="M1068">
        <v>-0.99855579999999999</v>
      </c>
      <c r="N1068">
        <v>0</v>
      </c>
      <c r="O1068">
        <v>5.1985530000000002E-2</v>
      </c>
      <c r="P1068">
        <v>-0.9886182</v>
      </c>
      <c r="Q1068">
        <v>0.15018779999999901</v>
      </c>
      <c r="R1068">
        <v>8.8303059999999996E-3</v>
      </c>
      <c r="S1068">
        <v>-2.9539490000000002</v>
      </c>
      <c r="T1068">
        <v>0.53343890000000005</v>
      </c>
      <c r="U1068">
        <v>-6.4575199999999999E-2</v>
      </c>
      <c r="V1068">
        <v>-4.2253979999999997E-2</v>
      </c>
      <c r="W1068">
        <v>0.16366129999999901</v>
      </c>
      <c r="X1068">
        <v>0.98561129999999997</v>
      </c>
      <c r="Y1068">
        <v>-7.1802389999999994E-2</v>
      </c>
      <c r="Z1068">
        <v>1.5740859999999999E-2</v>
      </c>
      <c r="AA1068">
        <v>0.99729469999999998</v>
      </c>
      <c r="AB1068">
        <v>29</v>
      </c>
      <c r="AC1068">
        <v>-257.43430000000001</v>
      </c>
      <c r="AD1068">
        <v>46.538592000000001</v>
      </c>
      <c r="AE1068">
        <v>-5.6487999999999898</v>
      </c>
      <c r="AF1068">
        <v>-18.423444699253601</v>
      </c>
      <c r="AG1068">
        <v>46.538592000000001</v>
      </c>
      <c r="AH1068">
        <v>248.669630487142</v>
      </c>
      <c r="AI1068">
        <v>79.428022150448896</v>
      </c>
      <c r="AJ1068">
        <v>94.237190429763203</v>
      </c>
      <c r="AK1068">
        <v>253.65695138619901</v>
      </c>
      <c r="AL1068">
        <v>80.5805247666285</v>
      </c>
      <c r="AM1068">
        <v>92.454814771647904</v>
      </c>
      <c r="AN1068">
        <v>1.0000000273156</v>
      </c>
    </row>
    <row r="1069" spans="1:40" x14ac:dyDescent="0.3">
      <c r="A1069" t="str">
        <f>"20200111150743744"</f>
        <v>20200111150743744</v>
      </c>
      <c r="B1069" t="str">
        <f>"1578726463742392"</f>
        <v>1578726463742392</v>
      </c>
      <c r="C1069" t="s">
        <v>40</v>
      </c>
      <c r="D1069">
        <v>5.2882189999999998</v>
      </c>
      <c r="E1069">
        <v>0.48662490000000003</v>
      </c>
      <c r="F1069" t="s">
        <v>57</v>
      </c>
      <c r="G1069">
        <v>-511.96190000000001</v>
      </c>
      <c r="H1069">
        <v>10.004390000000001</v>
      </c>
      <c r="I1069">
        <v>276.142</v>
      </c>
      <c r="J1069">
        <v>-254.83090000000001</v>
      </c>
      <c r="K1069">
        <v>1.109726</v>
      </c>
      <c r="L1069">
        <v>282.5822</v>
      </c>
      <c r="M1069">
        <v>-0.99850470000000002</v>
      </c>
      <c r="N1069">
        <v>0</v>
      </c>
      <c r="O1069">
        <v>5.2956669999999997E-2</v>
      </c>
      <c r="P1069">
        <v>-0.98871889999999996</v>
      </c>
      <c r="Q1069">
        <v>0.1494402</v>
      </c>
      <c r="R1069">
        <v>1.015275E-2</v>
      </c>
      <c r="S1069">
        <v>-3.0193629999999998</v>
      </c>
      <c r="T1069">
        <v>0.10432859999999999</v>
      </c>
      <c r="U1069">
        <v>-7.5347899999999995E-2</v>
      </c>
      <c r="V1069">
        <v>-4.190489E-2</v>
      </c>
      <c r="W1069">
        <v>0.1629119</v>
      </c>
      <c r="X1069">
        <v>0.98575029999999997</v>
      </c>
      <c r="Y1069">
        <v>-7.7779199999999896E-2</v>
      </c>
      <c r="Z1069">
        <v>3.1719690000000002E-3</v>
      </c>
      <c r="AA1069">
        <v>0.99696560000000001</v>
      </c>
      <c r="AB1069">
        <v>29</v>
      </c>
      <c r="AC1069">
        <v>-257.13099999999997</v>
      </c>
      <c r="AD1069">
        <v>8.8946639999999899</v>
      </c>
      <c r="AE1069">
        <v>-6.4401999999999999</v>
      </c>
      <c r="AF1069">
        <v>-20.025268365370799</v>
      </c>
      <c r="AG1069">
        <v>8.8946639999999899</v>
      </c>
      <c r="AH1069">
        <v>256.12276206274203</v>
      </c>
      <c r="AI1069">
        <v>88.017071006981595</v>
      </c>
      <c r="AJ1069">
        <v>94.470644911656905</v>
      </c>
      <c r="AK1069">
        <v>257.05835070548898</v>
      </c>
      <c r="AL1069">
        <v>80.624045897513298</v>
      </c>
      <c r="AM1069">
        <v>92.434215432926607</v>
      </c>
      <c r="AN1069">
        <v>0.999999980458805</v>
      </c>
    </row>
    <row r="1070" spans="1:40" x14ac:dyDescent="0.3">
      <c r="A1070" t="str">
        <f>"20200111150743766"</f>
        <v>20200111150743766</v>
      </c>
      <c r="B1070" t="str">
        <f>"1578726463761911"</f>
        <v>1578726463761911</v>
      </c>
      <c r="C1070" t="s">
        <v>40</v>
      </c>
      <c r="D1070">
        <v>4.6761619999999997</v>
      </c>
      <c r="E1070">
        <v>0.4861799</v>
      </c>
      <c r="F1070" t="s">
        <v>58</v>
      </c>
      <c r="G1070">
        <v>-301.62720000000002</v>
      </c>
      <c r="H1070" s="1">
        <v>3.9340150000000001E-6</v>
      </c>
      <c r="I1070">
        <v>281.66460000000001</v>
      </c>
      <c r="J1070">
        <v>-255.11670000000001</v>
      </c>
      <c r="K1070">
        <v>1.1097319999999999</v>
      </c>
      <c r="L1070">
        <v>282.59840000000003</v>
      </c>
      <c r="M1070">
        <v>-0.99845379999999995</v>
      </c>
      <c r="N1070">
        <v>0</v>
      </c>
      <c r="O1070">
        <v>5.3907839999999999E-2</v>
      </c>
      <c r="P1070">
        <v>-0.98875190000000002</v>
      </c>
      <c r="Q1070">
        <v>0.1491449</v>
      </c>
      <c r="R1070">
        <v>1.120734E-2</v>
      </c>
      <c r="S1070">
        <v>-3.0457459999999998</v>
      </c>
      <c r="T1070">
        <v>-7.2226410000000005E-2</v>
      </c>
      <c r="U1070">
        <v>-5.9722900000000002E-2</v>
      </c>
      <c r="V1070">
        <v>-4.1797429999999997E-2</v>
      </c>
      <c r="W1070">
        <v>0.1626146</v>
      </c>
      <c r="X1070">
        <v>0.98580400000000001</v>
      </c>
      <c r="Y1070">
        <v>-7.3442999999999994E-2</v>
      </c>
      <c r="Z1070">
        <v>-2.1484849999999999E-3</v>
      </c>
      <c r="AA1070">
        <v>0.99729710000000005</v>
      </c>
      <c r="AB1070">
        <v>29</v>
      </c>
      <c r="AC1070">
        <v>-46.5105</v>
      </c>
      <c r="AD1070">
        <v>-1.109728065985</v>
      </c>
      <c r="AE1070">
        <v>-0.93380000000001895</v>
      </c>
      <c r="AF1070">
        <v>-3.43799674438658</v>
      </c>
      <c r="AG1070">
        <v>-1.109728065985</v>
      </c>
      <c r="AH1070">
        <v>46.366128575687398</v>
      </c>
      <c r="AI1070">
        <v>91.367304667211698</v>
      </c>
      <c r="AJ1070">
        <v>94.240657745881094</v>
      </c>
      <c r="AK1070">
        <v>46.506657556655497</v>
      </c>
      <c r="AL1070">
        <v>80.641310615737794</v>
      </c>
      <c r="AM1070">
        <v>92.427848561189293</v>
      </c>
      <c r="AN1070">
        <v>1.0000000298518801</v>
      </c>
    </row>
    <row r="1071" spans="1:40" x14ac:dyDescent="0.3">
      <c r="A1071" t="str">
        <f>"20200111150743780"</f>
        <v>20200111150743780</v>
      </c>
      <c r="B1071" t="str">
        <f>"1578726463772647"</f>
        <v>1578726463772647</v>
      </c>
      <c r="C1071" t="s">
        <v>40</v>
      </c>
      <c r="D1071">
        <v>5.159637</v>
      </c>
      <c r="E1071">
        <v>0.4861799</v>
      </c>
      <c r="F1071" t="s">
        <v>58</v>
      </c>
      <c r="G1071">
        <v>-318.71109999999999</v>
      </c>
      <c r="H1071" s="1">
        <v>6.3675239999999901E-6</v>
      </c>
      <c r="I1071">
        <v>281.3272</v>
      </c>
      <c r="J1071">
        <v>-255.3031</v>
      </c>
      <c r="K1071">
        <v>1.1097349999999999</v>
      </c>
      <c r="L1071">
        <v>282.60910000000001</v>
      </c>
      <c r="M1071">
        <v>-0.99842019999999998</v>
      </c>
      <c r="N1071">
        <v>0</v>
      </c>
      <c r="O1071">
        <v>5.4527659999999999E-2</v>
      </c>
      <c r="P1071">
        <v>-0.98874470000000003</v>
      </c>
      <c r="Q1071">
        <v>0.14917359999999999</v>
      </c>
      <c r="R1071">
        <v>1.1463040000000001E-2</v>
      </c>
      <c r="S1071">
        <v>-3.0428009999999999</v>
      </c>
      <c r="T1071">
        <v>-5.3097129999999999E-2</v>
      </c>
      <c r="U1071">
        <v>-6.0821529999999999E-2</v>
      </c>
      <c r="V1071">
        <v>-4.2156369999999999E-2</v>
      </c>
      <c r="W1071">
        <v>0.16264229999999999</v>
      </c>
      <c r="X1071">
        <v>0.98578410000000005</v>
      </c>
      <c r="Y1071">
        <v>-7.4457099999999998E-2</v>
      </c>
      <c r="Z1071">
        <v>-1.600735E-3</v>
      </c>
      <c r="AA1071">
        <v>0.99722299999999997</v>
      </c>
      <c r="AB1071">
        <v>29</v>
      </c>
      <c r="AC1071">
        <v>-63.407999999999902</v>
      </c>
      <c r="AD1071">
        <v>-1.1097286324760001</v>
      </c>
      <c r="AE1071">
        <v>-1.2819</v>
      </c>
      <c r="AF1071">
        <v>-4.7363500885385896</v>
      </c>
      <c r="AG1071">
        <v>-1.1097286324760001</v>
      </c>
      <c r="AH1071">
        <v>63.2243849702677</v>
      </c>
      <c r="AI1071">
        <v>91.002755933885894</v>
      </c>
      <c r="AJ1071">
        <v>94.2842160351411</v>
      </c>
      <c r="AK1071">
        <v>63.411255819984703</v>
      </c>
      <c r="AL1071">
        <v>80.639701681377403</v>
      </c>
      <c r="AM1071">
        <v>92.4487220769511</v>
      </c>
      <c r="AN1071">
        <v>0.99999998454683803</v>
      </c>
    </row>
    <row r="1072" spans="1:40" x14ac:dyDescent="0.3">
      <c r="A1072" t="str">
        <f>"20200111150743801"</f>
        <v>20200111150743801</v>
      </c>
      <c r="B1072" t="str">
        <f>"1578726463792167"</f>
        <v>1578726463792167</v>
      </c>
      <c r="C1072" t="s">
        <v>40</v>
      </c>
      <c r="D1072">
        <v>6.894997</v>
      </c>
      <c r="E1072">
        <v>0.46477439999999998</v>
      </c>
      <c r="F1072" t="s">
        <v>58</v>
      </c>
      <c r="G1072">
        <v>-318.99439999999998</v>
      </c>
      <c r="H1072" s="1">
        <v>6.4908300000000002E-6</v>
      </c>
      <c r="I1072">
        <v>281.35390000000001</v>
      </c>
      <c r="J1072">
        <v>-255.58500000000001</v>
      </c>
      <c r="K1072">
        <v>1.109737</v>
      </c>
      <c r="L1072">
        <v>282.62549999999999</v>
      </c>
      <c r="M1072">
        <v>-0.99836860000000005</v>
      </c>
      <c r="N1072">
        <v>0</v>
      </c>
      <c r="O1072">
        <v>5.5466479999999999E-2</v>
      </c>
      <c r="P1072">
        <v>-0.98869940000000001</v>
      </c>
      <c r="Q1072">
        <v>0.14943139999999999</v>
      </c>
      <c r="R1072">
        <v>1.2007149999999999E-2</v>
      </c>
      <c r="S1072">
        <v>-3.0428160000000002</v>
      </c>
      <c r="T1072">
        <v>-5.301666E-2</v>
      </c>
      <c r="U1072">
        <v>-5.9967039999999999E-2</v>
      </c>
      <c r="V1072">
        <v>-4.2540000000000001E-2</v>
      </c>
      <c r="W1072">
        <v>0.1628983</v>
      </c>
      <c r="X1072">
        <v>0.98572530000000003</v>
      </c>
      <c r="Y1072">
        <v>-7.5114589999999995E-2</v>
      </c>
      <c r="Z1072">
        <v>-1.6203729999999901E-3</v>
      </c>
      <c r="AA1072">
        <v>0.99717359999999999</v>
      </c>
      <c r="AB1072">
        <v>29</v>
      </c>
      <c r="AC1072">
        <v>-63.409399999999899</v>
      </c>
      <c r="AD1072">
        <v>-1.10973050917</v>
      </c>
      <c r="AE1072">
        <v>-1.2715999999999701</v>
      </c>
      <c r="AF1072">
        <v>-4.7855960465967797</v>
      </c>
      <c r="AG1072">
        <v>-1.10973050917</v>
      </c>
      <c r="AH1072">
        <v>63.221872579458299</v>
      </c>
      <c r="AI1072">
        <v>91.002738770378699</v>
      </c>
      <c r="AJ1072">
        <v>94.328763878704706</v>
      </c>
      <c r="AK1072">
        <v>63.412448334514302</v>
      </c>
      <c r="AL1072">
        <v>80.624835262804893</v>
      </c>
      <c r="AM1072">
        <v>92.4711255752255</v>
      </c>
      <c r="AN1072">
        <v>0.99999993740148796</v>
      </c>
    </row>
    <row r="1073" spans="1:40" x14ac:dyDescent="0.3">
      <c r="A1073" t="str">
        <f>"20200111150743824"</f>
        <v>20200111150743824</v>
      </c>
      <c r="B1073" t="str">
        <f>"1578726463822423"</f>
        <v>1578726463822423</v>
      </c>
      <c r="C1073" t="s">
        <v>40</v>
      </c>
      <c r="D1073">
        <v>4.6829939999999999</v>
      </c>
      <c r="E1073">
        <v>0.5170498</v>
      </c>
      <c r="F1073" t="s">
        <v>57</v>
      </c>
      <c r="G1073">
        <v>-512.851</v>
      </c>
      <c r="H1073">
        <v>78.013990000000007</v>
      </c>
      <c r="I1073">
        <v>259.72160000000002</v>
      </c>
      <c r="J1073">
        <v>-255.88140000000001</v>
      </c>
      <c r="K1073">
        <v>1.1097399999999999</v>
      </c>
      <c r="L1073">
        <v>282.64319999999998</v>
      </c>
      <c r="M1073">
        <v>-0.99831309999999995</v>
      </c>
      <c r="N1073">
        <v>0</v>
      </c>
      <c r="O1073">
        <v>5.6456260000000001E-2</v>
      </c>
      <c r="P1073">
        <v>-0.98871790000000004</v>
      </c>
      <c r="Q1073">
        <v>0.1492474</v>
      </c>
      <c r="R1073">
        <v>1.276396E-2</v>
      </c>
      <c r="S1073">
        <v>-2.9061279999999998</v>
      </c>
      <c r="T1073">
        <v>0.86872579999999999</v>
      </c>
      <c r="U1073">
        <v>-0.25872800000000001</v>
      </c>
      <c r="V1073">
        <v>-4.2765999999999998E-2</v>
      </c>
      <c r="W1073">
        <v>0.16271250000000001</v>
      </c>
      <c r="X1073">
        <v>0.98574629999999996</v>
      </c>
      <c r="Y1073">
        <v>-0.13639889999999999</v>
      </c>
      <c r="Z1073">
        <v>3.6403409999999997E-2</v>
      </c>
      <c r="AA1073">
        <v>0.98998489999999995</v>
      </c>
      <c r="AB1073">
        <v>29</v>
      </c>
      <c r="AC1073">
        <v>-256.96960000000001</v>
      </c>
      <c r="AD1073">
        <v>76.904250000000005</v>
      </c>
      <c r="AE1073">
        <v>-22.921599999999899</v>
      </c>
      <c r="AF1073">
        <v>-34.3423275602389</v>
      </c>
      <c r="AG1073">
        <v>76.904250000000005</v>
      </c>
      <c r="AH1073">
        <v>234.43419308452701</v>
      </c>
      <c r="AI1073">
        <v>72.017719648125393</v>
      </c>
      <c r="AJ1073">
        <v>98.333997215813298</v>
      </c>
      <c r="AK1073">
        <v>249.10449618084101</v>
      </c>
      <c r="AL1073">
        <v>80.635625628618598</v>
      </c>
      <c r="AM1073">
        <v>92.484184532030497</v>
      </c>
      <c r="AN1073">
        <v>1.00000002818796</v>
      </c>
    </row>
    <row r="1074" spans="1:40" x14ac:dyDescent="0.3">
      <c r="A1074" t="str">
        <f>"20200111150743844"</f>
        <v>20200111150743844</v>
      </c>
      <c r="B1074" t="str">
        <f>"1578726463841944"</f>
        <v>1578726463841944</v>
      </c>
      <c r="C1074" t="s">
        <v>40</v>
      </c>
      <c r="D1074">
        <v>8.1854099999999992</v>
      </c>
      <c r="E1074">
        <v>0.50972799999999996</v>
      </c>
      <c r="F1074" t="s">
        <v>61</v>
      </c>
      <c r="G1074">
        <v>-511.82389999999998</v>
      </c>
      <c r="H1074">
        <v>11.13808</v>
      </c>
      <c r="I1074">
        <v>298.35250000000002</v>
      </c>
      <c r="J1074">
        <v>-256.1447</v>
      </c>
      <c r="K1074">
        <v>1.1097410000000001</v>
      </c>
      <c r="L1074">
        <v>282.65899999999999</v>
      </c>
      <c r="M1074">
        <v>-0.99826289999999995</v>
      </c>
      <c r="N1074">
        <v>0</v>
      </c>
      <c r="O1074">
        <v>5.7337649999999997E-2</v>
      </c>
      <c r="P1074">
        <v>-0.98867559999999999</v>
      </c>
      <c r="Q1074">
        <v>0.14948399999999901</v>
      </c>
      <c r="R1074">
        <v>1.32306E-2</v>
      </c>
      <c r="S1074">
        <v>-3.0140380000000002</v>
      </c>
      <c r="T1074">
        <v>0.1180971</v>
      </c>
      <c r="U1074">
        <v>0.18499760000000001</v>
      </c>
      <c r="V1074">
        <v>-4.3170409999999999E-2</v>
      </c>
      <c r="W1074">
        <v>0.1629477</v>
      </c>
      <c r="X1074">
        <v>0.98568979999999995</v>
      </c>
      <c r="Y1074">
        <v>3.9680710000000001E-3</v>
      </c>
      <c r="Z1074">
        <v>2.1643140000000001E-3</v>
      </c>
      <c r="AA1074">
        <v>0.99998980000000004</v>
      </c>
      <c r="AB1074">
        <v>29</v>
      </c>
      <c r="AC1074">
        <v>-255.67920000000001</v>
      </c>
      <c r="AD1074">
        <v>10.028339000000001</v>
      </c>
      <c r="AE1074">
        <v>15.6935</v>
      </c>
      <c r="AF1074">
        <v>1.0047468150496</v>
      </c>
      <c r="AG1074">
        <v>10.028339000000001</v>
      </c>
      <c r="AH1074">
        <v>255.766409101531</v>
      </c>
      <c r="AI1074">
        <v>87.754658620793407</v>
      </c>
      <c r="AJ1074">
        <v>89.774921749672899</v>
      </c>
      <c r="AK1074">
        <v>255.96490603978</v>
      </c>
      <c r="AL1074">
        <v>80.621967203772101</v>
      </c>
      <c r="AM1074">
        <v>92.5077895434396</v>
      </c>
      <c r="AN1074">
        <v>1.0000000095294399</v>
      </c>
    </row>
    <row r="1075" spans="1:40" x14ac:dyDescent="0.3">
      <c r="A1075" t="str">
        <f>"20200111150743879"</f>
        <v>20200111150743879</v>
      </c>
      <c r="B1075" t="str">
        <f>"1578726463872199"</f>
        <v>1578726463872199</v>
      </c>
      <c r="C1075" t="s">
        <v>40</v>
      </c>
      <c r="D1075">
        <v>5.3345279999999997</v>
      </c>
      <c r="E1075">
        <v>0.46259660000000002</v>
      </c>
      <c r="F1075" t="s">
        <v>61</v>
      </c>
      <c r="G1075">
        <v>-511.15969999999999</v>
      </c>
      <c r="H1075">
        <v>2.5834670000000002</v>
      </c>
      <c r="I1075">
        <v>293.69319999999999</v>
      </c>
      <c r="J1075">
        <v>-256.58359999999999</v>
      </c>
      <c r="K1075">
        <v>1.1097490000000001</v>
      </c>
      <c r="L1075">
        <v>282.6859</v>
      </c>
      <c r="M1075">
        <v>-0.99817730000000005</v>
      </c>
      <c r="N1075">
        <v>0</v>
      </c>
      <c r="O1075">
        <v>5.8809500000000001E-2</v>
      </c>
      <c r="P1075">
        <v>-0.98860729999999997</v>
      </c>
      <c r="Q1075">
        <v>0.1498872</v>
      </c>
      <c r="R1075">
        <v>1.375973E-2</v>
      </c>
      <c r="S1075">
        <v>-3.0299680000000002</v>
      </c>
      <c r="T1075">
        <v>1.751113E-2</v>
      </c>
      <c r="U1075">
        <v>0.13110350000000001</v>
      </c>
      <c r="V1075">
        <v>-4.4094300000000003E-2</v>
      </c>
      <c r="W1075">
        <v>0.16334849999999901</v>
      </c>
      <c r="X1075">
        <v>0.98558250000000003</v>
      </c>
      <c r="Y1075">
        <v>-1.5605020000000001E-2</v>
      </c>
      <c r="Z1075">
        <v>3.8456450000000001E-4</v>
      </c>
      <c r="AA1075">
        <v>0.99987820000000005</v>
      </c>
      <c r="AB1075">
        <v>29</v>
      </c>
      <c r="AC1075">
        <v>-254.5761</v>
      </c>
      <c r="AD1075">
        <v>1.4737180000000001</v>
      </c>
      <c r="AE1075">
        <v>11.007299999999899</v>
      </c>
      <c r="AF1075">
        <v>-3.9844885283606599</v>
      </c>
      <c r="AG1075">
        <v>1.4737180000000001</v>
      </c>
      <c r="AH1075">
        <v>254.77427602508899</v>
      </c>
      <c r="AI1075">
        <v>89.668622134028794</v>
      </c>
      <c r="AJ1075">
        <v>90.895992208657105</v>
      </c>
      <c r="AK1075">
        <v>254.809693139182</v>
      </c>
      <c r="AL1075">
        <v>80.598690648357305</v>
      </c>
      <c r="AM1075">
        <v>92.561666506938494</v>
      </c>
      <c r="AN1075">
        <v>0.99999995202549297</v>
      </c>
    </row>
    <row r="1076" spans="1:40" x14ac:dyDescent="0.3">
      <c r="A1076" t="str">
        <f>"20200111150743902"</f>
        <v>20200111150743902</v>
      </c>
      <c r="B1076" t="str">
        <f>"1578726463892694"</f>
        <v>1578726463892694</v>
      </c>
      <c r="C1076" t="s">
        <v>40</v>
      </c>
      <c r="D1076">
        <v>5.3293629999999999</v>
      </c>
      <c r="E1076">
        <v>0.5023069</v>
      </c>
      <c r="F1076" t="s">
        <v>57</v>
      </c>
      <c r="G1076">
        <v>-512.85180000000003</v>
      </c>
      <c r="H1076">
        <v>80.26003</v>
      </c>
      <c r="I1076">
        <v>258.68310000000002</v>
      </c>
      <c r="J1076">
        <v>-256.88900000000001</v>
      </c>
      <c r="K1076">
        <v>1.1097490000000001</v>
      </c>
      <c r="L1076">
        <v>282.70510000000002</v>
      </c>
      <c r="M1076">
        <v>-0.99811629999999996</v>
      </c>
      <c r="N1076">
        <v>0</v>
      </c>
      <c r="O1076">
        <v>5.9834600000000002E-2</v>
      </c>
      <c r="P1076">
        <v>-0.98840209999999995</v>
      </c>
      <c r="Q1076">
        <v>0.1512365</v>
      </c>
      <c r="R1076">
        <v>1.374536E-2</v>
      </c>
      <c r="S1076">
        <v>-2.9024350000000001</v>
      </c>
      <c r="T1076">
        <v>0.89643790000000001</v>
      </c>
      <c r="U1076">
        <v>-0.2718506</v>
      </c>
      <c r="V1076">
        <v>-4.5109030000000001E-2</v>
      </c>
      <c r="W1076">
        <v>0.16469420000000001</v>
      </c>
      <c r="X1076">
        <v>0.98531259999999998</v>
      </c>
      <c r="Y1076">
        <v>-0.1432696</v>
      </c>
      <c r="Z1076">
        <v>3.9605290000000001E-2</v>
      </c>
      <c r="AA1076">
        <v>0.98889090000000002</v>
      </c>
      <c r="AB1076">
        <v>29</v>
      </c>
      <c r="AC1076">
        <v>-255.96279999999999</v>
      </c>
      <c r="AD1076">
        <v>79.150281000000007</v>
      </c>
      <c r="AE1076">
        <v>-24.021999999999899</v>
      </c>
      <c r="AF1076">
        <v>-35.893591356517597</v>
      </c>
      <c r="AG1076">
        <v>79.150281000000007</v>
      </c>
      <c r="AH1076">
        <v>232.06973771254101</v>
      </c>
      <c r="AI1076">
        <v>71.373363836751494</v>
      </c>
      <c r="AJ1076">
        <v>98.792114948243906</v>
      </c>
      <c r="AK1076">
        <v>247.809362302588</v>
      </c>
      <c r="AL1076">
        <v>80.5205292444967</v>
      </c>
      <c r="AM1076">
        <v>92.621253003270695</v>
      </c>
      <c r="AN1076">
        <v>0.99999996190996898</v>
      </c>
    </row>
    <row r="1077" spans="1:40" x14ac:dyDescent="0.3">
      <c r="A1077" t="str">
        <f>"20200111150743922"</f>
        <v>20200111150743922</v>
      </c>
      <c r="B1077" t="str">
        <f>"1578726463912215"</f>
        <v>1578726463912215</v>
      </c>
      <c r="C1077" t="s">
        <v>40</v>
      </c>
      <c r="D1077">
        <v>5.281625</v>
      </c>
      <c r="E1077">
        <v>0.50598809999999905</v>
      </c>
      <c r="F1077" t="s">
        <v>58</v>
      </c>
      <c r="G1077">
        <v>-317.2192</v>
      </c>
      <c r="H1077" s="1">
        <v>5.4529239999999997E-6</v>
      </c>
      <c r="I1077">
        <v>284.22149999999999</v>
      </c>
      <c r="J1077">
        <v>-257.1653</v>
      </c>
      <c r="K1077">
        <v>1.1097440000000001</v>
      </c>
      <c r="L1077">
        <v>282.72269999999997</v>
      </c>
      <c r="M1077">
        <v>-0.99806050000000002</v>
      </c>
      <c r="N1077">
        <v>0</v>
      </c>
      <c r="O1077">
        <v>6.076086E-2</v>
      </c>
      <c r="P1077">
        <v>-0.98827869999999995</v>
      </c>
      <c r="Q1077">
        <v>0.152084</v>
      </c>
      <c r="R1077">
        <v>1.3268759999999999E-2</v>
      </c>
      <c r="S1077">
        <v>-3.042694</v>
      </c>
      <c r="T1077">
        <v>-5.5968879999999999E-2</v>
      </c>
      <c r="U1077">
        <v>7.6477050000000005E-2</v>
      </c>
      <c r="V1077">
        <v>-4.6492550000000001E-2</v>
      </c>
      <c r="W1077">
        <v>0.16553979999999999</v>
      </c>
      <c r="X1077">
        <v>0.98510660000000005</v>
      </c>
      <c r="Y1077">
        <v>-3.5650689999999999E-2</v>
      </c>
      <c r="Z1077">
        <v>-1.4445770000000001E-3</v>
      </c>
      <c r="AA1077">
        <v>0.99936320000000001</v>
      </c>
      <c r="AB1077">
        <v>29</v>
      </c>
      <c r="AC1077">
        <v>-60.053899999999999</v>
      </c>
      <c r="AD1077">
        <v>-1.1097385470759999</v>
      </c>
      <c r="AE1077">
        <v>1.4988000000000099</v>
      </c>
      <c r="AF1077">
        <v>-2.1524963800113199</v>
      </c>
      <c r="AG1077">
        <v>-1.1097385470759999</v>
      </c>
      <c r="AH1077">
        <v>60.0135175351272</v>
      </c>
      <c r="AI1077">
        <v>91.058682237918504</v>
      </c>
      <c r="AJ1077">
        <v>92.054139118677</v>
      </c>
      <c r="AK1077">
        <v>60.062359654344597</v>
      </c>
      <c r="AL1077">
        <v>80.471406005698796</v>
      </c>
      <c r="AM1077">
        <v>92.702095104005195</v>
      </c>
      <c r="AN1077">
        <v>0.99999999797655104</v>
      </c>
    </row>
    <row r="1078" spans="1:40" x14ac:dyDescent="0.3">
      <c r="A1078" t="str">
        <f>"20200111150743946"</f>
        <v>20200111150743946</v>
      </c>
      <c r="B1078" t="str">
        <f>"1578726463942470"</f>
        <v>1578726463942470</v>
      </c>
      <c r="C1078" t="s">
        <v>40</v>
      </c>
      <c r="D1078">
        <v>7.7617679999999902</v>
      </c>
      <c r="E1078">
        <v>0.5066311</v>
      </c>
      <c r="F1078" t="s">
        <v>58</v>
      </c>
      <c r="G1078">
        <v>-281.70479999999998</v>
      </c>
      <c r="H1078" s="1">
        <v>7.8602169999999996E-6</v>
      </c>
      <c r="I1078">
        <v>283.58080000000001</v>
      </c>
      <c r="J1078">
        <v>-257.45850000000002</v>
      </c>
      <c r="K1078">
        <v>1.109739</v>
      </c>
      <c r="L1078">
        <v>282.74160000000001</v>
      </c>
      <c r="M1078">
        <v>-0.9980002</v>
      </c>
      <c r="N1078">
        <v>0</v>
      </c>
      <c r="O1078">
        <v>6.1740629999999998E-2</v>
      </c>
      <c r="P1078">
        <v>-0.98828780000000005</v>
      </c>
      <c r="Q1078">
        <v>0.1520031</v>
      </c>
      <c r="R1078">
        <v>1.3501519999999999E-2</v>
      </c>
      <c r="S1078">
        <v>-3.0553889999999999</v>
      </c>
      <c r="T1078">
        <v>-0.1381724</v>
      </c>
      <c r="U1078">
        <v>0.10684200000000001</v>
      </c>
      <c r="V1078">
        <v>-4.723115E-2</v>
      </c>
      <c r="W1078">
        <v>0.16545799999999999</v>
      </c>
      <c r="X1078">
        <v>0.98508519999999999</v>
      </c>
      <c r="Y1078">
        <v>-2.6738020000000001E-2</v>
      </c>
      <c r="Z1078">
        <v>-3.392047E-3</v>
      </c>
      <c r="AA1078">
        <v>0.99963670000000004</v>
      </c>
      <c r="AB1078">
        <v>29</v>
      </c>
      <c r="AC1078">
        <v>-24.246299999999898</v>
      </c>
      <c r="AD1078">
        <v>-1.1097311397830001</v>
      </c>
      <c r="AE1078">
        <v>0.83920000000000505</v>
      </c>
      <c r="AF1078">
        <v>-0.65814361150670597</v>
      </c>
      <c r="AG1078">
        <v>-1.1097311397830001</v>
      </c>
      <c r="AH1078">
        <v>24.201216280129699</v>
      </c>
      <c r="AI1078">
        <v>92.624452981211405</v>
      </c>
      <c r="AJ1078">
        <v>91.5577547463472</v>
      </c>
      <c r="AK1078">
        <v>24.235583872760099</v>
      </c>
      <c r="AL1078">
        <v>80.476158270816001</v>
      </c>
      <c r="AM1078">
        <v>92.745016109769395</v>
      </c>
      <c r="AN1078">
        <v>0.99999999127668104</v>
      </c>
    </row>
    <row r="1079" spans="1:40" x14ac:dyDescent="0.3">
      <c r="A1079" t="str">
        <f>"20200111150743967"</f>
        <v>20200111150743967</v>
      </c>
      <c r="B1079" t="str">
        <f>"1578726463961991"</f>
        <v>1578726463961991</v>
      </c>
      <c r="C1079" t="s">
        <v>40</v>
      </c>
      <c r="D1079">
        <v>5.2702220000000004</v>
      </c>
      <c r="E1079">
        <v>0.49323980000000001</v>
      </c>
      <c r="F1079" t="s">
        <v>55</v>
      </c>
      <c r="G1079">
        <v>-278.3032</v>
      </c>
      <c r="H1079" s="1">
        <v>2.9296829999999998E-6</v>
      </c>
      <c r="I1079">
        <v>283.5204</v>
      </c>
      <c r="J1079">
        <v>-257.74290000000002</v>
      </c>
      <c r="K1079">
        <v>1.1097349999999999</v>
      </c>
      <c r="L1079">
        <v>282.76029999999997</v>
      </c>
      <c r="M1079">
        <v>-0.99794150000000004</v>
      </c>
      <c r="N1079">
        <v>0</v>
      </c>
      <c r="O1079">
        <v>6.2683630000000004E-2</v>
      </c>
      <c r="P1079">
        <v>-0.98845939999999999</v>
      </c>
      <c r="Q1079">
        <v>0.15074489999999999</v>
      </c>
      <c r="R1079">
        <v>1.496541E-2</v>
      </c>
      <c r="S1079">
        <v>-3.059021</v>
      </c>
      <c r="T1079">
        <v>-0.1628571</v>
      </c>
      <c r="U1079">
        <v>0.1142883</v>
      </c>
      <c r="V1079">
        <v>-4.6718299999999997E-2</v>
      </c>
      <c r="W1079">
        <v>0.16419900000000001</v>
      </c>
      <c r="X1079">
        <v>0.98532030000000004</v>
      </c>
      <c r="Y1079">
        <v>-2.525987E-2</v>
      </c>
      <c r="Z1079">
        <v>-4.003024E-3</v>
      </c>
      <c r="AA1079">
        <v>0.99967289999999998</v>
      </c>
      <c r="AB1079">
        <v>29</v>
      </c>
      <c r="AC1079">
        <v>-20.560299999999899</v>
      </c>
      <c r="AD1079">
        <v>-1.1097320703169999</v>
      </c>
      <c r="AE1079">
        <v>0.76010000000002198</v>
      </c>
      <c r="AF1079">
        <v>-0.52876923519227403</v>
      </c>
      <c r="AG1079">
        <v>-1.1097320703169999</v>
      </c>
      <c r="AH1079">
        <v>20.507846972972199</v>
      </c>
      <c r="AI1079">
        <v>93.096373281229404</v>
      </c>
      <c r="AJ1079">
        <v>91.476972914940802</v>
      </c>
      <c r="AK1079">
        <v>20.5446559873564</v>
      </c>
      <c r="AL1079">
        <v>80.549294101745801</v>
      </c>
      <c r="AM1079">
        <v>92.714607853997506</v>
      </c>
      <c r="AN1079">
        <v>1.0000000023739899</v>
      </c>
    </row>
    <row r="1080" spans="1:40" x14ac:dyDescent="0.3">
      <c r="A1080" t="str">
        <f>"20200111150743991"</f>
        <v>20200111150743991</v>
      </c>
      <c r="B1080" t="str">
        <f>"1578726463982487"</f>
        <v>1578726463982487</v>
      </c>
      <c r="C1080" t="s">
        <v>40</v>
      </c>
      <c r="D1080">
        <v>5.1202180000000004</v>
      </c>
      <c r="E1080">
        <v>0.51476820000000001</v>
      </c>
      <c r="F1080" t="s">
        <v>49</v>
      </c>
      <c r="G1080">
        <v>0</v>
      </c>
      <c r="H1080">
        <v>0</v>
      </c>
      <c r="I1080">
        <v>0</v>
      </c>
      <c r="J1080">
        <v>-258.04390000000001</v>
      </c>
      <c r="K1080">
        <v>1.1097429999999999</v>
      </c>
      <c r="L1080">
        <v>282.78030000000001</v>
      </c>
      <c r="M1080">
        <v>-0.99787969999999904</v>
      </c>
      <c r="N1080">
        <v>0</v>
      </c>
      <c r="O1080">
        <v>6.3661999999999996E-2</v>
      </c>
      <c r="P1080">
        <v>-0.98861880000000002</v>
      </c>
      <c r="Q1080">
        <v>0.14935039999999999</v>
      </c>
      <c r="R1080">
        <v>1.8100310000000001E-2</v>
      </c>
      <c r="S1080">
        <v>-2.8811040000000001</v>
      </c>
      <c r="T1080">
        <v>1.012054</v>
      </c>
      <c r="U1080">
        <v>-2.810669E-2</v>
      </c>
      <c r="V1080">
        <v>-4.4575860000000002E-2</v>
      </c>
      <c r="W1080">
        <v>0.162801799999999</v>
      </c>
      <c r="X1080">
        <v>0.98565130000000001</v>
      </c>
      <c r="Y1080">
        <v>-6.5656709999999993E-2</v>
      </c>
      <c r="Z1080">
        <v>3.2900369999999998E-2</v>
      </c>
      <c r="AA1080">
        <v>0.99729970000000001</v>
      </c>
      <c r="AB1080">
        <v>29</v>
      </c>
      <c r="AC1080">
        <v>-2.8811040000000001</v>
      </c>
      <c r="AD1080">
        <v>1.012054</v>
      </c>
      <c r="AE1080">
        <v>-2.810669E-2</v>
      </c>
      <c r="AF1080">
        <v>-0.18825609733153201</v>
      </c>
      <c r="AG1080">
        <v>1.012054</v>
      </c>
      <c r="AH1080">
        <v>2.5578759569489802</v>
      </c>
      <c r="AI1080">
        <v>68.466075184748505</v>
      </c>
      <c r="AJ1080">
        <v>94.209300034764496</v>
      </c>
      <c r="AK1080">
        <v>2.7572491850096101</v>
      </c>
      <c r="AL1080">
        <v>80.630439319512107</v>
      </c>
      <c r="AM1080">
        <v>92.589424432878104</v>
      </c>
      <c r="AN1080">
        <v>0.99999995928483398</v>
      </c>
    </row>
    <row r="1081" spans="1:40" x14ac:dyDescent="0.3">
      <c r="A1081" t="str">
        <f>"20200111150744014"</f>
        <v>20200111150744014</v>
      </c>
      <c r="B1081" t="str">
        <f>"1578726464011767"</f>
        <v>1578726464011767</v>
      </c>
      <c r="C1081" t="s">
        <v>40</v>
      </c>
      <c r="D1081">
        <v>5.4822389999999999</v>
      </c>
      <c r="E1081">
        <v>0.50832559999999904</v>
      </c>
      <c r="F1081" t="s">
        <v>58</v>
      </c>
      <c r="G1081">
        <v>-283.08580000000001</v>
      </c>
      <c r="H1081" s="1">
        <v>7.0870610000000003E-6</v>
      </c>
      <c r="I1081">
        <v>284.35890000000001</v>
      </c>
      <c r="J1081">
        <v>-258.34539999999998</v>
      </c>
      <c r="K1081">
        <v>1.109766</v>
      </c>
      <c r="L1081">
        <v>282.80070000000001</v>
      </c>
      <c r="M1081">
        <v>-0.99781909999999896</v>
      </c>
      <c r="N1081">
        <v>0</v>
      </c>
      <c r="O1081">
        <v>6.4603430000000003E-2</v>
      </c>
      <c r="P1081">
        <v>-0.98872890000000002</v>
      </c>
      <c r="Q1081">
        <v>0.14806859999999999</v>
      </c>
      <c r="R1081">
        <v>2.2162830000000001E-2</v>
      </c>
      <c r="S1081">
        <v>-3.051453</v>
      </c>
      <c r="T1081">
        <v>-0.13522619999999999</v>
      </c>
      <c r="U1081">
        <v>0.1923523</v>
      </c>
      <c r="V1081">
        <v>-4.147269E-2</v>
      </c>
      <c r="W1081">
        <v>0.1615144</v>
      </c>
      <c r="X1081">
        <v>0.9859985</v>
      </c>
      <c r="Y1081">
        <v>-1.63675E-3</v>
      </c>
      <c r="Z1081">
        <v>-2.8922140000000002E-3</v>
      </c>
      <c r="AA1081">
        <v>0.99999450000000001</v>
      </c>
      <c r="AB1081">
        <v>29</v>
      </c>
      <c r="AC1081">
        <v>-24.740400000000001</v>
      </c>
      <c r="AD1081">
        <v>-1.109758912939</v>
      </c>
      <c r="AE1081">
        <v>1.55819999999999</v>
      </c>
      <c r="AF1081">
        <v>-4.3429930568772999E-2</v>
      </c>
      <c r="AG1081">
        <v>-1.109758912939</v>
      </c>
      <c r="AH1081">
        <v>24.739800897328202</v>
      </c>
      <c r="AI1081">
        <v>92.568404178374905</v>
      </c>
      <c r="AJ1081">
        <v>90.100580808244004</v>
      </c>
      <c r="AK1081">
        <v>24.764716825418301</v>
      </c>
      <c r="AL1081">
        <v>80.705191314122004</v>
      </c>
      <c r="AM1081">
        <v>92.408533353350194</v>
      </c>
      <c r="AN1081">
        <v>0.99999996371272204</v>
      </c>
    </row>
    <row r="1082" spans="1:40" x14ac:dyDescent="0.3">
      <c r="A1082" t="str">
        <f>"20200111150744035"</f>
        <v>20200111150744035</v>
      </c>
      <c r="B1082" t="str">
        <f>"1578726464032263"</f>
        <v>1578726464032263</v>
      </c>
      <c r="C1082" t="s">
        <v>40</v>
      </c>
      <c r="D1082">
        <v>5.1629110000000003</v>
      </c>
      <c r="E1082">
        <v>0.50669059999999999</v>
      </c>
      <c r="F1082" t="s">
        <v>58</v>
      </c>
      <c r="G1082">
        <v>-285.47019999999998</v>
      </c>
      <c r="H1082" s="1">
        <v>6.0699790000000004E-6</v>
      </c>
      <c r="I1082">
        <v>284.16359999999997</v>
      </c>
      <c r="J1082">
        <v>-258.61829999999998</v>
      </c>
      <c r="K1082">
        <v>1.109801</v>
      </c>
      <c r="L1082">
        <v>282.8193</v>
      </c>
      <c r="M1082">
        <v>-0.99776730000000002</v>
      </c>
      <c r="N1082">
        <v>0</v>
      </c>
      <c r="O1082">
        <v>6.5401799999999996E-2</v>
      </c>
      <c r="P1082">
        <v>-0.98864220000000003</v>
      </c>
      <c r="Q1082">
        <v>0.14795849999999999</v>
      </c>
      <c r="R1082">
        <v>2.6365880000000001E-2</v>
      </c>
      <c r="S1082">
        <v>-3.0494379999999999</v>
      </c>
      <c r="T1082">
        <v>-0.12476180000000001</v>
      </c>
      <c r="U1082">
        <v>0.153228799999999</v>
      </c>
      <c r="V1082">
        <v>-3.8078649999999999E-2</v>
      </c>
      <c r="W1082">
        <v>0.1613945</v>
      </c>
      <c r="X1082">
        <v>0.98615509999999995</v>
      </c>
      <c r="Y1082">
        <v>-1.5180819999999999E-2</v>
      </c>
      <c r="Z1082">
        <v>-2.9809210000000001E-3</v>
      </c>
      <c r="AA1082">
        <v>0.99988030000000006</v>
      </c>
      <c r="AB1082">
        <v>29</v>
      </c>
      <c r="AC1082">
        <v>-26.851900000000001</v>
      </c>
      <c r="AD1082">
        <v>-1.1097949300209999</v>
      </c>
      <c r="AE1082">
        <v>1.3442999999999701</v>
      </c>
      <c r="AF1082">
        <v>-0.41419622560209901</v>
      </c>
      <c r="AG1082">
        <v>-1.1097949300209999</v>
      </c>
      <c r="AH1082">
        <v>26.836600187051602</v>
      </c>
      <c r="AI1082">
        <v>92.367766257884398</v>
      </c>
      <c r="AJ1082">
        <v>90.884233150143302</v>
      </c>
      <c r="AK1082">
        <v>26.862730927805199</v>
      </c>
      <c r="AL1082">
        <v>80.712152978523307</v>
      </c>
      <c r="AM1082">
        <v>92.211277504232797</v>
      </c>
      <c r="AN1082">
        <v>1.0000000247360401</v>
      </c>
    </row>
    <row r="1083" spans="1:40" x14ac:dyDescent="0.3">
      <c r="A1083" t="str">
        <f>"20200111150744081"</f>
        <v>20200111150744081</v>
      </c>
      <c r="B1083" t="str">
        <f>"1578726464072279"</f>
        <v>1578726464072279</v>
      </c>
      <c r="C1083" t="s">
        <v>40</v>
      </c>
      <c r="D1083">
        <v>8.1066009999999995</v>
      </c>
      <c r="E1083">
        <v>0.47414630000000002</v>
      </c>
      <c r="F1083" t="s">
        <v>55</v>
      </c>
      <c r="G1083">
        <v>-279.32069999999999</v>
      </c>
      <c r="H1083" s="1">
        <v>3.4561010000000001E-6</v>
      </c>
      <c r="I1083">
        <v>283.86470000000003</v>
      </c>
      <c r="J1083">
        <v>-259.20330000000001</v>
      </c>
      <c r="K1083">
        <v>1.1099300000000001</v>
      </c>
      <c r="L1083">
        <v>282.8596</v>
      </c>
      <c r="M1083">
        <v>-0.9976718</v>
      </c>
      <c r="N1083">
        <v>0</v>
      </c>
      <c r="O1083">
        <v>6.6839540000000003E-2</v>
      </c>
      <c r="P1083">
        <v>-0.98852709999999999</v>
      </c>
      <c r="Q1083">
        <v>0.14798159999999999</v>
      </c>
      <c r="R1083">
        <v>3.0261179999999999E-2</v>
      </c>
      <c r="S1083">
        <v>-3.0548709999999999</v>
      </c>
      <c r="T1083">
        <v>-0.16376260000000001</v>
      </c>
      <c r="U1083">
        <v>0.1542664</v>
      </c>
      <c r="V1083">
        <v>-3.5662920000000001E-2</v>
      </c>
      <c r="W1083">
        <v>0.16139819999999999</v>
      </c>
      <c r="X1083">
        <v>0.98624480000000003</v>
      </c>
      <c r="Y1083">
        <v>-1.6320270000000001E-2</v>
      </c>
      <c r="Z1083">
        <v>-4.0118899999999997E-3</v>
      </c>
      <c r="AA1083">
        <v>0.99985869999999999</v>
      </c>
      <c r="AB1083">
        <v>29</v>
      </c>
      <c r="AC1083">
        <v>-20.1173999999999</v>
      </c>
      <c r="AD1083">
        <v>-1.10992654389899</v>
      </c>
      <c r="AE1083">
        <v>1.0051000000000201</v>
      </c>
      <c r="AF1083">
        <v>-0.340874162181103</v>
      </c>
      <c r="AG1083">
        <v>-1.10992654389899</v>
      </c>
      <c r="AH1083">
        <v>20.0786233713293</v>
      </c>
      <c r="AI1083">
        <v>93.163579144701004</v>
      </c>
      <c r="AJ1083">
        <v>90.972615225806805</v>
      </c>
      <c r="AK1083">
        <v>20.112166681264998</v>
      </c>
      <c r="AL1083">
        <v>80.711938068961203</v>
      </c>
      <c r="AM1083">
        <v>92.070930968976299</v>
      </c>
      <c r="AN1083">
        <v>1.0000000141765999</v>
      </c>
    </row>
    <row r="1084" spans="1:40" x14ac:dyDescent="0.3">
      <c r="A1084" t="str">
        <f>"20200111150744102"</f>
        <v>20200111150744102</v>
      </c>
      <c r="B1084" t="str">
        <f>"1578726464091799"</f>
        <v>1578726464091799</v>
      </c>
      <c r="C1084" t="s">
        <v>40</v>
      </c>
      <c r="D1084">
        <v>5.5319929999999999</v>
      </c>
      <c r="E1084">
        <v>0.47275529999999999</v>
      </c>
      <c r="F1084" t="s">
        <v>41</v>
      </c>
      <c r="G1084">
        <v>-260.11849999999998</v>
      </c>
      <c r="H1084">
        <v>0.88241819999999904</v>
      </c>
      <c r="I1084">
        <v>282.839</v>
      </c>
      <c r="J1084">
        <v>-259.49110000000002</v>
      </c>
      <c r="K1084">
        <v>1.110026</v>
      </c>
      <c r="L1084">
        <v>282.87950000000001</v>
      </c>
      <c r="M1084">
        <v>-0.99763760000000001</v>
      </c>
      <c r="N1084">
        <v>0</v>
      </c>
      <c r="O1084">
        <v>6.7351159999999993E-2</v>
      </c>
      <c r="P1084">
        <v>-0.98858480000000004</v>
      </c>
      <c r="Q1084">
        <v>0.14747469999999999</v>
      </c>
      <c r="R1084">
        <v>3.084576E-2</v>
      </c>
      <c r="S1084">
        <v>-3.1543269999999999</v>
      </c>
      <c r="T1084">
        <v>-0.78406619999999905</v>
      </c>
      <c r="U1084">
        <v>-7.0922849999999996E-2</v>
      </c>
      <c r="V1084">
        <v>-3.5629269999999998E-2</v>
      </c>
      <c r="W1084">
        <v>0.16088150000000001</v>
      </c>
      <c r="X1084">
        <v>0.98633040000000005</v>
      </c>
      <c r="Y1084">
        <v>-8.5130549999999999E-2</v>
      </c>
      <c r="Z1084">
        <v>-2.6904109999999998E-2</v>
      </c>
      <c r="AA1084">
        <v>0.99600650000000002</v>
      </c>
      <c r="AB1084">
        <v>29</v>
      </c>
      <c r="AC1084">
        <v>-0.62739999999996598</v>
      </c>
      <c r="AD1084">
        <v>-0.2276078</v>
      </c>
      <c r="AE1084">
        <v>-4.0500000000008599E-2</v>
      </c>
      <c r="AF1084">
        <v>-7.3088788207774494E-2</v>
      </c>
      <c r="AG1084">
        <v>-0.2276078</v>
      </c>
      <c r="AH1084">
        <v>0.55102791025536402</v>
      </c>
      <c r="AI1084">
        <v>112.267825408779</v>
      </c>
      <c r="AJ1084">
        <v>97.555654235848095</v>
      </c>
      <c r="AK1084">
        <v>0.60064884871521595</v>
      </c>
      <c r="AL1084">
        <v>80.741934488358098</v>
      </c>
      <c r="AM1084">
        <v>92.068799223426197</v>
      </c>
      <c r="AN1084">
        <v>0.99999997994357104</v>
      </c>
    </row>
    <row r="1085" spans="1:40" x14ac:dyDescent="0.3">
      <c r="A1085" t="str">
        <f>"20200111150744125"</f>
        <v>20200111150744125</v>
      </c>
      <c r="B1085" t="str">
        <f>"1578726464122055"</f>
        <v>1578726464122055</v>
      </c>
      <c r="C1085" t="s">
        <v>40</v>
      </c>
      <c r="D1085">
        <v>5.1600359999999998</v>
      </c>
      <c r="E1085">
        <v>0.4685107</v>
      </c>
      <c r="F1085" t="s">
        <v>41</v>
      </c>
      <c r="G1085">
        <v>-260.37279999999998</v>
      </c>
      <c r="H1085">
        <v>0.87401849999999903</v>
      </c>
      <c r="I1085">
        <v>282.85789999999997</v>
      </c>
      <c r="J1085">
        <v>-259.78899999999999</v>
      </c>
      <c r="K1085">
        <v>1.11012</v>
      </c>
      <c r="L1085">
        <v>282.90019999999998</v>
      </c>
      <c r="M1085">
        <v>-0.99761029999999995</v>
      </c>
      <c r="N1085">
        <v>0</v>
      </c>
      <c r="O1085">
        <v>6.7755179999999998E-2</v>
      </c>
      <c r="P1085">
        <v>-0.98865599999999998</v>
      </c>
      <c r="Q1085">
        <v>0.14692929999999901</v>
      </c>
      <c r="R1085">
        <v>3.116555E-2</v>
      </c>
      <c r="S1085">
        <v>-3.1634220000000002</v>
      </c>
      <c r="T1085">
        <v>-0.84681149999999905</v>
      </c>
      <c r="U1085">
        <v>-7.830811E-2</v>
      </c>
      <c r="V1085">
        <v>-3.5754840000000003E-2</v>
      </c>
      <c r="W1085">
        <v>0.16032660000000001</v>
      </c>
      <c r="X1085">
        <v>0.98641619999999997</v>
      </c>
      <c r="Y1085">
        <v>-8.6985699999999999E-2</v>
      </c>
      <c r="Z1085">
        <v>-2.925525E-2</v>
      </c>
      <c r="AA1085">
        <v>0.99577990000000005</v>
      </c>
      <c r="AB1085">
        <v>29</v>
      </c>
      <c r="AC1085">
        <v>-0.58379999999999599</v>
      </c>
      <c r="AD1085">
        <v>-0.23610149999999999</v>
      </c>
      <c r="AE1085">
        <v>-4.2300000000011502E-2</v>
      </c>
      <c r="AF1085">
        <v>-7.0320516983065601E-2</v>
      </c>
      <c r="AG1085">
        <v>-0.23610149999999999</v>
      </c>
      <c r="AH1085">
        <v>0.49848664503436602</v>
      </c>
      <c r="AI1085">
        <v>115.126249750985</v>
      </c>
      <c r="AJ1085">
        <v>98.0296174911375</v>
      </c>
      <c r="AK1085">
        <v>0.55603761445484401</v>
      </c>
      <c r="AL1085">
        <v>80.774145998083497</v>
      </c>
      <c r="AM1085">
        <v>92.0759036029079</v>
      </c>
      <c r="AN1085">
        <v>0.99999997343671199</v>
      </c>
    </row>
    <row r="1086" spans="1:40" x14ac:dyDescent="0.3">
      <c r="A1086" t="str">
        <f>"20200111150744146"</f>
        <v>20200111150744146</v>
      </c>
      <c r="B1086" t="str">
        <f>"1578726464142551"</f>
        <v>1578726464142551</v>
      </c>
      <c r="C1086" t="s">
        <v>40</v>
      </c>
      <c r="D1086">
        <v>5.5675129999999999</v>
      </c>
      <c r="E1086">
        <v>0.4671613</v>
      </c>
      <c r="F1086" t="s">
        <v>41</v>
      </c>
      <c r="G1086">
        <v>-260.64550000000003</v>
      </c>
      <c r="H1086">
        <v>0.90617789999999998</v>
      </c>
      <c r="I1086">
        <v>282.8689</v>
      </c>
      <c r="J1086">
        <v>-260.05099999999999</v>
      </c>
      <c r="K1086">
        <v>1.110204</v>
      </c>
      <c r="L1086">
        <v>282.91829999999999</v>
      </c>
      <c r="M1086">
        <v>-0.99759370000000003</v>
      </c>
      <c r="N1086">
        <v>0</v>
      </c>
      <c r="O1086">
        <v>6.7997139999999998E-2</v>
      </c>
      <c r="P1086">
        <v>-0.98873169999999999</v>
      </c>
      <c r="Q1086">
        <v>0.14655499999999999</v>
      </c>
      <c r="R1086">
        <v>3.051972E-2</v>
      </c>
      <c r="S1086">
        <v>-3.1495359999999999</v>
      </c>
      <c r="T1086">
        <v>-0.74991669999999999</v>
      </c>
      <c r="U1086">
        <v>-0.11517330000000001</v>
      </c>
      <c r="V1086">
        <v>-3.6678090000000003E-2</v>
      </c>
      <c r="W1086">
        <v>0.159944</v>
      </c>
      <c r="X1086">
        <v>0.98644449999999995</v>
      </c>
      <c r="Y1086">
        <v>-9.9733500000000003E-2</v>
      </c>
      <c r="Z1086">
        <v>-2.766509E-2</v>
      </c>
      <c r="AA1086">
        <v>0.99462950000000006</v>
      </c>
      <c r="AB1086">
        <v>29</v>
      </c>
      <c r="AC1086">
        <v>-0.594500000000039</v>
      </c>
      <c r="AD1086">
        <v>-0.20402609999999999</v>
      </c>
      <c r="AE1086">
        <v>-4.9399999999991402E-2</v>
      </c>
      <c r="AF1086">
        <v>-8.0318667307086297E-2</v>
      </c>
      <c r="AG1086">
        <v>-0.20402609999999999</v>
      </c>
      <c r="AH1086">
        <v>0.52800319763568504</v>
      </c>
      <c r="AI1086">
        <v>110.907662590589</v>
      </c>
      <c r="AJ1086">
        <v>98.649397632546993</v>
      </c>
      <c r="AK1086">
        <v>0.57172118599252897</v>
      </c>
      <c r="AL1086">
        <v>80.796354745826406</v>
      </c>
      <c r="AM1086">
        <v>92.129397155516799</v>
      </c>
      <c r="AN1086">
        <v>1.0000000585011399</v>
      </c>
    </row>
    <row r="1087" spans="1:40" x14ac:dyDescent="0.3">
      <c r="A1087" t="str">
        <f>"20200111150744169"</f>
        <v>20200111150744169</v>
      </c>
      <c r="B1087" t="str">
        <f>"1578726464162577"</f>
        <v>1578726464162577</v>
      </c>
      <c r="C1087" t="s">
        <v>40</v>
      </c>
      <c r="D1087">
        <v>5.8153610000000002</v>
      </c>
      <c r="E1087">
        <v>0.45915309999999998</v>
      </c>
      <c r="F1087" t="s">
        <v>41</v>
      </c>
      <c r="G1087">
        <v>-260.90820000000002</v>
      </c>
      <c r="H1087">
        <v>0.91651079999999996</v>
      </c>
      <c r="I1087">
        <v>282.88299999999998</v>
      </c>
      <c r="J1087">
        <v>-260.35140000000001</v>
      </c>
      <c r="K1087">
        <v>1.1103000000000001</v>
      </c>
      <c r="L1087">
        <v>282.9391</v>
      </c>
      <c r="M1087">
        <v>-0.99758440000000004</v>
      </c>
      <c r="N1087">
        <v>0</v>
      </c>
      <c r="O1087">
        <v>6.8134199999999895E-2</v>
      </c>
      <c r="P1087">
        <v>-0.98870550000000001</v>
      </c>
      <c r="Q1087">
        <v>0.1468515</v>
      </c>
      <c r="R1087">
        <v>2.9936040000000001E-2</v>
      </c>
      <c r="S1087">
        <v>-3.1435240000000002</v>
      </c>
      <c r="T1087">
        <v>-0.7103969</v>
      </c>
      <c r="U1087">
        <v>-0.13012699999999999</v>
      </c>
      <c r="V1087">
        <v>-3.7433149999999998E-2</v>
      </c>
      <c r="W1087">
        <v>0.1602297</v>
      </c>
      <c r="X1087">
        <v>0.98636970000000002</v>
      </c>
      <c r="Y1087">
        <v>-0.1049863</v>
      </c>
      <c r="Z1087">
        <v>-2.6907469999999999E-2</v>
      </c>
      <c r="AA1087">
        <v>0.99410960000000004</v>
      </c>
      <c r="AB1087">
        <v>29</v>
      </c>
      <c r="AC1087">
        <v>-0.55680000000000895</v>
      </c>
      <c r="AD1087">
        <v>-0.19378919999999999</v>
      </c>
      <c r="AE1087">
        <v>-5.6100000000014902E-2</v>
      </c>
      <c r="AF1087">
        <v>-8.3854747068167798E-2</v>
      </c>
      <c r="AG1087">
        <v>-0.19378919999999999</v>
      </c>
      <c r="AH1087">
        <v>0.49261156335928502</v>
      </c>
      <c r="AI1087">
        <v>111.196934551852</v>
      </c>
      <c r="AJ1087">
        <v>99.660567935038699</v>
      </c>
      <c r="AK1087">
        <v>0.535958976972851</v>
      </c>
      <c r="AL1087">
        <v>80.779770841677504</v>
      </c>
      <c r="AM1087">
        <v>92.173356241920999</v>
      </c>
      <c r="AN1087">
        <v>0.99999999127955097</v>
      </c>
    </row>
    <row r="1088" spans="1:40" x14ac:dyDescent="0.3">
      <c r="A1088" t="str">
        <f>"20200111150744191"</f>
        <v>20200111150744191</v>
      </c>
      <c r="B1088" t="str">
        <f>"1578726464182100"</f>
        <v>1578726464182100</v>
      </c>
      <c r="C1088" t="s">
        <v>40</v>
      </c>
      <c r="D1088">
        <v>6.420922</v>
      </c>
      <c r="E1088">
        <v>0.45281090000000002</v>
      </c>
      <c r="F1088" t="s">
        <v>55</v>
      </c>
      <c r="G1088">
        <v>-276.91269999999997</v>
      </c>
      <c r="H1088" s="1">
        <v>2.2655429999999999E-6</v>
      </c>
      <c r="I1088">
        <v>281.78519999999997</v>
      </c>
      <c r="J1088">
        <v>-260.63929999999999</v>
      </c>
      <c r="K1088">
        <v>1.1104069999999999</v>
      </c>
      <c r="L1088">
        <v>282.95890000000003</v>
      </c>
      <c r="M1088">
        <v>-0.99758500000000006</v>
      </c>
      <c r="N1088">
        <v>0</v>
      </c>
      <c r="O1088">
        <v>6.8126290000000006E-2</v>
      </c>
      <c r="P1088">
        <v>-0.98875420000000003</v>
      </c>
      <c r="Q1088">
        <v>0.14658209999999999</v>
      </c>
      <c r="R1088">
        <v>2.9646039999999999E-2</v>
      </c>
      <c r="S1088">
        <v>-3.0713200000000001</v>
      </c>
      <c r="T1088">
        <v>-0.2059066</v>
      </c>
      <c r="U1088">
        <v>-0.21398929999999999</v>
      </c>
      <c r="V1088">
        <v>-3.7757069999999997E-2</v>
      </c>
      <c r="W1088">
        <v>0.1599496</v>
      </c>
      <c r="X1088">
        <v>0.98640280000000002</v>
      </c>
      <c r="Y1088">
        <v>-0.1368529</v>
      </c>
      <c r="Z1088">
        <v>-9.1338989999999991E-3</v>
      </c>
      <c r="AA1088">
        <v>0.99054929999999997</v>
      </c>
      <c r="AB1088">
        <v>29</v>
      </c>
      <c r="AC1088">
        <v>-16.273399999999899</v>
      </c>
      <c r="AD1088">
        <v>-1.1104047344569901</v>
      </c>
      <c r="AE1088">
        <v>-1.1737000000000499</v>
      </c>
      <c r="AF1088">
        <v>-2.2692098619842902</v>
      </c>
      <c r="AG1088">
        <v>-1.1104047344569901</v>
      </c>
      <c r="AH1088">
        <v>16.081132933599399</v>
      </c>
      <c r="AI1088">
        <v>93.911384838332495</v>
      </c>
      <c r="AJ1088">
        <v>98.031980784937801</v>
      </c>
      <c r="AK1088">
        <v>16.2783644295159</v>
      </c>
      <c r="AL1088">
        <v>80.796028951485894</v>
      </c>
      <c r="AM1088">
        <v>92.192071171626907</v>
      </c>
      <c r="AN1088">
        <v>0.99999997736149204</v>
      </c>
    </row>
    <row r="1089" spans="1:40" x14ac:dyDescent="0.3">
      <c r="A1089" t="str">
        <f>"20200111150744213"</f>
        <v>20200111150744213</v>
      </c>
      <c r="B1089" t="str">
        <f>"1578726464202593"</f>
        <v>1578726464202593</v>
      </c>
      <c r="C1089" t="s">
        <v>40</v>
      </c>
      <c r="D1089">
        <v>6.0519749999999997</v>
      </c>
      <c r="E1089">
        <v>0.44905689999999998</v>
      </c>
      <c r="F1089" t="s">
        <v>58</v>
      </c>
      <c r="G1089">
        <v>-283.28269999999998</v>
      </c>
      <c r="H1089" s="1">
        <v>7.6984989999999998E-6</v>
      </c>
      <c r="I1089">
        <v>280.97710000000001</v>
      </c>
      <c r="J1089">
        <v>-260.92</v>
      </c>
      <c r="K1089">
        <v>1.110514</v>
      </c>
      <c r="L1089">
        <v>282.97809999999998</v>
      </c>
      <c r="M1089">
        <v>-0.99759509999999996</v>
      </c>
      <c r="N1089">
        <v>0</v>
      </c>
      <c r="O1089">
        <v>6.7978579999999997E-2</v>
      </c>
      <c r="P1089">
        <v>-0.98886929999999995</v>
      </c>
      <c r="Q1089">
        <v>0.145869</v>
      </c>
      <c r="R1089">
        <v>2.9326410000000001E-2</v>
      </c>
      <c r="S1089">
        <v>-3.0644529999999999</v>
      </c>
      <c r="T1089">
        <v>-0.15027599999999999</v>
      </c>
      <c r="U1089">
        <v>-0.26821899999999999</v>
      </c>
      <c r="V1089">
        <v>-3.797934E-2</v>
      </c>
      <c r="W1089">
        <v>0.15922700000000001</v>
      </c>
      <c r="X1089">
        <v>0.98651120000000003</v>
      </c>
      <c r="Y1089">
        <v>-0.15445110000000001</v>
      </c>
      <c r="Z1089">
        <v>-7.1036040000000003E-3</v>
      </c>
      <c r="AA1089">
        <v>0.98797489999999999</v>
      </c>
      <c r="AB1089">
        <v>29</v>
      </c>
      <c r="AC1089">
        <v>-22.362699999999901</v>
      </c>
      <c r="AD1089">
        <v>-1.1105063015009999</v>
      </c>
      <c r="AE1089">
        <v>-2.0009999999999701</v>
      </c>
      <c r="AF1089">
        <v>-3.5081117546132901</v>
      </c>
      <c r="AG1089">
        <v>-1.1105063015009999</v>
      </c>
      <c r="AH1089">
        <v>22.120806432394598</v>
      </c>
      <c r="AI1089">
        <v>92.838529419450495</v>
      </c>
      <c r="AJ1089">
        <v>99.011421056007705</v>
      </c>
      <c r="AK1089">
        <v>22.424766432406798</v>
      </c>
      <c r="AL1089">
        <v>80.837968674877601</v>
      </c>
      <c r="AM1089">
        <v>92.204720806735196</v>
      </c>
      <c r="AN1089">
        <v>1.0000000077606299</v>
      </c>
    </row>
    <row r="1090" spans="1:40" x14ac:dyDescent="0.3">
      <c r="A1090" t="str">
        <f>"20200111150744235"</f>
        <v>20200111150744235</v>
      </c>
      <c r="B1090" t="str">
        <f>"1578726464231874"</f>
        <v>1578726464231874</v>
      </c>
      <c r="C1090" t="s">
        <v>40</v>
      </c>
      <c r="D1090">
        <v>5.3798769999999996</v>
      </c>
      <c r="E1090">
        <v>0.45110660000000002</v>
      </c>
      <c r="F1090" t="s">
        <v>58</v>
      </c>
      <c r="G1090">
        <v>-297.35480000000001</v>
      </c>
      <c r="H1090" s="1">
        <v>4.0301870000000002E-6</v>
      </c>
      <c r="I1090">
        <v>279.38240000000002</v>
      </c>
      <c r="J1090">
        <v>-261.19670000000002</v>
      </c>
      <c r="K1090">
        <v>1.1106309999999999</v>
      </c>
      <c r="L1090">
        <v>282.99680000000001</v>
      </c>
      <c r="M1090">
        <v>-0.99761500000000003</v>
      </c>
      <c r="N1090">
        <v>0</v>
      </c>
      <c r="O1090">
        <v>6.768557E-2</v>
      </c>
      <c r="P1090">
        <v>-0.98902920000000005</v>
      </c>
      <c r="Q1090">
        <v>0.1448217</v>
      </c>
      <c r="R1090">
        <v>2.9117529999999999E-2</v>
      </c>
      <c r="S1090">
        <v>-3.0564580000000001</v>
      </c>
      <c r="T1090">
        <v>-9.3158840000000007E-2</v>
      </c>
      <c r="U1090">
        <v>-0.30163570000000001</v>
      </c>
      <c r="V1090">
        <v>-3.7954349999999998E-2</v>
      </c>
      <c r="W1090">
        <v>0.15816920000000001</v>
      </c>
      <c r="X1090">
        <v>0.98668230000000001</v>
      </c>
      <c r="Y1090">
        <v>-0.1652429</v>
      </c>
      <c r="Z1090">
        <v>-4.5698300000000004E-3</v>
      </c>
      <c r="AA1090">
        <v>0.98624230000000002</v>
      </c>
      <c r="AB1090">
        <v>29</v>
      </c>
      <c r="AC1090">
        <v>-36.158099999999898</v>
      </c>
      <c r="AD1090">
        <v>-1.110626969813</v>
      </c>
      <c r="AE1090">
        <v>-3.6143999999999799</v>
      </c>
      <c r="AF1090">
        <v>-6.0480654524820103</v>
      </c>
      <c r="AG1090">
        <v>-1.110626969813</v>
      </c>
      <c r="AH1090">
        <v>35.797059308628697</v>
      </c>
      <c r="AI1090">
        <v>91.752250961333402</v>
      </c>
      <c r="AJ1090">
        <v>99.589801401760297</v>
      </c>
      <c r="AK1090">
        <v>36.321371713208499</v>
      </c>
      <c r="AL1090">
        <v>80.899353962015695</v>
      </c>
      <c r="AM1090">
        <v>92.202889862574494</v>
      </c>
      <c r="AN1090">
        <v>0.99999999482292601</v>
      </c>
    </row>
    <row r="1091" spans="1:40" x14ac:dyDescent="0.3">
      <c r="A1091" t="str">
        <f>"20200111150744258"</f>
        <v>20200111150744258</v>
      </c>
      <c r="B1091" t="str">
        <f>"1578726464252369"</f>
        <v>1578726464252369</v>
      </c>
      <c r="C1091" t="s">
        <v>40</v>
      </c>
      <c r="D1091">
        <v>8.2416669999999996</v>
      </c>
      <c r="E1091">
        <v>0.45204480000000002</v>
      </c>
      <c r="F1091" t="s">
        <v>58</v>
      </c>
      <c r="G1091">
        <v>-290.97399999999999</v>
      </c>
      <c r="H1091" s="1">
        <v>2.7634199999999998E-6</v>
      </c>
      <c r="I1091">
        <v>280.21350000000001</v>
      </c>
      <c r="J1091">
        <v>-261.4871</v>
      </c>
      <c r="K1091">
        <v>1.1107610000000001</v>
      </c>
      <c r="L1091">
        <v>283.01609999999999</v>
      </c>
      <c r="M1091">
        <v>-0.99764679999999994</v>
      </c>
      <c r="N1091">
        <v>0</v>
      </c>
      <c r="O1091">
        <v>6.721763E-2</v>
      </c>
      <c r="P1091">
        <v>-0.98917909999999998</v>
      </c>
      <c r="Q1091">
        <v>0.14378929999999901</v>
      </c>
      <c r="R1091">
        <v>2.914636E-2</v>
      </c>
      <c r="S1091">
        <v>-3.0583499999999999</v>
      </c>
      <c r="T1091">
        <v>-0.114069699999999</v>
      </c>
      <c r="U1091">
        <v>-0.28585820000000001</v>
      </c>
      <c r="V1091">
        <v>-3.7525009999999998E-2</v>
      </c>
      <c r="W1091">
        <v>0.15712570000000001</v>
      </c>
      <c r="X1091">
        <v>0.98686549999999995</v>
      </c>
      <c r="Y1091">
        <v>-0.159627399999999</v>
      </c>
      <c r="Z1091">
        <v>-5.4709049999999999E-3</v>
      </c>
      <c r="AA1091">
        <v>0.98716219999999999</v>
      </c>
      <c r="AB1091">
        <v>29</v>
      </c>
      <c r="AC1091">
        <v>-29.486899999999899</v>
      </c>
      <c r="AD1091">
        <v>-1.1107582365799999</v>
      </c>
      <c r="AE1091">
        <v>-2.80259999999998</v>
      </c>
      <c r="AF1091">
        <v>-4.7717703791006096</v>
      </c>
      <c r="AG1091">
        <v>-1.1107582365799999</v>
      </c>
      <c r="AH1091">
        <v>29.190746368213802</v>
      </c>
      <c r="AI1091">
        <v>92.150634038667107</v>
      </c>
      <c r="AJ1091">
        <v>99.283946752026097</v>
      </c>
      <c r="AK1091">
        <v>29.599041368672399</v>
      </c>
      <c r="AL1091">
        <v>80.959899828035503</v>
      </c>
      <c r="AM1091">
        <v>92.1775909553145</v>
      </c>
      <c r="AN1091">
        <v>1.0000000635331101</v>
      </c>
    </row>
    <row r="1092" spans="1:40" x14ac:dyDescent="0.3">
      <c r="A1092" t="str">
        <f>"20200111150744280"</f>
        <v>20200111150744280</v>
      </c>
      <c r="B1092" t="str">
        <f>"1578726464271906"</f>
        <v>1578726464271906</v>
      </c>
      <c r="C1092" t="s">
        <v>40</v>
      </c>
      <c r="D1092">
        <v>5.3726789999999998</v>
      </c>
      <c r="E1092">
        <v>0.3827817</v>
      </c>
      <c r="F1092" t="s">
        <v>58</v>
      </c>
      <c r="G1092">
        <v>-287.64679999999998</v>
      </c>
      <c r="H1092" s="1">
        <v>5.8334849999999898E-6</v>
      </c>
      <c r="I1092">
        <v>280.63690000000003</v>
      </c>
      <c r="J1092">
        <v>-261.77789999999999</v>
      </c>
      <c r="K1092">
        <v>1.1109020000000001</v>
      </c>
      <c r="L1092">
        <v>283.0351</v>
      </c>
      <c r="M1092">
        <v>-0.99769010000000002</v>
      </c>
      <c r="N1092">
        <v>0</v>
      </c>
      <c r="O1092">
        <v>6.6571210000000006E-2</v>
      </c>
      <c r="P1092">
        <v>-0.98935949999999995</v>
      </c>
      <c r="Q1092">
        <v>0.14238010000000001</v>
      </c>
      <c r="R1092">
        <v>2.993177E-2</v>
      </c>
      <c r="S1092">
        <v>-3.0598749999999999</v>
      </c>
      <c r="T1092">
        <v>-0.1299237</v>
      </c>
      <c r="U1092">
        <v>-0.27828979999999998</v>
      </c>
      <c r="V1092">
        <v>-3.6167129999999999E-2</v>
      </c>
      <c r="W1092">
        <v>0.1557076</v>
      </c>
      <c r="X1092">
        <v>0.98714080000000004</v>
      </c>
      <c r="Y1092">
        <v>-0.15647739999999999</v>
      </c>
      <c r="Z1092">
        <v>-6.1341099999999999E-3</v>
      </c>
      <c r="AA1092">
        <v>0.9876625</v>
      </c>
      <c r="AB1092">
        <v>29</v>
      </c>
      <c r="AC1092">
        <v>-25.8689</v>
      </c>
      <c r="AD1092">
        <v>-1.1108961665149999</v>
      </c>
      <c r="AE1092">
        <v>-2.3981999999999699</v>
      </c>
      <c r="AF1092">
        <v>-4.1076499048591897</v>
      </c>
      <c r="AG1092">
        <v>-1.1108961665149999</v>
      </c>
      <c r="AH1092">
        <v>25.605021674297198</v>
      </c>
      <c r="AI1092">
        <v>92.452944727678997</v>
      </c>
      <c r="AJ1092">
        <v>99.113940358974602</v>
      </c>
      <c r="AK1092">
        <v>25.9561941157578</v>
      </c>
      <c r="AL1092">
        <v>81.042162416772797</v>
      </c>
      <c r="AM1092">
        <v>92.098279624143501</v>
      </c>
      <c r="AN1092">
        <v>0.99999993850741598</v>
      </c>
    </row>
    <row r="1093" spans="1:40" x14ac:dyDescent="0.3">
      <c r="A1093" t="str">
        <f>"20200111150744303"</f>
        <v>20200111150744303</v>
      </c>
      <c r="B1093" t="str">
        <f>"1578726464292389"</f>
        <v>1578726464292389</v>
      </c>
      <c r="C1093" t="s">
        <v>40</v>
      </c>
      <c r="D1093">
        <v>4.7556099999999999</v>
      </c>
      <c r="E1093">
        <v>0.4479843</v>
      </c>
      <c r="F1093" t="s">
        <v>56</v>
      </c>
      <c r="G1093">
        <v>-351.48700000000002</v>
      </c>
      <c r="H1093">
        <v>13.45415</v>
      </c>
      <c r="I1093">
        <v>257.76760000000002</v>
      </c>
      <c r="J1093">
        <v>-262.06400000000002</v>
      </c>
      <c r="K1093">
        <v>1.1110359999999999</v>
      </c>
      <c r="L1093">
        <v>283.05340000000001</v>
      </c>
      <c r="M1093">
        <v>-0.99774430000000003</v>
      </c>
      <c r="N1093">
        <v>0</v>
      </c>
      <c r="O1093">
        <v>6.575541E-2</v>
      </c>
      <c r="P1093">
        <v>-0.98956670000000002</v>
      </c>
      <c r="Q1093">
        <v>0.14080019999999999</v>
      </c>
      <c r="R1093">
        <v>3.0546920000000002E-2</v>
      </c>
      <c r="S1093">
        <v>-2.9984440000000001</v>
      </c>
      <c r="T1093">
        <v>0.41256429999999999</v>
      </c>
      <c r="U1093">
        <v>-0.8445435</v>
      </c>
      <c r="V1093">
        <v>-3.4807030000000003E-2</v>
      </c>
      <c r="W1093">
        <v>0.15412149999999999</v>
      </c>
      <c r="X1093">
        <v>0.98743860000000006</v>
      </c>
      <c r="Y1093">
        <v>-0.33034910000000001</v>
      </c>
      <c r="Z1093">
        <v>3.1045940000000001E-2</v>
      </c>
      <c r="AA1093">
        <v>0.94334810000000002</v>
      </c>
      <c r="AB1093">
        <v>29</v>
      </c>
      <c r="AC1093">
        <v>-89.422999999999902</v>
      </c>
      <c r="AD1093">
        <v>12.343114</v>
      </c>
      <c r="AE1093">
        <v>-25.285799999999899</v>
      </c>
      <c r="AF1093">
        <v>-30.572295980735799</v>
      </c>
      <c r="AG1093">
        <v>12.343114</v>
      </c>
      <c r="AH1093">
        <v>86.048545463431907</v>
      </c>
      <c r="AI1093">
        <v>82.302214431654605</v>
      </c>
      <c r="AJ1093">
        <v>109.559681119161</v>
      </c>
      <c r="AK1093">
        <v>92.148629512993907</v>
      </c>
      <c r="AL1093">
        <v>81.134150099561396</v>
      </c>
      <c r="AM1093">
        <v>92.018829857151403</v>
      </c>
      <c r="AN1093">
        <v>0.99999997743481495</v>
      </c>
    </row>
    <row r="1094" spans="1:40" x14ac:dyDescent="0.3">
      <c r="A1094" t="str">
        <f>"20200111150744325"</f>
        <v>20200111150744325</v>
      </c>
      <c r="B1094" t="str">
        <f>"1578726464322643"</f>
        <v>1578726464322643</v>
      </c>
      <c r="C1094" t="s">
        <v>40</v>
      </c>
      <c r="D1094">
        <v>5.405481</v>
      </c>
      <c r="E1094">
        <v>0.45115959999999999</v>
      </c>
      <c r="F1094" t="s">
        <v>59</v>
      </c>
      <c r="G1094">
        <v>-440.6841</v>
      </c>
      <c r="H1094">
        <v>1.1008309999999999</v>
      </c>
      <c r="I1094">
        <v>264.78739999999999</v>
      </c>
      <c r="J1094">
        <v>-262.34969999999998</v>
      </c>
      <c r="K1094">
        <v>1.1111470000000001</v>
      </c>
      <c r="L1094">
        <v>283.07130000000001</v>
      </c>
      <c r="M1094">
        <v>-0.99780639999999998</v>
      </c>
      <c r="N1094">
        <v>0</v>
      </c>
      <c r="O1094">
        <v>6.4804340000000002E-2</v>
      </c>
      <c r="P1094">
        <v>-0.98974589999999996</v>
      </c>
      <c r="Q1094">
        <v>0.13945399999999999</v>
      </c>
      <c r="R1094">
        <v>3.091416E-2</v>
      </c>
      <c r="S1094">
        <v>-3.0412599999999999</v>
      </c>
      <c r="T1094">
        <v>-1.735687E-4</v>
      </c>
      <c r="U1094">
        <v>-0.31100460000000002</v>
      </c>
      <c r="V1094">
        <v>-3.3549429999999998E-2</v>
      </c>
      <c r="W1094">
        <v>0.15277060000000001</v>
      </c>
      <c r="X1094">
        <v>0.98769209999999996</v>
      </c>
      <c r="Y1094">
        <v>-0.16599140000000001</v>
      </c>
      <c r="Z1094" s="1">
        <v>-8.414657E-6</v>
      </c>
      <c r="AA1094">
        <v>0.98612719999999998</v>
      </c>
      <c r="AB1094">
        <v>29</v>
      </c>
      <c r="AC1094">
        <v>-178.33439999999999</v>
      </c>
      <c r="AD1094">
        <v>-1.03159999999999E-2</v>
      </c>
      <c r="AE1094">
        <v>-18.283899999999999</v>
      </c>
      <c r="AF1094">
        <v>-29.803359367055599</v>
      </c>
      <c r="AG1094">
        <v>-1.03159999999999E-2</v>
      </c>
      <c r="AH1094">
        <v>176.774485659465</v>
      </c>
      <c r="AI1094">
        <v>90.003297070226196</v>
      </c>
      <c r="AJ1094">
        <v>99.569808219767793</v>
      </c>
      <c r="AK1094">
        <v>179.26923639082599</v>
      </c>
      <c r="AL1094">
        <v>81.212479283235297</v>
      </c>
      <c r="AM1094">
        <v>91.945446326280205</v>
      </c>
      <c r="AN1094">
        <v>1.0000000524400401</v>
      </c>
    </row>
    <row r="1095" spans="1:40" x14ac:dyDescent="0.3">
      <c r="A1095" t="str">
        <f>"20200111150744347"</f>
        <v>20200111150744347</v>
      </c>
      <c r="B1095" t="str">
        <f>"1578726464342163"</f>
        <v>1578726464342163</v>
      </c>
      <c r="C1095" t="s">
        <v>40</v>
      </c>
      <c r="D1095">
        <v>5.4336349999999998</v>
      </c>
      <c r="E1095">
        <v>0.45050560000000001</v>
      </c>
      <c r="F1095" t="s">
        <v>58</v>
      </c>
      <c r="G1095">
        <v>-305.40839999999997</v>
      </c>
      <c r="H1095" s="1">
        <v>3.5828849999999998E-6</v>
      </c>
      <c r="I1095">
        <v>279.0856</v>
      </c>
      <c r="J1095">
        <v>-262.62619999999998</v>
      </c>
      <c r="K1095">
        <v>1.1112280000000001</v>
      </c>
      <c r="L1095">
        <v>283.08819999999997</v>
      </c>
      <c r="M1095">
        <v>-0.99787309999999996</v>
      </c>
      <c r="N1095">
        <v>0</v>
      </c>
      <c r="O1095">
        <v>6.3770259999999995E-2</v>
      </c>
      <c r="P1095">
        <v>-0.98977570000000004</v>
      </c>
      <c r="Q1095">
        <v>0.1393365</v>
      </c>
      <c r="R1095">
        <v>3.0488950000000001E-2</v>
      </c>
      <c r="S1095">
        <v>-3.0509949999999999</v>
      </c>
      <c r="T1095">
        <v>-7.8731780000000001E-2</v>
      </c>
      <c r="U1095">
        <v>-0.28240969999999999</v>
      </c>
      <c r="V1095">
        <v>-3.29816E-2</v>
      </c>
      <c r="W1095">
        <v>0.1526467</v>
      </c>
      <c r="X1095">
        <v>0.98773029999999995</v>
      </c>
      <c r="Y1095">
        <v>-0.15541369999999999</v>
      </c>
      <c r="Z1095">
        <v>-3.6429909999999999E-3</v>
      </c>
      <c r="AA1095">
        <v>0.98784269999999996</v>
      </c>
      <c r="AB1095">
        <v>29</v>
      </c>
      <c r="AC1095">
        <v>-42.782199999999897</v>
      </c>
      <c r="AD1095">
        <v>-1.1112244171150001</v>
      </c>
      <c r="AE1095">
        <v>-4.00259999999997</v>
      </c>
      <c r="AF1095">
        <v>-6.7184395677002398</v>
      </c>
      <c r="AG1095">
        <v>-1.1112244171150001</v>
      </c>
      <c r="AH1095">
        <v>42.411470727598903</v>
      </c>
      <c r="AI1095">
        <v>91.482389419911897</v>
      </c>
      <c r="AJ1095">
        <v>99.001479342799399</v>
      </c>
      <c r="AK1095">
        <v>42.954686580255903</v>
      </c>
      <c r="AL1095">
        <v>81.219661779020299</v>
      </c>
      <c r="AM1095">
        <v>91.912470057243993</v>
      </c>
      <c r="AN1095">
        <v>0.99999997324876899</v>
      </c>
    </row>
    <row r="1096" spans="1:40" x14ac:dyDescent="0.3">
      <c r="A1096" t="str">
        <f>"20200111150744370"</f>
        <v>20200111150744370</v>
      </c>
      <c r="B1096" t="str">
        <f>"1578726464362281"</f>
        <v>1578726464362281</v>
      </c>
      <c r="C1096" t="s">
        <v>40</v>
      </c>
      <c r="D1096">
        <v>5.3424459999999998</v>
      </c>
      <c r="E1096">
        <v>0.45354179999999999</v>
      </c>
      <c r="F1096" t="s">
        <v>58</v>
      </c>
      <c r="G1096">
        <v>-310.79480000000001</v>
      </c>
      <c r="H1096">
        <v>9.8291369999999999E-3</v>
      </c>
      <c r="I1096">
        <v>278.52640000000002</v>
      </c>
      <c r="J1096">
        <v>-262.92469999999997</v>
      </c>
      <c r="K1096">
        <v>1.111308</v>
      </c>
      <c r="L1096">
        <v>283.10599999999999</v>
      </c>
      <c r="M1096">
        <v>-0.99795009999999995</v>
      </c>
      <c r="N1096">
        <v>0</v>
      </c>
      <c r="O1096">
        <v>6.2552849999999993E-2</v>
      </c>
      <c r="P1096">
        <v>-0.98980780000000002</v>
      </c>
      <c r="Q1096">
        <v>0.13941629999999899</v>
      </c>
      <c r="R1096">
        <v>2.9052910000000001E-2</v>
      </c>
      <c r="S1096">
        <v>-3.0496829999999999</v>
      </c>
      <c r="T1096">
        <v>-6.9732429999999998E-2</v>
      </c>
      <c r="U1096">
        <v>-0.28881839999999998</v>
      </c>
      <c r="V1096">
        <v>-3.3236500000000002E-2</v>
      </c>
      <c r="W1096">
        <v>0.1527192</v>
      </c>
      <c r="X1096">
        <v>0.98771059999999999</v>
      </c>
      <c r="Y1096">
        <v>-0.15632099999999999</v>
      </c>
      <c r="Z1096">
        <v>-3.2103650000000002E-3</v>
      </c>
      <c r="AA1096">
        <v>0.9877011</v>
      </c>
      <c r="AB1096">
        <v>29</v>
      </c>
      <c r="AC1096">
        <v>-47.870100000000001</v>
      </c>
      <c r="AD1096">
        <v>-1.1014788630000001</v>
      </c>
      <c r="AE1096">
        <v>-4.5795999999999699</v>
      </c>
      <c r="AF1096">
        <v>-7.5613476963607598</v>
      </c>
      <c r="AG1096">
        <v>-1.1014788630000001</v>
      </c>
      <c r="AH1096">
        <v>47.464941041472699</v>
      </c>
      <c r="AI1096">
        <v>91.312828221576197</v>
      </c>
      <c r="AJ1096">
        <v>99.051381673093601</v>
      </c>
      <c r="AK1096">
        <v>48.076063303284101</v>
      </c>
      <c r="AL1096">
        <v>81.215459003831896</v>
      </c>
      <c r="AM1096">
        <v>91.927277987362103</v>
      </c>
      <c r="AN1096">
        <v>1.00000002416662</v>
      </c>
    </row>
    <row r="1097" spans="1:40" x14ac:dyDescent="0.3">
      <c r="A1097" t="str">
        <f>"20200111150744414"</f>
        <v>20200111150744414</v>
      </c>
      <c r="B1097" t="str">
        <f>"1578726464412056"</f>
        <v>1578726464412056</v>
      </c>
      <c r="C1097" t="s">
        <v>40</v>
      </c>
      <c r="D1097">
        <v>5.3117229999999998</v>
      </c>
      <c r="E1097">
        <v>0.44910240000000001</v>
      </c>
      <c r="F1097" t="s">
        <v>58</v>
      </c>
      <c r="G1097">
        <v>-293.0283</v>
      </c>
      <c r="H1097" s="1">
        <v>3.1056629999999998E-6</v>
      </c>
      <c r="I1097">
        <v>280.46710000000002</v>
      </c>
      <c r="J1097">
        <v>-263.48289999999997</v>
      </c>
      <c r="K1097">
        <v>1.111402</v>
      </c>
      <c r="L1097">
        <v>283.13799999999998</v>
      </c>
      <c r="M1097">
        <v>-0.99809970000000003</v>
      </c>
      <c r="N1097">
        <v>0</v>
      </c>
      <c r="O1097">
        <v>6.0118980000000002E-2</v>
      </c>
      <c r="P1097">
        <v>-0.98981200000000003</v>
      </c>
      <c r="Q1097">
        <v>0.1403529</v>
      </c>
      <c r="R1097">
        <v>2.3951719999999999E-2</v>
      </c>
      <c r="S1097">
        <v>-3.0545650000000002</v>
      </c>
      <c r="T1097">
        <v>-0.11276220000000001</v>
      </c>
      <c r="U1097">
        <v>-0.26776119999999998</v>
      </c>
      <c r="V1097">
        <v>-3.5949670000000003E-2</v>
      </c>
      <c r="W1097">
        <v>0.1536371</v>
      </c>
      <c r="X1097">
        <v>0.98747320000000005</v>
      </c>
      <c r="Y1097">
        <v>-0.1469212</v>
      </c>
      <c r="Z1097">
        <v>-4.9207740000000002E-3</v>
      </c>
      <c r="AA1097">
        <v>0.98913600000000002</v>
      </c>
      <c r="AB1097">
        <v>29</v>
      </c>
      <c r="AC1097">
        <v>-29.545400000000001</v>
      </c>
      <c r="AD1097">
        <v>-1.1113988943369999</v>
      </c>
      <c r="AE1097">
        <v>-2.6708999999999601</v>
      </c>
      <c r="AF1097">
        <v>-4.4362431775004501</v>
      </c>
      <c r="AG1097">
        <v>-1.1113988943369999</v>
      </c>
      <c r="AH1097">
        <v>29.290252486399499</v>
      </c>
      <c r="AI1097">
        <v>92.148527254299196</v>
      </c>
      <c r="AJ1097">
        <v>98.612447325177001</v>
      </c>
      <c r="AK1097">
        <v>29.645140440707699</v>
      </c>
      <c r="AL1097">
        <v>81.162239180663505</v>
      </c>
      <c r="AM1097">
        <v>92.084973142831103</v>
      </c>
      <c r="AN1097">
        <v>1.00000002899387</v>
      </c>
    </row>
    <row r="1098" spans="1:40" x14ac:dyDescent="0.3">
      <c r="A1098" t="str">
        <f>"20200111150744429"</f>
        <v>20200111150744429</v>
      </c>
      <c r="B1098" t="str">
        <f>"1578726464421816"</f>
        <v>1578726464421816</v>
      </c>
      <c r="C1098" t="s">
        <v>40</v>
      </c>
      <c r="D1098">
        <v>5.4716139999999998</v>
      </c>
      <c r="E1098">
        <v>0.44712239999999998</v>
      </c>
      <c r="F1098" t="s">
        <v>58</v>
      </c>
      <c r="G1098">
        <v>-289.82150000000001</v>
      </c>
      <c r="H1098" s="1">
        <v>4.9194379999999996E-6</v>
      </c>
      <c r="I1098">
        <v>280.39339999999999</v>
      </c>
      <c r="J1098">
        <v>-263.66370000000001</v>
      </c>
      <c r="K1098">
        <v>1.111418</v>
      </c>
      <c r="L1098">
        <v>283.1481</v>
      </c>
      <c r="M1098">
        <v>-0.99814789999999998</v>
      </c>
      <c r="N1098">
        <v>0</v>
      </c>
      <c r="O1098">
        <v>5.9314150000000003E-2</v>
      </c>
      <c r="P1098">
        <v>-0.98984019999999995</v>
      </c>
      <c r="Q1098">
        <v>0.14042180000000001</v>
      </c>
      <c r="R1098">
        <v>2.2323289999999999E-2</v>
      </c>
      <c r="S1098">
        <v>-3.0568849999999999</v>
      </c>
      <c r="T1098">
        <v>-0.1289903</v>
      </c>
      <c r="U1098">
        <v>-0.31854250000000001</v>
      </c>
      <c r="V1098">
        <v>-3.6785070000000003E-2</v>
      </c>
      <c r="W1098">
        <v>0.15370220000000001</v>
      </c>
      <c r="X1098">
        <v>0.98743230000000004</v>
      </c>
      <c r="Y1098">
        <v>-0.16226599999999999</v>
      </c>
      <c r="Z1098">
        <v>-5.9088430000000004E-3</v>
      </c>
      <c r="AA1098">
        <v>0.98672939999999998</v>
      </c>
      <c r="AB1098">
        <v>29</v>
      </c>
      <c r="AC1098">
        <v>-26.157800000000002</v>
      </c>
      <c r="AD1098">
        <v>-1.1114130805619999</v>
      </c>
      <c r="AE1098">
        <v>-2.7547000000000099</v>
      </c>
      <c r="AF1098">
        <v>-4.2938517921686898</v>
      </c>
      <c r="AG1098">
        <v>-1.1114130805619999</v>
      </c>
      <c r="AH1098">
        <v>25.902081624220202</v>
      </c>
      <c r="AI1098">
        <v>92.423915484852103</v>
      </c>
      <c r="AJ1098">
        <v>99.412465437723696</v>
      </c>
      <c r="AK1098">
        <v>26.279083597350201</v>
      </c>
      <c r="AL1098">
        <v>81.158464375153997</v>
      </c>
      <c r="AM1098">
        <v>92.133467862242895</v>
      </c>
      <c r="AN1098">
        <v>1.0000000273715099</v>
      </c>
    </row>
    <row r="1099" spans="1:40" x14ac:dyDescent="0.3">
      <c r="A1099" t="str">
        <f>"20200111150744449"</f>
        <v>20200111150744449</v>
      </c>
      <c r="B1099" t="str">
        <f>"1578726464442313"</f>
        <v>1578726464442313</v>
      </c>
      <c r="C1099" t="s">
        <v>40</v>
      </c>
      <c r="D1099">
        <v>5.3659109999999997</v>
      </c>
      <c r="E1099">
        <v>0.44392920000000002</v>
      </c>
      <c r="F1099" t="s">
        <v>58</v>
      </c>
      <c r="G1099">
        <v>-288.59690000000001</v>
      </c>
      <c r="H1099" s="1">
        <v>5.4645379999999997E-6</v>
      </c>
      <c r="I1099">
        <v>280.38350000000003</v>
      </c>
      <c r="J1099">
        <v>-263.92180000000002</v>
      </c>
      <c r="K1099">
        <v>1.111423</v>
      </c>
      <c r="L1099">
        <v>283.16219999999998</v>
      </c>
      <c r="M1099">
        <v>-0.99821530000000003</v>
      </c>
      <c r="N1099">
        <v>0</v>
      </c>
      <c r="O1099">
        <v>5.816818E-2</v>
      </c>
      <c r="P1099">
        <v>-0.98997840000000004</v>
      </c>
      <c r="Q1099">
        <v>0.13977709999999999</v>
      </c>
      <c r="R1099">
        <v>2.012129E-2</v>
      </c>
      <c r="S1099">
        <v>-3.0577700000000001</v>
      </c>
      <c r="T1099">
        <v>-0.13630220000000001</v>
      </c>
      <c r="U1099">
        <v>-0.33905030000000003</v>
      </c>
      <c r="V1099">
        <v>-3.7857250000000002E-2</v>
      </c>
      <c r="W1099">
        <v>0.15305379999999999</v>
      </c>
      <c r="X1099">
        <v>0.98749240000000005</v>
      </c>
      <c r="Y1099">
        <v>-0.16761690000000001</v>
      </c>
      <c r="Z1099">
        <v>-6.3074919999999996E-3</v>
      </c>
      <c r="AA1099">
        <v>0.98583200000000004</v>
      </c>
      <c r="AB1099">
        <v>29</v>
      </c>
      <c r="AC1099">
        <v>-24.675099999999901</v>
      </c>
      <c r="AD1099">
        <v>-1.111417535462</v>
      </c>
      <c r="AE1099">
        <v>-2.77869999999995</v>
      </c>
      <c r="AF1099">
        <v>-4.2010147758504797</v>
      </c>
      <c r="AG1099">
        <v>-1.111417535462</v>
      </c>
      <c r="AH1099">
        <v>24.422737662331901</v>
      </c>
      <c r="AI1099">
        <v>92.567927796011205</v>
      </c>
      <c r="AJ1099">
        <v>99.760073725517003</v>
      </c>
      <c r="AK1099">
        <v>24.806327600193701</v>
      </c>
      <c r="AL1099">
        <v>81.196059014655503</v>
      </c>
      <c r="AM1099">
        <v>92.195458879033794</v>
      </c>
      <c r="AN1099">
        <v>0.99999993856487901</v>
      </c>
    </row>
    <row r="1100" spans="1:40" x14ac:dyDescent="0.3">
      <c r="A1100" t="str">
        <f>"20200111150744471"</f>
        <v>20200111150744471</v>
      </c>
      <c r="B1100" t="str">
        <f>"1578726464461832"</f>
        <v>1578726464461832</v>
      </c>
      <c r="C1100" t="s">
        <v>40</v>
      </c>
      <c r="D1100">
        <v>5.4003579999999998</v>
      </c>
      <c r="E1100">
        <v>0.44126159999999998</v>
      </c>
      <c r="F1100" t="s">
        <v>58</v>
      </c>
      <c r="G1100">
        <v>-286.56330000000003</v>
      </c>
      <c r="H1100" s="1">
        <v>6.3596549999999997E-6</v>
      </c>
      <c r="I1100">
        <v>280.41579999999999</v>
      </c>
      <c r="J1100">
        <v>-264.21440000000001</v>
      </c>
      <c r="K1100">
        <v>1.111413</v>
      </c>
      <c r="L1100">
        <v>283.17779999999999</v>
      </c>
      <c r="M1100">
        <v>-0.99828930000000005</v>
      </c>
      <c r="N1100">
        <v>0</v>
      </c>
      <c r="O1100">
        <v>5.6883599999999999E-2</v>
      </c>
      <c r="P1100">
        <v>-0.99014539999999995</v>
      </c>
      <c r="Q1100">
        <v>0.13862369999999999</v>
      </c>
      <c r="R1100">
        <v>1.9880869999999998E-2</v>
      </c>
      <c r="S1100">
        <v>-3.059113</v>
      </c>
      <c r="T1100">
        <v>-0.15016389999999999</v>
      </c>
      <c r="U1100">
        <v>-0.37106319999999998</v>
      </c>
      <c r="V1100">
        <v>-3.682933E-2</v>
      </c>
      <c r="W1100">
        <v>0.15190390000000001</v>
      </c>
      <c r="X1100">
        <v>0.9877089</v>
      </c>
      <c r="Y1100">
        <v>-0.17641770000000001</v>
      </c>
      <c r="Z1100">
        <v>-7.0935030000000001E-3</v>
      </c>
      <c r="AA1100">
        <v>0.98428979999999999</v>
      </c>
      <c r="AB1100">
        <v>29</v>
      </c>
      <c r="AC1100">
        <v>-22.3489</v>
      </c>
      <c r="AD1100">
        <v>-1.111406640345</v>
      </c>
      <c r="AE1100">
        <v>-2.762</v>
      </c>
      <c r="AF1100">
        <v>-4.0191390308952704</v>
      </c>
      <c r="AG1100">
        <v>-1.111406640345</v>
      </c>
      <c r="AH1100">
        <v>22.101743018637499</v>
      </c>
      <c r="AI1100">
        <v>92.832373931398607</v>
      </c>
      <c r="AJ1100">
        <v>100.30645323579201</v>
      </c>
      <c r="AK1100">
        <v>22.491681745297701</v>
      </c>
      <c r="AL1100">
        <v>81.262723788341404</v>
      </c>
      <c r="AM1100">
        <v>92.135434861177799</v>
      </c>
      <c r="AN1100">
        <v>1.0000000327613301</v>
      </c>
    </row>
    <row r="1101" spans="1:40" x14ac:dyDescent="0.3">
      <c r="A1101" t="str">
        <f>"20200111150744494"</f>
        <v>20200111150744494</v>
      </c>
      <c r="B1101" t="str">
        <f>"1578726464482345"</f>
        <v>1578726464482345</v>
      </c>
      <c r="C1101" t="s">
        <v>40</v>
      </c>
      <c r="D1101">
        <v>5.3864409999999996</v>
      </c>
      <c r="E1101">
        <v>0.43917319999999999</v>
      </c>
      <c r="F1101" t="s">
        <v>58</v>
      </c>
      <c r="G1101">
        <v>-285.62790000000001</v>
      </c>
      <c r="H1101" s="1">
        <v>6.773275E-6</v>
      </c>
      <c r="I1101">
        <v>280.42160000000001</v>
      </c>
      <c r="J1101">
        <v>-264.4941</v>
      </c>
      <c r="K1101">
        <v>1.1113959999999901</v>
      </c>
      <c r="L1101">
        <v>283.19240000000002</v>
      </c>
      <c r="M1101">
        <v>-0.99835739999999995</v>
      </c>
      <c r="N1101">
        <v>0</v>
      </c>
      <c r="O1101">
        <v>5.5677879999999999E-2</v>
      </c>
      <c r="P1101">
        <v>-0.99015649999999999</v>
      </c>
      <c r="Q1101">
        <v>0.13860690000000001</v>
      </c>
      <c r="R1101">
        <v>1.944514E-2</v>
      </c>
      <c r="S1101">
        <v>-3.0599980000000002</v>
      </c>
      <c r="T1101">
        <v>-0.15881999999999999</v>
      </c>
      <c r="U1101">
        <v>-0.39385989999999999</v>
      </c>
      <c r="V1101">
        <v>-3.6065010000000002E-2</v>
      </c>
      <c r="W1101">
        <v>0.15188879999999999</v>
      </c>
      <c r="X1101">
        <v>0.98773940000000005</v>
      </c>
      <c r="Y1101">
        <v>-0.18237300000000001</v>
      </c>
      <c r="Z1101">
        <v>-7.5879140000000003E-3</v>
      </c>
      <c r="AA1101">
        <v>0.98320010000000002</v>
      </c>
      <c r="AB1101">
        <v>28</v>
      </c>
      <c r="AC1101">
        <v>-21.133800000000001</v>
      </c>
      <c r="AD1101">
        <v>-1.1113892267249901</v>
      </c>
      <c r="AE1101">
        <v>-2.7707999999999999</v>
      </c>
      <c r="AF1101">
        <v>-3.9326017450497499</v>
      </c>
      <c r="AG1101">
        <v>-1.1113892267249901</v>
      </c>
      <c r="AH1101">
        <v>20.889929267473399</v>
      </c>
      <c r="AI1101">
        <v>92.992914073897296</v>
      </c>
      <c r="AJ1101">
        <v>100.661354247541</v>
      </c>
      <c r="AK1101">
        <v>21.285903487953998</v>
      </c>
      <c r="AL1101">
        <v>81.2635988882639</v>
      </c>
      <c r="AM1101">
        <v>92.091093375072205</v>
      </c>
      <c r="AN1101">
        <v>1.0000000074120501</v>
      </c>
    </row>
    <row r="1102" spans="1:40" x14ac:dyDescent="0.3">
      <c r="A1102" t="str">
        <f>"20200111150744515"</f>
        <v>20200111150744515</v>
      </c>
      <c r="B1102" t="str">
        <f>"1578726464512584"</f>
        <v>1578726464512584</v>
      </c>
      <c r="C1102" t="s">
        <v>40</v>
      </c>
      <c r="D1102">
        <v>5.5009370000000004</v>
      </c>
      <c r="E1102">
        <v>0.43632949999999998</v>
      </c>
      <c r="F1102" t="s">
        <v>58</v>
      </c>
      <c r="G1102">
        <v>-285.0206</v>
      </c>
      <c r="H1102" s="1">
        <v>7.0407150000000004E-6</v>
      </c>
      <c r="I1102">
        <v>280.43060000000003</v>
      </c>
      <c r="J1102">
        <v>-264.76229999999998</v>
      </c>
      <c r="K1102">
        <v>1.111383</v>
      </c>
      <c r="L1102">
        <v>283.20609999999999</v>
      </c>
      <c r="M1102">
        <v>-0.99841970000000002</v>
      </c>
      <c r="N1102">
        <v>0</v>
      </c>
      <c r="O1102">
        <v>5.4548720000000002E-2</v>
      </c>
      <c r="P1102">
        <v>-0.99000540000000004</v>
      </c>
      <c r="Q1102">
        <v>0.1397409</v>
      </c>
      <c r="R1102">
        <v>1.9023269999999998E-2</v>
      </c>
      <c r="S1102">
        <v>-3.0611269999999999</v>
      </c>
      <c r="T1102">
        <v>-0.16574159999999999</v>
      </c>
      <c r="U1102">
        <v>-0.41186519999999999</v>
      </c>
      <c r="V1102">
        <v>-3.5354139999999999E-2</v>
      </c>
      <c r="W1102">
        <v>0.15302270000000001</v>
      </c>
      <c r="X1102">
        <v>0.98759010000000003</v>
      </c>
      <c r="Y1102">
        <v>-0.18686539999999999</v>
      </c>
      <c r="Z1102">
        <v>-7.9724640000000003E-3</v>
      </c>
      <c r="AA1102">
        <v>0.98235320000000004</v>
      </c>
      <c r="AB1102">
        <v>28</v>
      </c>
      <c r="AC1102">
        <v>-20.258299999999998</v>
      </c>
      <c r="AD1102">
        <v>-1.1113759592849899</v>
      </c>
      <c r="AE1102">
        <v>-2.7754999999999601</v>
      </c>
      <c r="AF1102">
        <v>-3.8651137265931501</v>
      </c>
      <c r="AG1102">
        <v>-1.1113759592849899</v>
      </c>
      <c r="AH1102">
        <v>20.017582414133699</v>
      </c>
      <c r="AI1102">
        <v>93.120282426638994</v>
      </c>
      <c r="AJ1102">
        <v>100.928520937005</v>
      </c>
      <c r="AK1102">
        <v>20.4175871823536</v>
      </c>
      <c r="AL1102">
        <v>81.197862998714101</v>
      </c>
      <c r="AM1102">
        <v>92.050221413687495</v>
      </c>
      <c r="AN1102">
        <v>1.0000000337742101</v>
      </c>
    </row>
    <row r="1103" spans="1:40" x14ac:dyDescent="0.3">
      <c r="A1103" t="str">
        <f>"20200111150744530"</f>
        <v>20200111150744530</v>
      </c>
      <c r="B1103" t="str">
        <f>"1578726464522344"</f>
        <v>1578726464522344</v>
      </c>
      <c r="C1103" t="s">
        <v>40</v>
      </c>
      <c r="D1103">
        <v>5.3764629999999904</v>
      </c>
      <c r="E1103">
        <v>0.43580659999999999</v>
      </c>
      <c r="F1103" t="s">
        <v>58</v>
      </c>
      <c r="G1103">
        <v>-284.9579</v>
      </c>
      <c r="H1103" s="1">
        <v>7.0879969999999999E-6</v>
      </c>
      <c r="I1103">
        <v>280.3365</v>
      </c>
      <c r="J1103">
        <v>-264.94439999999997</v>
      </c>
      <c r="K1103">
        <v>1.11137</v>
      </c>
      <c r="L1103">
        <v>283.21530000000001</v>
      </c>
      <c r="M1103">
        <v>-0.99846049999999997</v>
      </c>
      <c r="N1103">
        <v>0</v>
      </c>
      <c r="O1103">
        <v>5.3799609999999998E-2</v>
      </c>
      <c r="P1103">
        <v>-0.98995089999999997</v>
      </c>
      <c r="Q1103">
        <v>0.14018439999999999</v>
      </c>
      <c r="R1103">
        <v>1.8596979999999999E-2</v>
      </c>
      <c r="S1103">
        <v>-3.062408</v>
      </c>
      <c r="T1103">
        <v>-0.1685265</v>
      </c>
      <c r="U1103">
        <v>-0.43515009999999998</v>
      </c>
      <c r="V1103">
        <v>-3.5030539999999999E-2</v>
      </c>
      <c r="W1103">
        <v>0.15346609999999999</v>
      </c>
      <c r="X1103">
        <v>0.98753279999999999</v>
      </c>
      <c r="Y1103">
        <v>-0.19337940000000001</v>
      </c>
      <c r="Z1103">
        <v>-8.2360130000000004E-3</v>
      </c>
      <c r="AA1103">
        <v>0.98108949999999995</v>
      </c>
      <c r="AB1103">
        <v>28</v>
      </c>
      <c r="AC1103">
        <v>-20.013500000000001</v>
      </c>
      <c r="AD1103">
        <v>-1.111362912003</v>
      </c>
      <c r="AE1103">
        <v>-2.8788000000000098</v>
      </c>
      <c r="AF1103">
        <v>-3.9395447040597702</v>
      </c>
      <c r="AG1103">
        <v>-1.111362912003</v>
      </c>
      <c r="AH1103">
        <v>19.769890079185199</v>
      </c>
      <c r="AI1103">
        <v>93.155578983903894</v>
      </c>
      <c r="AJ1103">
        <v>101.26970600266699</v>
      </c>
      <c r="AK1103">
        <v>20.1891974516207</v>
      </c>
      <c r="AL1103">
        <v>81.172154149060404</v>
      </c>
      <c r="AM1103">
        <v>92.031589100779897</v>
      </c>
      <c r="AN1103">
        <v>1.0000000068288699</v>
      </c>
    </row>
    <row r="1104" spans="1:40" x14ac:dyDescent="0.3">
      <c r="A1104" t="str">
        <f>"20200111150744548"</f>
        <v>20200111150744548</v>
      </c>
      <c r="B1104" t="str">
        <f>"1578726464541864"</f>
        <v>1578726464541864</v>
      </c>
      <c r="C1104" t="s">
        <v>40</v>
      </c>
      <c r="D1104">
        <v>5.4743449999999996</v>
      </c>
      <c r="E1104">
        <v>0.43467060000000002</v>
      </c>
      <c r="F1104" t="s">
        <v>58</v>
      </c>
      <c r="G1104">
        <v>-284.95949999999999</v>
      </c>
      <c r="H1104" s="1">
        <v>7.0866589999999998E-6</v>
      </c>
      <c r="I1104">
        <v>280.33949999999999</v>
      </c>
      <c r="J1104">
        <v>-265.18239999999997</v>
      </c>
      <c r="K1104">
        <v>1.1113569999999999</v>
      </c>
      <c r="L1104">
        <v>283.22699999999998</v>
      </c>
      <c r="M1104">
        <v>-0.99851179999999995</v>
      </c>
      <c r="N1104">
        <v>0</v>
      </c>
      <c r="O1104">
        <v>5.2837509999999997E-2</v>
      </c>
      <c r="P1104">
        <v>-0.9898612</v>
      </c>
      <c r="Q1104">
        <v>0.14091300000000001</v>
      </c>
      <c r="R1104">
        <v>1.7851280000000001E-2</v>
      </c>
      <c r="S1104">
        <v>-3.0628359999999999</v>
      </c>
      <c r="T1104">
        <v>-0.17006769999999999</v>
      </c>
      <c r="U1104">
        <v>-0.4400635</v>
      </c>
      <c r="V1104">
        <v>-3.4811340000000003E-2</v>
      </c>
      <c r="W1104">
        <v>0.1541941</v>
      </c>
      <c r="X1104">
        <v>0.9874271</v>
      </c>
      <c r="Y1104">
        <v>-0.1939514</v>
      </c>
      <c r="Z1104">
        <v>-8.2717969999999991E-3</v>
      </c>
      <c r="AA1104">
        <v>0.98097630000000002</v>
      </c>
      <c r="AB1104">
        <v>28</v>
      </c>
      <c r="AC1104">
        <v>-19.777100000000001</v>
      </c>
      <c r="AD1104">
        <v>-1.1113499133410001</v>
      </c>
      <c r="AE1104">
        <v>-2.8875000000000401</v>
      </c>
      <c r="AF1104">
        <v>-3.9164248751082602</v>
      </c>
      <c r="AG1104">
        <v>-1.1113499133410001</v>
      </c>
      <c r="AH1104">
        <v>19.5364830178837</v>
      </c>
      <c r="AI1104">
        <v>93.192431435163201</v>
      </c>
      <c r="AJ1104">
        <v>101.335671517793</v>
      </c>
      <c r="AK1104">
        <v>19.956143193019699</v>
      </c>
      <c r="AL1104">
        <v>81.129939979003098</v>
      </c>
      <c r="AM1104">
        <v>92.019103128602197</v>
      </c>
      <c r="AN1104">
        <v>0.99999996384090695</v>
      </c>
    </row>
    <row r="1105" spans="1:40" x14ac:dyDescent="0.3">
      <c r="A1105" t="str">
        <f>"20200111150744562"</f>
        <v>20200111150744562</v>
      </c>
      <c r="B1105" t="str">
        <f>"1578726464552600"</f>
        <v>1578726464552600</v>
      </c>
      <c r="C1105" t="s">
        <v>40</v>
      </c>
      <c r="D1105">
        <v>5.4476120000000003</v>
      </c>
      <c r="E1105">
        <v>0.43402279999999999</v>
      </c>
      <c r="F1105" t="s">
        <v>58</v>
      </c>
      <c r="G1105">
        <v>-284.97500000000002</v>
      </c>
      <c r="H1105" s="1">
        <v>7.085471E-6</v>
      </c>
      <c r="I1105">
        <v>280.31189999999998</v>
      </c>
      <c r="J1105">
        <v>-265.35759999999999</v>
      </c>
      <c r="K1105">
        <v>1.111354</v>
      </c>
      <c r="L1105">
        <v>283.2355</v>
      </c>
      <c r="M1105">
        <v>-0.99854860000000001</v>
      </c>
      <c r="N1105">
        <v>0</v>
      </c>
      <c r="O1105">
        <v>5.21396999999999E-2</v>
      </c>
      <c r="P1105">
        <v>-0.98988920000000002</v>
      </c>
      <c r="Q1105">
        <v>0.14080609999999999</v>
      </c>
      <c r="R1105">
        <v>1.7123940000000001E-2</v>
      </c>
      <c r="S1105">
        <v>-3.0633240000000002</v>
      </c>
      <c r="T1105">
        <v>-0.172004399999999</v>
      </c>
      <c r="U1105">
        <v>-0.45117190000000001</v>
      </c>
      <c r="V1105">
        <v>-3.4843010000000001E-2</v>
      </c>
      <c r="W1105">
        <v>0.1540871</v>
      </c>
      <c r="X1105">
        <v>0.98744270000000001</v>
      </c>
      <c r="Y1105">
        <v>-0.19671530000000001</v>
      </c>
      <c r="Z1105">
        <v>-8.4005759999999999E-3</v>
      </c>
      <c r="AA1105">
        <v>0.98042459999999998</v>
      </c>
      <c r="AB1105">
        <v>28</v>
      </c>
      <c r="AC1105">
        <v>-19.6174</v>
      </c>
      <c r="AD1105">
        <v>-1.111346914529</v>
      </c>
      <c r="AE1105">
        <v>-2.92360000000002</v>
      </c>
      <c r="AF1105">
        <v>-3.9302217362509801</v>
      </c>
      <c r="AG1105">
        <v>-1.111346914529</v>
      </c>
      <c r="AH1105">
        <v>19.377424429509698</v>
      </c>
      <c r="AI1105">
        <v>93.217105949111399</v>
      </c>
      <c r="AJ1105">
        <v>101.465470335074</v>
      </c>
      <c r="AK1105">
        <v>19.803189449729899</v>
      </c>
      <c r="AL1105">
        <v>81.136144906063294</v>
      </c>
      <c r="AM1105">
        <v>92.020906606346998</v>
      </c>
      <c r="AN1105">
        <v>0.99999997775777905</v>
      </c>
    </row>
    <row r="1106" spans="1:40" x14ac:dyDescent="0.3">
      <c r="A1106" t="str">
        <f>"20200111150744582"</f>
        <v>20200111150744582</v>
      </c>
      <c r="B1106" t="str">
        <f>"1578726464572120"</f>
        <v>1578726464572120</v>
      </c>
      <c r="C1106" t="s">
        <v>40</v>
      </c>
      <c r="D1106">
        <v>5.4776429999999996</v>
      </c>
      <c r="E1106">
        <v>0.43280410000000002</v>
      </c>
      <c r="F1106" t="s">
        <v>58</v>
      </c>
      <c r="G1106">
        <v>-284.9579</v>
      </c>
      <c r="H1106" s="1">
        <v>7.0952049999999998E-6</v>
      </c>
      <c r="I1106">
        <v>280.30169999999998</v>
      </c>
      <c r="J1106">
        <v>-265.6189</v>
      </c>
      <c r="K1106">
        <v>1.1113390000000001</v>
      </c>
      <c r="L1106">
        <v>283.24799999999999</v>
      </c>
      <c r="M1106">
        <v>-0.99860150000000003</v>
      </c>
      <c r="N1106">
        <v>0</v>
      </c>
      <c r="O1106">
        <v>5.1115639999999997E-2</v>
      </c>
      <c r="P1106">
        <v>-0.98986370000000001</v>
      </c>
      <c r="Q1106">
        <v>0.14117499999999999</v>
      </c>
      <c r="R1106">
        <v>1.5488729999999999E-2</v>
      </c>
      <c r="S1106">
        <v>-3.0632929999999998</v>
      </c>
      <c r="T1106">
        <v>-0.17369079999999901</v>
      </c>
      <c r="U1106">
        <v>-0.45852660000000001</v>
      </c>
      <c r="V1106">
        <v>-3.5454939999999997E-2</v>
      </c>
      <c r="W1106">
        <v>0.1544537</v>
      </c>
      <c r="X1106">
        <v>0.98736369999999896</v>
      </c>
      <c r="Y1106">
        <v>-0.1980064</v>
      </c>
      <c r="Z1106">
        <v>-8.4600709999999996E-3</v>
      </c>
      <c r="AA1106">
        <v>0.98016420000000004</v>
      </c>
      <c r="AB1106">
        <v>28</v>
      </c>
      <c r="AC1106">
        <v>-19.338999999999999</v>
      </c>
      <c r="AD1106">
        <v>-1.1113319047950001</v>
      </c>
      <c r="AE1106">
        <v>-2.9462999999999999</v>
      </c>
      <c r="AF1106">
        <v>-3.9184168188227</v>
      </c>
      <c r="AG1106">
        <v>-1.1113319047950001</v>
      </c>
      <c r="AH1106">
        <v>19.101450311401798</v>
      </c>
      <c r="AI1106">
        <v>93.261968073877895</v>
      </c>
      <c r="AJ1106">
        <v>101.59266647338799</v>
      </c>
      <c r="AK1106">
        <v>19.530858992056601</v>
      </c>
      <c r="AL1106">
        <v>81.114886304425895</v>
      </c>
      <c r="AM1106">
        <v>92.056532940142901</v>
      </c>
      <c r="AN1106">
        <v>1.0000000371458899</v>
      </c>
    </row>
    <row r="1107" spans="1:40" x14ac:dyDescent="0.3">
      <c r="A1107" t="str">
        <f>"20200111150744604"</f>
        <v>20200111150744604</v>
      </c>
      <c r="B1107" t="str">
        <f>"1578726464602376"</f>
        <v>1578726464602376</v>
      </c>
      <c r="C1107" t="s">
        <v>40</v>
      </c>
      <c r="D1107">
        <v>5.4380220000000001</v>
      </c>
      <c r="E1107">
        <v>0.431448</v>
      </c>
      <c r="F1107" t="s">
        <v>58</v>
      </c>
      <c r="G1107">
        <v>-285.0299</v>
      </c>
      <c r="H1107" s="1">
        <v>7.0736710000000004E-6</v>
      </c>
      <c r="I1107">
        <v>280.25119999999998</v>
      </c>
      <c r="J1107">
        <v>-265.88929999999999</v>
      </c>
      <c r="K1107">
        <v>1.1113329999999999</v>
      </c>
      <c r="L1107">
        <v>283.26060000000001</v>
      </c>
      <c r="M1107">
        <v>-0.9986545</v>
      </c>
      <c r="N1107">
        <v>0</v>
      </c>
      <c r="O1107">
        <v>5.0068630000000003E-2</v>
      </c>
      <c r="P1107">
        <v>-0.98988949999999998</v>
      </c>
      <c r="Q1107">
        <v>0.1412032</v>
      </c>
      <c r="R1107">
        <v>1.344299E-2</v>
      </c>
      <c r="S1107">
        <v>-3.0631409999999999</v>
      </c>
      <c r="T1107">
        <v>-0.175373</v>
      </c>
      <c r="U1107">
        <v>-0.4729004</v>
      </c>
      <c r="V1107">
        <v>-3.6457139999999999E-2</v>
      </c>
      <c r="W1107">
        <v>0.15447859999999999</v>
      </c>
      <c r="X1107">
        <v>0.98732330000000001</v>
      </c>
      <c r="Y1107">
        <v>-0.20146900000000001</v>
      </c>
      <c r="Z1107">
        <v>-8.578245E-3</v>
      </c>
      <c r="AA1107">
        <v>0.97945729999999998</v>
      </c>
      <c r="AB1107">
        <v>28</v>
      </c>
      <c r="AC1107">
        <v>-19.140599999999999</v>
      </c>
      <c r="AD1107">
        <v>-1.1113259263289901</v>
      </c>
      <c r="AE1107">
        <v>-3.0094000000000198</v>
      </c>
      <c r="AF1107">
        <v>-3.9510577528263999</v>
      </c>
      <c r="AG1107">
        <v>-1.1113259263289901</v>
      </c>
      <c r="AH1107">
        <v>18.903709809249001</v>
      </c>
      <c r="AI1107">
        <v>93.293469248240697</v>
      </c>
      <c r="AJ1107">
        <v>101.805422049846</v>
      </c>
      <c r="AK1107">
        <v>19.344150207052198</v>
      </c>
      <c r="AL1107">
        <v>81.113442243213996</v>
      </c>
      <c r="AM1107">
        <v>92.114699077990295</v>
      </c>
      <c r="AN1107">
        <v>1.00000002981891</v>
      </c>
    </row>
    <row r="1108" spans="1:40" x14ac:dyDescent="0.3">
      <c r="A1108" t="str">
        <f>"20200111150744617"</f>
        <v>20200111150744617</v>
      </c>
      <c r="B1108" t="str">
        <f>"1578726464612136"</f>
        <v>1578726464612136</v>
      </c>
      <c r="C1108" t="s">
        <v>40</v>
      </c>
      <c r="D1108">
        <v>5.4579789999999999</v>
      </c>
      <c r="E1108">
        <v>0.43109629999999999</v>
      </c>
      <c r="F1108" t="s">
        <v>58</v>
      </c>
      <c r="G1108">
        <v>-284.8057</v>
      </c>
      <c r="H1108" s="1">
        <v>7.1758939999999996E-6</v>
      </c>
      <c r="I1108">
        <v>280.23770000000002</v>
      </c>
      <c r="J1108">
        <v>-266.05689999999998</v>
      </c>
      <c r="K1108">
        <v>1.111332</v>
      </c>
      <c r="L1108">
        <v>283.26839999999999</v>
      </c>
      <c r="M1108">
        <v>-0.99868659999999998</v>
      </c>
      <c r="N1108">
        <v>0</v>
      </c>
      <c r="O1108">
        <v>4.9423630000000003E-2</v>
      </c>
      <c r="P1108">
        <v>-0.98985310000000004</v>
      </c>
      <c r="Q1108">
        <v>0.14153829999999901</v>
      </c>
      <c r="R1108">
        <v>1.256034E-2</v>
      </c>
      <c r="S1108">
        <v>-3.0629580000000001</v>
      </c>
      <c r="T1108">
        <v>-0.17994669999999999</v>
      </c>
      <c r="U1108">
        <v>-0.4894714</v>
      </c>
      <c r="V1108">
        <v>-3.6695770000000003E-2</v>
      </c>
      <c r="W1108">
        <v>0.1548117</v>
      </c>
      <c r="X1108">
        <v>0.98726219999999998</v>
      </c>
      <c r="Y1108">
        <v>-0.20598710000000001</v>
      </c>
      <c r="Z1108">
        <v>-8.8926479999999995E-3</v>
      </c>
      <c r="AA1108">
        <v>0.97851429999999995</v>
      </c>
      <c r="AB1108">
        <v>28</v>
      </c>
      <c r="AC1108">
        <v>-18.748799999999999</v>
      </c>
      <c r="AD1108">
        <v>-1.1113248241060001</v>
      </c>
      <c r="AE1108">
        <v>-3.03069999999996</v>
      </c>
      <c r="AF1108">
        <v>-3.9402224987318202</v>
      </c>
      <c r="AG1108">
        <v>-1.1113248241060001</v>
      </c>
      <c r="AH1108">
        <v>18.512693848287899</v>
      </c>
      <c r="AI1108">
        <v>93.3602774383899</v>
      </c>
      <c r="AJ1108">
        <v>102.015479895807</v>
      </c>
      <c r="AK1108">
        <v>18.959963864011499</v>
      </c>
      <c r="AL1108">
        <v>81.094123884560503</v>
      </c>
      <c r="AM1108">
        <v>92.128659747915705</v>
      </c>
      <c r="AN1108">
        <v>0.99999994677081006</v>
      </c>
    </row>
    <row r="1109" spans="1:40" x14ac:dyDescent="0.3">
      <c r="A1109" t="str">
        <f>"20200111150744637"</f>
        <v>20200111150744637</v>
      </c>
      <c r="B1109" t="str">
        <f>"1578726464632632"</f>
        <v>1578726464632632</v>
      </c>
      <c r="C1109" t="s">
        <v>40</v>
      </c>
      <c r="D1109">
        <v>5.4623400000000002</v>
      </c>
      <c r="E1109">
        <v>0.43054759999999997</v>
      </c>
      <c r="F1109" t="s">
        <v>58</v>
      </c>
      <c r="G1109">
        <v>-284.93669999999997</v>
      </c>
      <c r="H1109" s="1">
        <v>7.1210260000000004E-6</v>
      </c>
      <c r="I1109">
        <v>280.22199999999998</v>
      </c>
      <c r="J1109">
        <v>-266.30779999999999</v>
      </c>
      <c r="K1109">
        <v>1.111329</v>
      </c>
      <c r="L1109">
        <v>283.27969999999999</v>
      </c>
      <c r="M1109">
        <v>-0.99873389999999995</v>
      </c>
      <c r="N1109">
        <v>0</v>
      </c>
      <c r="O1109">
        <v>4.8460719999999999E-2</v>
      </c>
      <c r="P1109">
        <v>-0.98974450000000003</v>
      </c>
      <c r="Q1109">
        <v>0.14240349999999999</v>
      </c>
      <c r="R1109">
        <v>1.130042E-2</v>
      </c>
      <c r="S1109">
        <v>-3.062805</v>
      </c>
      <c r="T1109">
        <v>-0.18028649999999999</v>
      </c>
      <c r="U1109">
        <v>-0.49420170000000002</v>
      </c>
      <c r="V1109">
        <v>-3.6994329999999999E-2</v>
      </c>
      <c r="W1109">
        <v>0.1556737</v>
      </c>
      <c r="X1109">
        <v>0.98711559999999998</v>
      </c>
      <c r="Y1109">
        <v>-0.2065237</v>
      </c>
      <c r="Z1109">
        <v>-8.8681390000000006E-3</v>
      </c>
      <c r="AA1109">
        <v>0.97840139999999998</v>
      </c>
      <c r="AB1109">
        <v>28</v>
      </c>
      <c r="AC1109">
        <v>-18.628899999999899</v>
      </c>
      <c r="AD1109">
        <v>-1.111321878974</v>
      </c>
      <c r="AE1109">
        <v>-3.0577000000000099</v>
      </c>
      <c r="AF1109">
        <v>-3.9432936691329301</v>
      </c>
      <c r="AG1109">
        <v>-1.111321878974</v>
      </c>
      <c r="AH1109">
        <v>18.395069657475599</v>
      </c>
      <c r="AI1109">
        <v>93.380652612391998</v>
      </c>
      <c r="AJ1109">
        <v>102.099203228002</v>
      </c>
      <c r="AK1109">
        <v>18.845773769816098</v>
      </c>
      <c r="AL1109">
        <v>81.044129678664703</v>
      </c>
      <c r="AM1109">
        <v>92.146280989500994</v>
      </c>
      <c r="AN1109">
        <v>1.0000000445435899</v>
      </c>
    </row>
    <row r="1110" spans="1:40" x14ac:dyDescent="0.3">
      <c r="A1110" t="str">
        <f>"20200111150744661"</f>
        <v>20200111150744661</v>
      </c>
      <c r="B1110" t="str">
        <f>"1578726464652152"</f>
        <v>1578726464652152</v>
      </c>
      <c r="C1110" t="s">
        <v>40</v>
      </c>
      <c r="D1110">
        <v>5.4819040000000001</v>
      </c>
      <c r="E1110">
        <v>0.43000310000000003</v>
      </c>
      <c r="F1110" t="s">
        <v>58</v>
      </c>
      <c r="G1110">
        <v>-285.22030000000001</v>
      </c>
      <c r="H1110" s="1">
        <v>7.0046340000000003E-6</v>
      </c>
      <c r="I1110">
        <v>280.17669999999998</v>
      </c>
      <c r="J1110">
        <v>-266.61020000000002</v>
      </c>
      <c r="K1110">
        <v>1.1113230000000001</v>
      </c>
      <c r="L1110">
        <v>283.29300000000001</v>
      </c>
      <c r="M1110">
        <v>-0.9987895</v>
      </c>
      <c r="N1110">
        <v>0</v>
      </c>
      <c r="O1110">
        <v>4.7301169999999997E-2</v>
      </c>
      <c r="P1110">
        <v>-0.98973290000000003</v>
      </c>
      <c r="Q1110">
        <v>0.14259450000000001</v>
      </c>
      <c r="R1110">
        <v>9.7896319999999995E-3</v>
      </c>
      <c r="S1110">
        <v>-3.0627439999999999</v>
      </c>
      <c r="T1110">
        <v>-0.17997099999999999</v>
      </c>
      <c r="U1110">
        <v>-0.50250240000000002</v>
      </c>
      <c r="V1110">
        <v>-3.7352820000000002E-2</v>
      </c>
      <c r="W1110">
        <v>0.15586259999999999</v>
      </c>
      <c r="X1110">
        <v>0.98707219999999996</v>
      </c>
      <c r="Y1110">
        <v>-0.2079752</v>
      </c>
      <c r="Z1110">
        <v>-8.8255790000000001E-3</v>
      </c>
      <c r="AA1110">
        <v>0.97809429999999997</v>
      </c>
      <c r="AB1110">
        <v>28</v>
      </c>
      <c r="AC1110">
        <v>-18.6100999999999</v>
      </c>
      <c r="AD1110">
        <v>-1.1113159953659999</v>
      </c>
      <c r="AE1110">
        <v>-3.1163000000000198</v>
      </c>
      <c r="AF1110">
        <v>-3.9793676249068701</v>
      </c>
      <c r="AG1110">
        <v>-1.1113159953659999</v>
      </c>
      <c r="AH1110">
        <v>18.378099116663499</v>
      </c>
      <c r="AI1110">
        <v>93.382247645245599</v>
      </c>
      <c r="AJ1110">
        <v>102.21751755099299</v>
      </c>
      <c r="AK1110">
        <v>18.836796890066498</v>
      </c>
      <c r="AL1110">
        <v>81.033171958496396</v>
      </c>
      <c r="AM1110">
        <v>92.167154776134794</v>
      </c>
      <c r="AN1110">
        <v>0.99999995562677502</v>
      </c>
    </row>
    <row r="1111" spans="1:40" x14ac:dyDescent="0.3">
      <c r="A1111" t="str">
        <f>"20200111150744674"</f>
        <v>20200111150744674</v>
      </c>
      <c r="B1111" t="str">
        <f>"1578726464672648"</f>
        <v>1578726464672648</v>
      </c>
      <c r="C1111" t="s">
        <v>40</v>
      </c>
      <c r="D1111">
        <v>6.5720049999999999</v>
      </c>
      <c r="E1111">
        <v>0.42978680000000002</v>
      </c>
      <c r="F1111" t="s">
        <v>58</v>
      </c>
      <c r="G1111">
        <v>-285.30680000000001</v>
      </c>
      <c r="H1111" s="1">
        <v>6.9674980000000002E-6</v>
      </c>
      <c r="I1111">
        <v>280.17090000000002</v>
      </c>
      <c r="J1111">
        <v>-266.78199999999998</v>
      </c>
      <c r="K1111">
        <v>1.1113189999999999</v>
      </c>
      <c r="L1111">
        <v>283.30040000000002</v>
      </c>
      <c r="M1111">
        <v>-0.99882040000000005</v>
      </c>
      <c r="N1111">
        <v>0</v>
      </c>
      <c r="O1111">
        <v>4.6641309999999998E-2</v>
      </c>
      <c r="P1111">
        <v>-0.98969289999999999</v>
      </c>
      <c r="Q1111">
        <v>0.14291799999999999</v>
      </c>
      <c r="R1111">
        <v>9.0662039999999996E-3</v>
      </c>
      <c r="S1111">
        <v>-3.0623469999999999</v>
      </c>
      <c r="T1111">
        <v>-0.1820244</v>
      </c>
      <c r="U1111">
        <v>-0.51138309999999998</v>
      </c>
      <c r="V1111">
        <v>-3.7420080000000001E-2</v>
      </c>
      <c r="W1111">
        <v>0.15618470000000001</v>
      </c>
      <c r="X1111">
        <v>0.98701879999999997</v>
      </c>
      <c r="Y1111">
        <v>-0.21009729999999999</v>
      </c>
      <c r="Z1111">
        <v>-8.9488090000000003E-3</v>
      </c>
      <c r="AA1111">
        <v>0.97763949999999999</v>
      </c>
      <c r="AB1111">
        <v>28</v>
      </c>
      <c r="AC1111">
        <v>-18.524799999999999</v>
      </c>
      <c r="AD1111">
        <v>-1.1113120325019901</v>
      </c>
      <c r="AE1111">
        <v>-3.1295000000000002</v>
      </c>
      <c r="AF1111">
        <v>-3.9762802872569298</v>
      </c>
      <c r="AG1111">
        <v>-1.1113120325019901</v>
      </c>
      <c r="AH1111">
        <v>18.294645534512401</v>
      </c>
      <c r="AI1111">
        <v>93.397052985019599</v>
      </c>
      <c r="AJ1111">
        <v>102.26233175432399</v>
      </c>
      <c r="AK1111">
        <v>18.754729392605601</v>
      </c>
      <c r="AL1111">
        <v>81.014488730732097</v>
      </c>
      <c r="AM1111">
        <v>92.171170716487694</v>
      </c>
      <c r="AN1111">
        <v>1.00000001722736</v>
      </c>
    </row>
    <row r="1112" spans="1:40" x14ac:dyDescent="0.3">
      <c r="A1112" t="str">
        <f>"20200111150744694"</f>
        <v>20200111150744694</v>
      </c>
      <c r="B1112" t="str">
        <f>"1578726464692168"</f>
        <v>1578726464692168</v>
      </c>
      <c r="C1112" t="s">
        <v>40</v>
      </c>
      <c r="D1112">
        <v>8.3190089999999994</v>
      </c>
      <c r="E1112">
        <v>0.44027060000000001</v>
      </c>
      <c r="F1112" t="s">
        <v>58</v>
      </c>
      <c r="G1112">
        <v>-285.4128</v>
      </c>
      <c r="H1112" s="1">
        <v>6.9212360000000001E-6</v>
      </c>
      <c r="I1112">
        <v>280.16719999999998</v>
      </c>
      <c r="J1112">
        <v>-267.0224</v>
      </c>
      <c r="K1112">
        <v>1.1113200000000001</v>
      </c>
      <c r="L1112">
        <v>283.31060000000002</v>
      </c>
      <c r="M1112">
        <v>-0.99886330000000001</v>
      </c>
      <c r="N1112">
        <v>0</v>
      </c>
      <c r="O1112">
        <v>4.5715930000000002E-2</v>
      </c>
      <c r="P1112">
        <v>-0.98978770000000005</v>
      </c>
      <c r="Q1112">
        <v>0.14233999999999999</v>
      </c>
      <c r="R1112">
        <v>7.7116169999999996E-3</v>
      </c>
      <c r="S1112">
        <v>-3.0623779999999998</v>
      </c>
      <c r="T1112">
        <v>-0.1826682</v>
      </c>
      <c r="U1112">
        <v>-0.51501459999999999</v>
      </c>
      <c r="V1112">
        <v>-3.7858919999999997E-2</v>
      </c>
      <c r="W1112">
        <v>0.15560539999999901</v>
      </c>
      <c r="X1112">
        <v>0.98709360000000002</v>
      </c>
      <c r="Y1112">
        <v>-0.210316</v>
      </c>
      <c r="Z1112">
        <v>-8.9311019999999998E-3</v>
      </c>
      <c r="AA1112">
        <v>0.97759260000000003</v>
      </c>
      <c r="AB1112">
        <v>28</v>
      </c>
      <c r="AC1112">
        <v>-18.3904</v>
      </c>
      <c r="AD1112">
        <v>-1.111313078764</v>
      </c>
      <c r="AE1112">
        <v>-3.1434000000000402</v>
      </c>
      <c r="AF1112">
        <v>-3.96684934200771</v>
      </c>
      <c r="AG1112">
        <v>-1.111313078764</v>
      </c>
      <c r="AH1112">
        <v>18.163009996135798</v>
      </c>
      <c r="AI1112">
        <v>93.420868226411798</v>
      </c>
      <c r="AJ1112">
        <v>102.320092529032</v>
      </c>
      <c r="AK1112">
        <v>18.624334688276701</v>
      </c>
      <c r="AL1112">
        <v>81.048091366490496</v>
      </c>
      <c r="AM1112">
        <v>92.196441800124703</v>
      </c>
      <c r="AN1112">
        <v>1.0000000567468399</v>
      </c>
    </row>
    <row r="1113" spans="1:40" x14ac:dyDescent="0.3">
      <c r="A1113" t="str">
        <f>"20200111150744714"</f>
        <v>20200111150744714</v>
      </c>
      <c r="B1113" t="str">
        <f>"1578726464712663"</f>
        <v>1578726464712663</v>
      </c>
      <c r="C1113" t="s">
        <v>40</v>
      </c>
      <c r="D1113">
        <v>5.1646850000000004</v>
      </c>
      <c r="E1113">
        <v>0.48488409999999899</v>
      </c>
      <c r="F1113" t="s">
        <v>56</v>
      </c>
      <c r="G1113">
        <v>-366.63990000000001</v>
      </c>
      <c r="H1113">
        <v>20.60266</v>
      </c>
      <c r="I1113">
        <v>267.85000000000002</v>
      </c>
      <c r="J1113">
        <v>-267.28449999999998</v>
      </c>
      <c r="K1113">
        <v>1.1113150000000001</v>
      </c>
      <c r="L1113">
        <v>283.32150000000001</v>
      </c>
      <c r="M1113">
        <v>-0.99890919999999905</v>
      </c>
      <c r="N1113">
        <v>0</v>
      </c>
      <c r="O1113">
        <v>4.4705130000000003E-2</v>
      </c>
      <c r="P1113">
        <v>-0.98985029999999996</v>
      </c>
      <c r="Q1113">
        <v>0.1419764</v>
      </c>
      <c r="R1113">
        <v>6.2627280000000004E-3</v>
      </c>
      <c r="S1113">
        <v>-2.9514770000000001</v>
      </c>
      <c r="T1113">
        <v>0.57749410000000001</v>
      </c>
      <c r="U1113">
        <v>-0.4580688</v>
      </c>
      <c r="V1113">
        <v>-3.8306880000000001E-2</v>
      </c>
      <c r="W1113">
        <v>0.1552404</v>
      </c>
      <c r="X1113">
        <v>0.9871337</v>
      </c>
      <c r="Y1113">
        <v>-0.19298129999999999</v>
      </c>
      <c r="Z1113">
        <v>2.721488E-2</v>
      </c>
      <c r="AA1113">
        <v>0.9808249</v>
      </c>
      <c r="AB1113">
        <v>28</v>
      </c>
      <c r="AC1113">
        <v>-99.355400000000003</v>
      </c>
      <c r="AD1113">
        <v>19.491344999999999</v>
      </c>
      <c r="AE1113">
        <v>-15.471499999999899</v>
      </c>
      <c r="AF1113">
        <v>-19.177539119603399</v>
      </c>
      <c r="AG1113">
        <v>19.491344999999999</v>
      </c>
      <c r="AH1113">
        <v>94.994925816733996</v>
      </c>
      <c r="AI1113">
        <v>78.628076553493898</v>
      </c>
      <c r="AJ1113">
        <v>101.413446913866</v>
      </c>
      <c r="AK1113">
        <v>98.852043314843698</v>
      </c>
      <c r="AL1113">
        <v>81.069260806177397</v>
      </c>
      <c r="AM1113">
        <v>92.222314771630195</v>
      </c>
      <c r="AN1113">
        <v>0.99999997026159104</v>
      </c>
    </row>
    <row r="1114" spans="1:40" x14ac:dyDescent="0.3">
      <c r="A1114" t="str">
        <f>"20200111150744729"</f>
        <v>20200111150744729</v>
      </c>
      <c r="B1114" t="str">
        <f>"1578726464722424"</f>
        <v>1578726464722424</v>
      </c>
      <c r="C1114" t="s">
        <v>40</v>
      </c>
      <c r="D1114">
        <v>9.0891400000000004</v>
      </c>
      <c r="E1114">
        <v>0.48488409999999899</v>
      </c>
      <c r="F1114" t="s">
        <v>57</v>
      </c>
      <c r="G1114">
        <v>-512.83680000000004</v>
      </c>
      <c r="H1114">
        <v>35.075409999999998</v>
      </c>
      <c r="I1114">
        <v>274.96159999999998</v>
      </c>
      <c r="J1114">
        <v>-267.46890000000002</v>
      </c>
      <c r="K1114">
        <v>1.111316</v>
      </c>
      <c r="L1114">
        <v>283.32889999999998</v>
      </c>
      <c r="M1114">
        <v>-0.99894079999999996</v>
      </c>
      <c r="N1114">
        <v>0</v>
      </c>
      <c r="O1114">
        <v>4.3993089999999999E-2</v>
      </c>
      <c r="P1114">
        <v>-0.9898827</v>
      </c>
      <c r="Q1114">
        <v>0.141766</v>
      </c>
      <c r="R1114">
        <v>5.9088079999999998E-3</v>
      </c>
      <c r="S1114">
        <v>-2.9724430000000002</v>
      </c>
      <c r="T1114">
        <v>0.41114040000000002</v>
      </c>
      <c r="U1114">
        <v>-0.1011963</v>
      </c>
      <c r="V1114">
        <v>-3.7956070000000001E-2</v>
      </c>
      <c r="W1114">
        <v>0.15503029999999901</v>
      </c>
      <c r="X1114">
        <v>0.98718030000000001</v>
      </c>
      <c r="Y1114">
        <v>-7.68147E-2</v>
      </c>
      <c r="Z1114">
        <v>1.1340380000000001E-2</v>
      </c>
      <c r="AA1114">
        <v>0.99698089999999995</v>
      </c>
      <c r="AB1114">
        <v>28</v>
      </c>
      <c r="AC1114">
        <v>-245.36789999999999</v>
      </c>
      <c r="AD1114">
        <v>33.964094000000003</v>
      </c>
      <c r="AE1114">
        <v>-8.3673000000000002</v>
      </c>
      <c r="AF1114">
        <v>-18.7949706566549</v>
      </c>
      <c r="AG1114">
        <v>33.964094000000003</v>
      </c>
      <c r="AH1114">
        <v>240.16583483841899</v>
      </c>
      <c r="AI1114">
        <v>81.974862059386396</v>
      </c>
      <c r="AJ1114">
        <v>94.474750344162899</v>
      </c>
      <c r="AK1114">
        <v>243.28263157665</v>
      </c>
      <c r="AL1114">
        <v>81.081446451193102</v>
      </c>
      <c r="AM1114">
        <v>92.201879352235906</v>
      </c>
      <c r="AN1114">
        <v>1.0000000009380099</v>
      </c>
    </row>
    <row r="1115" spans="1:40" x14ac:dyDescent="0.3">
      <c r="A1115" t="str">
        <f>"20200111150744749"</f>
        <v>20200111150744749</v>
      </c>
      <c r="B1115" t="str">
        <f>"1578726464741944"</f>
        <v>1578726464741944</v>
      </c>
      <c r="C1115" t="s">
        <v>40</v>
      </c>
      <c r="D1115">
        <v>6.8796789999999897</v>
      </c>
      <c r="E1115">
        <v>0.48166530000000002</v>
      </c>
      <c r="F1115" t="s">
        <v>57</v>
      </c>
      <c r="G1115">
        <v>-512.83680000000004</v>
      </c>
      <c r="H1115">
        <v>34.998170000000002</v>
      </c>
      <c r="I1115">
        <v>274.88220000000001</v>
      </c>
      <c r="J1115">
        <v>-267.72019999999998</v>
      </c>
      <c r="K1115">
        <v>1.111316</v>
      </c>
      <c r="L1115">
        <v>283.339</v>
      </c>
      <c r="M1115">
        <v>-0.99898299999999995</v>
      </c>
      <c r="N1115">
        <v>0</v>
      </c>
      <c r="O1115">
        <v>4.3021539999999997E-2</v>
      </c>
      <c r="P1115">
        <v>-0.98991039999999997</v>
      </c>
      <c r="Q1115">
        <v>0.1415835</v>
      </c>
      <c r="R1115">
        <v>5.6250569999999897E-3</v>
      </c>
      <c r="S1115">
        <v>-2.9724430000000002</v>
      </c>
      <c r="T1115">
        <v>0.41051359999999998</v>
      </c>
      <c r="U1115">
        <v>-0.1023254</v>
      </c>
      <c r="V1115">
        <v>-3.7277869999999998E-2</v>
      </c>
      <c r="W1115">
        <v>0.1548484</v>
      </c>
      <c r="X1115">
        <v>0.98723470000000002</v>
      </c>
      <c r="Y1115">
        <v>-7.6241519999999993E-2</v>
      </c>
      <c r="Z1115">
        <v>1.115035E-2</v>
      </c>
      <c r="AA1115">
        <v>0.997027</v>
      </c>
      <c r="AB1115">
        <v>28</v>
      </c>
      <c r="AC1115">
        <v>-245.11660000000001</v>
      </c>
      <c r="AD1115">
        <v>33.886854</v>
      </c>
      <c r="AE1115">
        <v>-8.4567999999999799</v>
      </c>
      <c r="AF1115">
        <v>-18.639401115616099</v>
      </c>
      <c r="AG1115">
        <v>33.886854</v>
      </c>
      <c r="AH1115">
        <v>239.945261668683</v>
      </c>
      <c r="AI1115">
        <v>81.985257152695596</v>
      </c>
      <c r="AJ1115">
        <v>94.441923806953298</v>
      </c>
      <c r="AK1115">
        <v>243.042125454043</v>
      </c>
      <c r="AL1115">
        <v>81.091996028352298</v>
      </c>
      <c r="AM1115">
        <v>92.162454759838496</v>
      </c>
      <c r="AN1115">
        <v>1.0000000097291899</v>
      </c>
    </row>
    <row r="1116" spans="1:40" x14ac:dyDescent="0.3">
      <c r="A1116" t="str">
        <f>"20200111150744762"</f>
        <v>20200111150744762</v>
      </c>
      <c r="B1116" t="str">
        <f>"1578726464752681"</f>
        <v>1578726464752681</v>
      </c>
      <c r="C1116" t="s">
        <v>40</v>
      </c>
      <c r="D1116">
        <v>5.1096979999999999</v>
      </c>
      <c r="E1116">
        <v>0.48306280000000001</v>
      </c>
      <c r="F1116" t="s">
        <v>57</v>
      </c>
      <c r="G1116">
        <v>-512.83669999999995</v>
      </c>
      <c r="H1116">
        <v>34.78481</v>
      </c>
      <c r="I1116">
        <v>272.70310000000001</v>
      </c>
      <c r="J1116">
        <v>-267.8886</v>
      </c>
      <c r="K1116">
        <v>1.11131</v>
      </c>
      <c r="L1116">
        <v>283.34550000000002</v>
      </c>
      <c r="M1116">
        <v>-0.99901090000000003</v>
      </c>
      <c r="N1116">
        <v>0</v>
      </c>
      <c r="O1116">
        <v>4.2369749999999998E-2</v>
      </c>
      <c r="P1116">
        <v>-0.98993969999999998</v>
      </c>
      <c r="Q1116">
        <v>0.14139079999999901</v>
      </c>
      <c r="R1116">
        <v>5.2781069999999998E-3</v>
      </c>
      <c r="S1116">
        <v>-2.9729000000000001</v>
      </c>
      <c r="T1116">
        <v>0.4084102</v>
      </c>
      <c r="U1116">
        <v>-0.1289978</v>
      </c>
      <c r="V1116">
        <v>-3.6979600000000001E-2</v>
      </c>
      <c r="W1116">
        <v>0.15465619999999999</v>
      </c>
      <c r="X1116">
        <v>0.98727600000000004</v>
      </c>
      <c r="Y1116">
        <v>-8.4455939999999993E-2</v>
      </c>
      <c r="Z1116">
        <v>1.15627E-2</v>
      </c>
      <c r="AA1116">
        <v>0.99636009999999997</v>
      </c>
      <c r="AB1116">
        <v>28</v>
      </c>
      <c r="AC1116">
        <v>-244.94809999999899</v>
      </c>
      <c r="AD1116">
        <v>33.673499999999997</v>
      </c>
      <c r="AE1116">
        <v>-10.6424</v>
      </c>
      <c r="AF1116">
        <v>-20.6231624056784</v>
      </c>
      <c r="AG1116">
        <v>33.673499999999997</v>
      </c>
      <c r="AH1116">
        <v>239.75466219248401</v>
      </c>
      <c r="AI1116">
        <v>82.034149542113894</v>
      </c>
      <c r="AJ1116">
        <v>94.916353797904804</v>
      </c>
      <c r="AK1116">
        <v>242.98460336591901</v>
      </c>
      <c r="AL1116">
        <v>81.103142160102905</v>
      </c>
      <c r="AM1116">
        <v>92.145078969447894</v>
      </c>
      <c r="AN1116">
        <v>0.99999996559529902</v>
      </c>
    </row>
    <row r="1117" spans="1:40" x14ac:dyDescent="0.3">
      <c r="A1117" t="str">
        <f>"20200111150744776"</f>
        <v>20200111150744776</v>
      </c>
      <c r="B1117" t="str">
        <f>"1578726464772200"</f>
        <v>1578726464772200</v>
      </c>
      <c r="C1117" t="s">
        <v>40</v>
      </c>
      <c r="D1117">
        <v>6.8505140000000004</v>
      </c>
      <c r="E1117">
        <v>0.48644080000000001</v>
      </c>
      <c r="F1117" t="s">
        <v>57</v>
      </c>
      <c r="G1117">
        <v>-512.8356</v>
      </c>
      <c r="H1117">
        <v>31.38448</v>
      </c>
      <c r="I1117">
        <v>273.67309999999998</v>
      </c>
      <c r="J1117">
        <v>-268.05270000000002</v>
      </c>
      <c r="K1117">
        <v>1.111308</v>
      </c>
      <c r="L1117">
        <v>283.35180000000003</v>
      </c>
      <c r="M1117">
        <v>-0.99903770000000003</v>
      </c>
      <c r="N1117">
        <v>0</v>
      </c>
      <c r="O1117">
        <v>4.1733869999999999E-2</v>
      </c>
      <c r="P1117">
        <v>-0.98997310000000005</v>
      </c>
      <c r="Q1117">
        <v>0.1411676</v>
      </c>
      <c r="R1117">
        <v>5.0030930000000001E-3</v>
      </c>
      <c r="S1117">
        <v>-2.9785159999999999</v>
      </c>
      <c r="T1117">
        <v>0.36811749999999999</v>
      </c>
      <c r="U1117">
        <v>-0.1176147</v>
      </c>
      <c r="V1117">
        <v>-3.662547E-2</v>
      </c>
      <c r="W1117">
        <v>0.15443289999999901</v>
      </c>
      <c r="X1117">
        <v>0.98732419999999999</v>
      </c>
      <c r="Y1117">
        <v>-8.0201170000000002E-2</v>
      </c>
      <c r="Z1117">
        <v>1.007218E-2</v>
      </c>
      <c r="AA1117">
        <v>0.99672780000000005</v>
      </c>
      <c r="AB1117">
        <v>28</v>
      </c>
      <c r="AC1117">
        <v>-244.78290000000001</v>
      </c>
      <c r="AD1117">
        <v>30.273171999999999</v>
      </c>
      <c r="AE1117">
        <v>-9.67870000000004</v>
      </c>
      <c r="AF1117">
        <v>-19.587802598281399</v>
      </c>
      <c r="AG1117">
        <v>30.273171999999999</v>
      </c>
      <c r="AH1117">
        <v>240.49299643491801</v>
      </c>
      <c r="AI1117">
        <v>82.848799177082498</v>
      </c>
      <c r="AJ1117">
        <v>94.656378945931905</v>
      </c>
      <c r="AK1117">
        <v>243.181060709539</v>
      </c>
      <c r="AL1117">
        <v>81.116092293174603</v>
      </c>
      <c r="AM1117">
        <v>92.124452210956406</v>
      </c>
      <c r="AN1117">
        <v>1.0000000107803799</v>
      </c>
    </row>
    <row r="1118" spans="1:40" x14ac:dyDescent="0.3">
      <c r="A1118" t="str">
        <f>"20200111150744794"</f>
        <v>20200111150744794</v>
      </c>
      <c r="B1118" t="str">
        <f>"1578726464792697"</f>
        <v>1578726464792697</v>
      </c>
      <c r="C1118" t="s">
        <v>40</v>
      </c>
      <c r="D1118">
        <v>6.5546530000000001</v>
      </c>
      <c r="E1118">
        <v>0.48418620000000001</v>
      </c>
      <c r="F1118" t="s">
        <v>57</v>
      </c>
      <c r="G1118">
        <v>-511.96940000000001</v>
      </c>
      <c r="H1118">
        <v>32.407119999999999</v>
      </c>
      <c r="I1118">
        <v>275.81389999999999</v>
      </c>
      <c r="J1118">
        <v>-268.28190000000001</v>
      </c>
      <c r="K1118">
        <v>1.111305</v>
      </c>
      <c r="L1118">
        <v>283.36040000000003</v>
      </c>
      <c r="M1118">
        <v>-0.99907440000000003</v>
      </c>
      <c r="N1118">
        <v>0</v>
      </c>
      <c r="O1118">
        <v>4.0846059999999997E-2</v>
      </c>
      <c r="P1118">
        <v>-0.99008660000000004</v>
      </c>
      <c r="Q1118">
        <v>0.14037649999999999</v>
      </c>
      <c r="R1118">
        <v>4.8136610000000003E-3</v>
      </c>
      <c r="S1118">
        <v>-2.9763790000000001</v>
      </c>
      <c r="T1118">
        <v>0.38188610000000001</v>
      </c>
      <c r="U1118">
        <v>-9.1979980000000003E-2</v>
      </c>
      <c r="V1118">
        <v>-3.5938339999999999E-2</v>
      </c>
      <c r="W1118">
        <v>0.15364420000000001</v>
      </c>
      <c r="X1118">
        <v>0.98747249999999998</v>
      </c>
      <c r="Y1118">
        <v>-7.0778709999999995E-2</v>
      </c>
      <c r="Z1118">
        <v>9.7394079999999997E-3</v>
      </c>
      <c r="AA1118">
        <v>0.99744449999999996</v>
      </c>
      <c r="AB1118">
        <v>28</v>
      </c>
      <c r="AC1118">
        <v>-243.6875</v>
      </c>
      <c r="AD1118">
        <v>31.295815000000001</v>
      </c>
      <c r="AE1118">
        <v>-7.5465000000000302</v>
      </c>
      <c r="AF1118">
        <v>-17.211184545422999</v>
      </c>
      <c r="AG1118">
        <v>31.295815000000001</v>
      </c>
      <c r="AH1118">
        <v>239.233859585901</v>
      </c>
      <c r="AI1118">
        <v>82.566067263057803</v>
      </c>
      <c r="AJ1118">
        <v>94.114936620194698</v>
      </c>
      <c r="AK1118">
        <v>241.88528785839199</v>
      </c>
      <c r="AL1118">
        <v>81.161827424624505</v>
      </c>
      <c r="AM1118">
        <v>92.084318092676298</v>
      </c>
      <c r="AN1118">
        <v>1.0000000213659199</v>
      </c>
    </row>
    <row r="1119" spans="1:40" x14ac:dyDescent="0.3">
      <c r="A1119" t="str">
        <f>"20200111150744808"</f>
        <v>20200111150744808</v>
      </c>
      <c r="B1119" t="str">
        <f>"1578726464802456"</f>
        <v>1578726464802456</v>
      </c>
      <c r="C1119" t="s">
        <v>40</v>
      </c>
      <c r="D1119">
        <v>5.6523370000000002</v>
      </c>
      <c r="E1119">
        <v>0.48436170000000001</v>
      </c>
      <c r="F1119" t="s">
        <v>57</v>
      </c>
      <c r="G1119">
        <v>-512.83669999999995</v>
      </c>
      <c r="H1119">
        <v>34.85528</v>
      </c>
      <c r="I1119">
        <v>274.19589999999999</v>
      </c>
      <c r="J1119">
        <v>-268.44850000000002</v>
      </c>
      <c r="K1119">
        <v>1.111302</v>
      </c>
      <c r="L1119">
        <v>283.36649999999997</v>
      </c>
      <c r="M1119">
        <v>-0.9991004</v>
      </c>
      <c r="N1119">
        <v>0</v>
      </c>
      <c r="O1119">
        <v>4.0200409999999999E-2</v>
      </c>
      <c r="P1119">
        <v>-0.99009230000000004</v>
      </c>
      <c r="Q1119">
        <v>0.1403595</v>
      </c>
      <c r="R1119">
        <v>4.050929E-3</v>
      </c>
      <c r="S1119">
        <v>-2.9724430000000002</v>
      </c>
      <c r="T1119">
        <v>0.4101419</v>
      </c>
      <c r="U1119">
        <v>-0.11138919999999999</v>
      </c>
      <c r="V1119">
        <v>-3.606086E-2</v>
      </c>
      <c r="W1119">
        <v>0.15362629999999999</v>
      </c>
      <c r="X1119">
        <v>0.98747079999999998</v>
      </c>
      <c r="Y1119">
        <v>-7.6488929999999997E-2</v>
      </c>
      <c r="Z1119">
        <v>1.0769590000000001E-2</v>
      </c>
      <c r="AA1119">
        <v>0.99701229999999996</v>
      </c>
      <c r="AB1119">
        <v>28</v>
      </c>
      <c r="AC1119">
        <v>-244.38820000000001</v>
      </c>
      <c r="AD1119">
        <v>33.743977999999998</v>
      </c>
      <c r="AE1119">
        <v>-9.1705999999999808</v>
      </c>
      <c r="AF1119">
        <v>-18.633836319451301</v>
      </c>
      <c r="AG1119">
        <v>33.743977999999998</v>
      </c>
      <c r="AH1119">
        <v>239.26675699690401</v>
      </c>
      <c r="AI1119">
        <v>81.996392951948394</v>
      </c>
      <c r="AJ1119">
        <v>94.453144908819496</v>
      </c>
      <c r="AK1119">
        <v>242.351927805537</v>
      </c>
      <c r="AL1119">
        <v>81.162865180342607</v>
      </c>
      <c r="AM1119">
        <v>92.091421190416199</v>
      </c>
      <c r="AN1119">
        <v>1.0000000032641301</v>
      </c>
    </row>
    <row r="1120" spans="1:40" x14ac:dyDescent="0.3">
      <c r="A1120" t="str">
        <f>"20200111150744828"</f>
        <v>20200111150744828</v>
      </c>
      <c r="B1120" t="str">
        <f>"1578726464821976"</f>
        <v>1578726464821976</v>
      </c>
      <c r="C1120" t="s">
        <v>40</v>
      </c>
      <c r="D1120">
        <v>5.1826650000000001</v>
      </c>
      <c r="E1120">
        <v>0.48638700000000001</v>
      </c>
      <c r="F1120" t="s">
        <v>57</v>
      </c>
      <c r="G1120">
        <v>-512.83759999999995</v>
      </c>
      <c r="H1120">
        <v>37.591790000000003</v>
      </c>
      <c r="I1120">
        <v>274.04289999999997</v>
      </c>
      <c r="J1120">
        <v>-268.7106</v>
      </c>
      <c r="K1120">
        <v>1.111299</v>
      </c>
      <c r="L1120">
        <v>283.3759</v>
      </c>
      <c r="M1120">
        <v>-0.99914099999999995</v>
      </c>
      <c r="N1120">
        <v>0</v>
      </c>
      <c r="O1120">
        <v>3.918518E-2</v>
      </c>
      <c r="P1120">
        <v>-0.9901991</v>
      </c>
      <c r="Q1120">
        <v>0.13962330000000001</v>
      </c>
      <c r="R1120">
        <v>3.351199E-3</v>
      </c>
      <c r="S1120">
        <v>-2.9677120000000001</v>
      </c>
      <c r="T1120">
        <v>0.44299729999999998</v>
      </c>
      <c r="U1120">
        <v>-0.11322019999999999</v>
      </c>
      <c r="V1120">
        <v>-3.5757520000000001E-2</v>
      </c>
      <c r="W1120">
        <v>0.15289029999999901</v>
      </c>
      <c r="X1120">
        <v>0.98759600000000003</v>
      </c>
      <c r="Y1120">
        <v>-7.5979409999999997E-2</v>
      </c>
      <c r="Z1120">
        <v>1.1453E-2</v>
      </c>
      <c r="AA1120">
        <v>0.99704360000000003</v>
      </c>
      <c r="AB1120">
        <v>28</v>
      </c>
      <c r="AC1120">
        <v>-244.12699999999899</v>
      </c>
      <c r="AD1120">
        <v>36.480491000000001</v>
      </c>
      <c r="AE1120">
        <v>-9.3330000000000197</v>
      </c>
      <c r="AF1120">
        <v>-18.480786039684499</v>
      </c>
      <c r="AG1120">
        <v>36.480491000000001</v>
      </c>
      <c r="AH1120">
        <v>238.26110148526899</v>
      </c>
      <c r="AI1120">
        <v>81.320638373665801</v>
      </c>
      <c r="AJ1120">
        <v>94.435281915825897</v>
      </c>
      <c r="AK1120">
        <v>241.745151258964</v>
      </c>
      <c r="AL1120">
        <v>81.2055385591229</v>
      </c>
      <c r="AM1120">
        <v>92.073581134567107</v>
      </c>
      <c r="AN1120">
        <v>0.99999995164331901</v>
      </c>
    </row>
    <row r="1121" spans="1:40" x14ac:dyDescent="0.3">
      <c r="A1121" t="str">
        <f>"20200111150744850"</f>
        <v>20200111150744850</v>
      </c>
      <c r="B1121" t="str">
        <f>"1578726464842472"</f>
        <v>1578726464842472</v>
      </c>
      <c r="C1121" t="s">
        <v>40</v>
      </c>
      <c r="D1121">
        <v>6.0632780000000004</v>
      </c>
      <c r="E1121">
        <v>0.52417219999999998</v>
      </c>
      <c r="F1121" t="s">
        <v>57</v>
      </c>
      <c r="G1121">
        <v>-512.83780000000002</v>
      </c>
      <c r="H1121">
        <v>38.252029999999998</v>
      </c>
      <c r="I1121">
        <v>275.1884</v>
      </c>
      <c r="J1121">
        <v>-268.98079999999999</v>
      </c>
      <c r="K1121">
        <v>1.1112959999999901</v>
      </c>
      <c r="L1121">
        <v>283.38529999999997</v>
      </c>
      <c r="M1121">
        <v>-0.99918149999999994</v>
      </c>
      <c r="N1121">
        <v>0</v>
      </c>
      <c r="O1121">
        <v>3.8138970000000001E-2</v>
      </c>
      <c r="P1121">
        <v>-0.99024219999999996</v>
      </c>
      <c r="Q1121">
        <v>0.1393354</v>
      </c>
      <c r="R1121">
        <v>2.4935170000000002E-3</v>
      </c>
      <c r="S1121">
        <v>-2.966431</v>
      </c>
      <c r="T1121">
        <v>0.45130369999999997</v>
      </c>
      <c r="U1121">
        <v>-9.9487300000000001E-2</v>
      </c>
      <c r="V1121">
        <v>-3.5578760000000001E-2</v>
      </c>
      <c r="W1121">
        <v>0.1526023</v>
      </c>
      <c r="X1121">
        <v>0.9876471</v>
      </c>
      <c r="Y1121">
        <v>-7.0368070000000005E-2</v>
      </c>
      <c r="Z1121">
        <v>1.108865E-2</v>
      </c>
      <c r="AA1121">
        <v>0.99745950000000005</v>
      </c>
      <c r="AB1121">
        <v>28</v>
      </c>
      <c r="AC1121">
        <v>-243.857</v>
      </c>
      <c r="AD1121">
        <v>37.140734000000002</v>
      </c>
      <c r="AE1121">
        <v>-8.1968999999999692</v>
      </c>
      <c r="AF1121">
        <v>-17.096105723423399</v>
      </c>
      <c r="AG1121">
        <v>37.140734000000002</v>
      </c>
      <c r="AH1121">
        <v>237.855605795939</v>
      </c>
      <c r="AI1121">
        <v>81.147506597163201</v>
      </c>
      <c r="AJ1121">
        <v>94.1111206949234</v>
      </c>
      <c r="AK1121">
        <v>241.344152946614</v>
      </c>
      <c r="AL1121">
        <v>81.222236566991498</v>
      </c>
      <c r="AM1121">
        <v>92.063117153910994</v>
      </c>
      <c r="AN1121">
        <v>1.00000005213341</v>
      </c>
    </row>
    <row r="1122" spans="1:40" x14ac:dyDescent="0.3">
      <c r="A1122" t="str">
        <f>"20200111150744863"</f>
        <v>20200111150744863</v>
      </c>
      <c r="B1122" t="str">
        <f>"1578726464852232"</f>
        <v>1578726464852232</v>
      </c>
      <c r="C1122" t="s">
        <v>40</v>
      </c>
      <c r="D1122">
        <v>5.1878260000000003</v>
      </c>
      <c r="E1122">
        <v>0.52047089999999996</v>
      </c>
      <c r="F1122" t="s">
        <v>61</v>
      </c>
      <c r="G1122">
        <v>-511.84120000000001</v>
      </c>
      <c r="H1122">
        <v>63.343809999999998</v>
      </c>
      <c r="I1122">
        <v>299.22669999999999</v>
      </c>
      <c r="J1122">
        <v>-269.14120000000003</v>
      </c>
      <c r="K1122">
        <v>1.1112899999999999</v>
      </c>
      <c r="L1122">
        <v>283.39080000000001</v>
      </c>
      <c r="M1122">
        <v>-0.99920489999999995</v>
      </c>
      <c r="N1122">
        <v>0</v>
      </c>
      <c r="O1122">
        <v>3.7518240000000001E-2</v>
      </c>
      <c r="P1122">
        <v>-0.99024849999999998</v>
      </c>
      <c r="Q1122">
        <v>0.13930239999999999</v>
      </c>
      <c r="R1122">
        <v>1.585394E-3</v>
      </c>
      <c r="S1122">
        <v>-2.923645</v>
      </c>
      <c r="T1122">
        <v>0.74917900000000004</v>
      </c>
      <c r="U1122">
        <v>0.19070429999999999</v>
      </c>
      <c r="V1122">
        <v>-3.5871399999999998E-2</v>
      </c>
      <c r="W1122">
        <v>0.15256789999999901</v>
      </c>
      <c r="X1122">
        <v>0.98764180000000001</v>
      </c>
      <c r="Y1122">
        <v>2.7910649999999999E-2</v>
      </c>
      <c r="Z1122">
        <v>5.9322810000000002E-3</v>
      </c>
      <c r="AA1122">
        <v>0.99959279999999995</v>
      </c>
      <c r="AB1122">
        <v>28</v>
      </c>
      <c r="AC1122">
        <v>-242.7</v>
      </c>
      <c r="AD1122">
        <v>62.232519999999901</v>
      </c>
      <c r="AE1122">
        <v>15.835899999999899</v>
      </c>
      <c r="AF1122">
        <v>6.3054199548691896</v>
      </c>
      <c r="AG1122">
        <v>62.232519999999901</v>
      </c>
      <c r="AH1122">
        <v>228.183819272867</v>
      </c>
      <c r="AI1122">
        <v>74.750298181864395</v>
      </c>
      <c r="AJ1122">
        <v>88.417144387933604</v>
      </c>
      <c r="AK1122">
        <v>236.601986983014</v>
      </c>
      <c r="AL1122">
        <v>81.224230639379797</v>
      </c>
      <c r="AM1122">
        <v>92.080082871837206</v>
      </c>
      <c r="AN1122">
        <v>1.0000000232777999</v>
      </c>
    </row>
    <row r="1123" spans="1:40" x14ac:dyDescent="0.3">
      <c r="A1123" t="str">
        <f>"20200111150744877"</f>
        <v>20200111150744877</v>
      </c>
      <c r="B1123" t="str">
        <f>"1578726464872153"</f>
        <v>1578726464872153</v>
      </c>
      <c r="C1123" t="s">
        <v>40</v>
      </c>
      <c r="D1123">
        <v>9.1462970000000006</v>
      </c>
      <c r="E1123">
        <v>0.52226289999999997</v>
      </c>
      <c r="F1123" t="s">
        <v>61</v>
      </c>
      <c r="G1123">
        <v>-510.97300000000001</v>
      </c>
      <c r="H1123">
        <v>58.302689999999998</v>
      </c>
      <c r="I1123">
        <v>296.60669999999999</v>
      </c>
      <c r="J1123">
        <v>-269.31270000000001</v>
      </c>
      <c r="K1123">
        <v>1.1112869999999999</v>
      </c>
      <c r="L1123">
        <v>283.3965</v>
      </c>
      <c r="M1123">
        <v>-0.9992297</v>
      </c>
      <c r="N1123">
        <v>0</v>
      </c>
      <c r="O1123">
        <v>3.6855150000000003E-2</v>
      </c>
      <c r="P1123">
        <v>-0.99025790000000002</v>
      </c>
      <c r="Q1123">
        <v>0.13924449999999999</v>
      </c>
      <c r="R1123">
        <v>6.524492E-4</v>
      </c>
      <c r="S1123">
        <v>-2.9317630000000001</v>
      </c>
      <c r="T1123">
        <v>0.69334050000000003</v>
      </c>
      <c r="U1123">
        <v>0.16021729999999901</v>
      </c>
      <c r="V1123">
        <v>-3.6146299999999999E-2</v>
      </c>
      <c r="W1123">
        <v>0.15250859999999999</v>
      </c>
      <c r="X1123">
        <v>0.98764090000000004</v>
      </c>
      <c r="Y1123">
        <v>1.8238210000000001E-2</v>
      </c>
      <c r="Z1123">
        <v>6.4626759999999997E-3</v>
      </c>
      <c r="AA1123">
        <v>0.99981279999999995</v>
      </c>
      <c r="AB1123">
        <v>28</v>
      </c>
      <c r="AC1123">
        <v>-241.66030000000001</v>
      </c>
      <c r="AD1123">
        <v>57.191403000000001</v>
      </c>
      <c r="AE1123">
        <v>13.210199999999899</v>
      </c>
      <c r="AF1123">
        <v>4.0668876596756798</v>
      </c>
      <c r="AG1123">
        <v>57.191403000000001</v>
      </c>
      <c r="AH1123">
        <v>229.18502259388299</v>
      </c>
      <c r="AI1123">
        <v>75.990548822349993</v>
      </c>
      <c r="AJ1123">
        <v>88.983393229863594</v>
      </c>
      <c r="AK1123">
        <v>236.248112656384</v>
      </c>
      <c r="AL1123">
        <v>81.227668196050899</v>
      </c>
      <c r="AM1123">
        <v>92.096011303672498</v>
      </c>
      <c r="AN1123">
        <v>0.99999998771523002</v>
      </c>
    </row>
    <row r="1124" spans="1:40" x14ac:dyDescent="0.3">
      <c r="A1124" t="str">
        <f>"20200111150744895"</f>
        <v>20200111150744895</v>
      </c>
      <c r="B1124" t="str">
        <f>"1578726464891671"</f>
        <v>1578726464891671</v>
      </c>
      <c r="C1124" t="s">
        <v>40</v>
      </c>
      <c r="D1124">
        <v>8.2999170000000007</v>
      </c>
      <c r="E1124">
        <v>0.52297839999999995</v>
      </c>
      <c r="F1124" t="s">
        <v>61</v>
      </c>
      <c r="G1124">
        <v>-511.84019999999998</v>
      </c>
      <c r="H1124">
        <v>60.447159999999997</v>
      </c>
      <c r="I1124">
        <v>297.56420000000003</v>
      </c>
      <c r="J1124">
        <v>-269.54070000000002</v>
      </c>
      <c r="K1124">
        <v>1.111286</v>
      </c>
      <c r="L1124">
        <v>283.404</v>
      </c>
      <c r="M1124">
        <v>-0.99926170000000003</v>
      </c>
      <c r="N1124">
        <v>0</v>
      </c>
      <c r="O1124">
        <v>3.5976559999999998E-2</v>
      </c>
      <c r="P1124">
        <v>-0.99028799999999995</v>
      </c>
      <c r="Q1124">
        <v>0.13902799999999901</v>
      </c>
      <c r="R1124">
        <v>-9.2551950000000003E-4</v>
      </c>
      <c r="S1124">
        <v>-2.9286189999999999</v>
      </c>
      <c r="T1124">
        <v>0.71650559999999996</v>
      </c>
      <c r="U1124">
        <v>0.1710815</v>
      </c>
      <c r="V1124">
        <v>-3.6852549999999998E-2</v>
      </c>
      <c r="W1124">
        <v>0.15228989999999901</v>
      </c>
      <c r="X1124">
        <v>0.98764850000000004</v>
      </c>
      <c r="Y1124">
        <v>2.2749700000000001E-2</v>
      </c>
      <c r="Z1124">
        <v>5.9237830000000002E-3</v>
      </c>
      <c r="AA1124">
        <v>0.99972360000000005</v>
      </c>
      <c r="AB1124">
        <v>28</v>
      </c>
      <c r="AC1124">
        <v>-242.29949999999999</v>
      </c>
      <c r="AD1124">
        <v>59.335873999999997</v>
      </c>
      <c r="AE1124">
        <v>14.1602</v>
      </c>
      <c r="AF1124">
        <v>5.1267359802346197</v>
      </c>
      <c r="AG1124">
        <v>59.335873999999997</v>
      </c>
      <c r="AH1124">
        <v>228.967774772251</v>
      </c>
      <c r="AI1124">
        <v>75.475161113110303</v>
      </c>
      <c r="AJ1124">
        <v>88.717324910115295</v>
      </c>
      <c r="AK1124">
        <v>236.58670979011299</v>
      </c>
      <c r="AL1124">
        <v>81.240346477602003</v>
      </c>
      <c r="AM1124">
        <v>92.136910507896602</v>
      </c>
      <c r="AN1124">
        <v>0.99999994181787899</v>
      </c>
    </row>
    <row r="1125" spans="1:40" x14ac:dyDescent="0.3">
      <c r="A1125" t="str">
        <f>"20200111150744908"</f>
        <v>20200111150744908</v>
      </c>
      <c r="B1125" t="str">
        <f>"1578726464902406"</f>
        <v>1578726464902406</v>
      </c>
      <c r="C1125" t="s">
        <v>40</v>
      </c>
      <c r="D1125">
        <v>5.6138219999999999</v>
      </c>
      <c r="E1125">
        <v>0.51514179999999998</v>
      </c>
      <c r="F1125" t="s">
        <v>61</v>
      </c>
      <c r="G1125">
        <v>-511.84010000000001</v>
      </c>
      <c r="H1125">
        <v>60.125929999999997</v>
      </c>
      <c r="I1125">
        <v>297.65809999999999</v>
      </c>
      <c r="J1125">
        <v>-269.70249999999999</v>
      </c>
      <c r="K1125">
        <v>1.1112820000000001</v>
      </c>
      <c r="L1125">
        <v>283.40910000000002</v>
      </c>
      <c r="M1125">
        <v>-0.9992839</v>
      </c>
      <c r="N1125">
        <v>0</v>
      </c>
      <c r="O1125">
        <v>3.5354490000000002E-2</v>
      </c>
      <c r="P1125">
        <v>-0.9902917</v>
      </c>
      <c r="Q1125">
        <v>0.13899230000000001</v>
      </c>
      <c r="R1125">
        <v>-1.971183E-3</v>
      </c>
      <c r="S1125">
        <v>-2.9294129999999998</v>
      </c>
      <c r="T1125">
        <v>0.71349069999999903</v>
      </c>
      <c r="U1125">
        <v>0.17233280000000001</v>
      </c>
      <c r="V1125">
        <v>-3.7280849999999997E-2</v>
      </c>
      <c r="W1125">
        <v>0.1522531</v>
      </c>
      <c r="X1125">
        <v>0.98763820000000002</v>
      </c>
      <c r="Y1125">
        <v>2.373171E-2</v>
      </c>
      <c r="Z1125">
        <v>5.6310889999999997E-3</v>
      </c>
      <c r="AA1125">
        <v>0.99970250000000005</v>
      </c>
      <c r="AB1125">
        <v>28</v>
      </c>
      <c r="AC1125">
        <v>-242.13759999999999</v>
      </c>
      <c r="AD1125">
        <v>59.014648000000001</v>
      </c>
      <c r="AE1125">
        <v>14.248999999999899</v>
      </c>
      <c r="AF1125">
        <v>5.3612928267999802</v>
      </c>
      <c r="AG1125">
        <v>59.014648000000001</v>
      </c>
      <c r="AH1125">
        <v>228.937762426251</v>
      </c>
      <c r="AI1125">
        <v>75.549004559023004</v>
      </c>
      <c r="AJ1125">
        <v>88.658485547999405</v>
      </c>
      <c r="AK1125">
        <v>236.48249661249201</v>
      </c>
      <c r="AL1125">
        <v>81.242480717088497</v>
      </c>
      <c r="AM1125">
        <v>92.161744758819196</v>
      </c>
      <c r="AN1125">
        <v>1.0000000411677801</v>
      </c>
    </row>
    <row r="1126" spans="1:40" x14ac:dyDescent="0.3">
      <c r="A1126" t="str">
        <f>"20200111150744929"</f>
        <v>20200111150744929</v>
      </c>
      <c r="B1126" t="str">
        <f>"1578726464921927"</f>
        <v>1578726464921927</v>
      </c>
      <c r="C1126" t="s">
        <v>40</v>
      </c>
      <c r="D1126">
        <v>5.5995269999999904</v>
      </c>
      <c r="E1126">
        <v>0.51455229999999996</v>
      </c>
      <c r="F1126" t="s">
        <v>61</v>
      </c>
      <c r="G1126">
        <v>-551.23609999999996</v>
      </c>
      <c r="H1126">
        <v>67.040139999999994</v>
      </c>
      <c r="I1126">
        <v>293.69319999999999</v>
      </c>
      <c r="J1126">
        <v>-269.96230000000003</v>
      </c>
      <c r="K1126">
        <v>1.111275</v>
      </c>
      <c r="L1126">
        <v>283.41719999999998</v>
      </c>
      <c r="M1126">
        <v>-0.99931879999999995</v>
      </c>
      <c r="N1126">
        <v>0</v>
      </c>
      <c r="O1126">
        <v>3.4357909999999998E-2</v>
      </c>
      <c r="P1126">
        <v>-0.9903132</v>
      </c>
      <c r="Q1126">
        <v>0.13880020000000001</v>
      </c>
      <c r="R1126">
        <v>-3.7906239999999998E-3</v>
      </c>
      <c r="S1126">
        <v>-2.9332280000000002</v>
      </c>
      <c r="T1126">
        <v>0.68689659999999997</v>
      </c>
      <c r="U1126">
        <v>0.1071472</v>
      </c>
      <c r="V1126">
        <v>-3.8110860000000003E-2</v>
      </c>
      <c r="W1126">
        <v>0.1520581</v>
      </c>
      <c r="X1126">
        <v>0.98763650000000003</v>
      </c>
      <c r="Y1126">
        <v>2.9917400000000001E-3</v>
      </c>
      <c r="Z1126">
        <v>7.5887230000000003E-3</v>
      </c>
      <c r="AA1126">
        <v>0.99996669999999999</v>
      </c>
      <c r="AB1126">
        <v>28</v>
      </c>
      <c r="AC1126">
        <v>-281.27379999999903</v>
      </c>
      <c r="AD1126">
        <v>65.928865000000002</v>
      </c>
      <c r="AE1126">
        <v>10.276</v>
      </c>
      <c r="AF1126">
        <v>0.57360295783303294</v>
      </c>
      <c r="AG1126">
        <v>65.928865000000002</v>
      </c>
      <c r="AH1126">
        <v>266.82105445737699</v>
      </c>
      <c r="AI1126">
        <v>76.120807267688804</v>
      </c>
      <c r="AJ1126">
        <v>89.876827643761104</v>
      </c>
      <c r="AK1126">
        <v>274.846173999727</v>
      </c>
      <c r="AL1126">
        <v>81.253784473515594</v>
      </c>
      <c r="AM1126">
        <v>92.209829819333905</v>
      </c>
      <c r="AN1126">
        <v>0.99999997977889898</v>
      </c>
    </row>
    <row r="1127" spans="1:40" x14ac:dyDescent="0.3">
      <c r="A1127" t="str">
        <f>"20200111150744951"</f>
        <v>20200111150744951</v>
      </c>
      <c r="B1127" t="str">
        <f>"1578726464942422"</f>
        <v>1578726464942422</v>
      </c>
      <c r="C1127" t="s">
        <v>40</v>
      </c>
      <c r="D1127">
        <v>5.3063719999999996</v>
      </c>
      <c r="E1127">
        <v>0.51160159999999999</v>
      </c>
      <c r="F1127" t="s">
        <v>49</v>
      </c>
      <c r="G1127">
        <v>0</v>
      </c>
      <c r="H1127">
        <v>0</v>
      </c>
      <c r="I1127">
        <v>0</v>
      </c>
      <c r="J1127">
        <v>-270.23849999999999</v>
      </c>
      <c r="K1127">
        <v>1.111267</v>
      </c>
      <c r="L1127">
        <v>283.4255</v>
      </c>
      <c r="M1127">
        <v>-0.99935450000000003</v>
      </c>
      <c r="N1127">
        <v>0</v>
      </c>
      <c r="O1127">
        <v>3.3302020000000002E-2</v>
      </c>
      <c r="P1127">
        <v>-0.9903885</v>
      </c>
      <c r="Q1127">
        <v>0.13821310000000001</v>
      </c>
      <c r="R1127">
        <v>-5.2989980000000001E-3</v>
      </c>
      <c r="S1127">
        <v>-2.93161</v>
      </c>
      <c r="T1127">
        <v>0.70017180000000001</v>
      </c>
      <c r="U1127">
        <v>9.6984860000000006E-2</v>
      </c>
      <c r="V1127">
        <v>-3.857261E-2</v>
      </c>
      <c r="W1127">
        <v>0.1514694</v>
      </c>
      <c r="X1127">
        <v>0.98770899999999995</v>
      </c>
      <c r="Y1127">
        <v>6.7540789999999905E-4</v>
      </c>
      <c r="Z1127">
        <v>7.7603689999999996E-3</v>
      </c>
      <c r="AA1127">
        <v>0.99996969999999996</v>
      </c>
      <c r="AB1127">
        <v>28</v>
      </c>
      <c r="AC1127">
        <v>-2.93161</v>
      </c>
      <c r="AD1127">
        <v>0.70017180000000001</v>
      </c>
      <c r="AE1127">
        <v>9.6984860000000006E-2</v>
      </c>
      <c r="AF1127">
        <v>-6.6826502031506997E-4</v>
      </c>
      <c r="AG1127">
        <v>0.70017180000000001</v>
      </c>
      <c r="AH1127">
        <v>2.7750893716161298</v>
      </c>
      <c r="AI1127">
        <v>75.839470532270695</v>
      </c>
      <c r="AJ1127">
        <v>90.013797308624305</v>
      </c>
      <c r="AK1127">
        <v>2.8620555579076701</v>
      </c>
      <c r="AL1127">
        <v>81.287909492979594</v>
      </c>
      <c r="AM1127">
        <v>92.236413018149307</v>
      </c>
      <c r="AN1127">
        <v>0.99999994702978401</v>
      </c>
    </row>
    <row r="1128" spans="1:40" x14ac:dyDescent="0.3">
      <c r="A1128" t="str">
        <f>"20200111150744972"</f>
        <v>20200111150744972</v>
      </c>
      <c r="B1128" t="str">
        <f>"1578726464961945"</f>
        <v>1578726464961945</v>
      </c>
      <c r="C1128" t="s">
        <v>40</v>
      </c>
      <c r="D1128">
        <v>5.1467739999999997</v>
      </c>
      <c r="E1128">
        <v>0.50564160000000002</v>
      </c>
      <c r="F1128" t="s">
        <v>49</v>
      </c>
      <c r="G1128">
        <v>0</v>
      </c>
      <c r="H1128">
        <v>0</v>
      </c>
      <c r="I1128">
        <v>0</v>
      </c>
      <c r="J1128">
        <v>-270.51159999999999</v>
      </c>
      <c r="K1128">
        <v>1.111262</v>
      </c>
      <c r="L1128">
        <v>283.43349999999998</v>
      </c>
      <c r="M1128">
        <v>-0.99938859999999996</v>
      </c>
      <c r="N1128">
        <v>0</v>
      </c>
      <c r="O1128">
        <v>3.2259419999999997E-2</v>
      </c>
      <c r="P1128">
        <v>-0.99048139999999996</v>
      </c>
      <c r="Q1128">
        <v>0.1374901</v>
      </c>
      <c r="R1128">
        <v>-6.5577369999999897E-3</v>
      </c>
      <c r="S1128">
        <v>-2.9380190000000002</v>
      </c>
      <c r="T1128">
        <v>0.65540710000000002</v>
      </c>
      <c r="U1128">
        <v>6.997681E-2</v>
      </c>
      <c r="V1128">
        <v>-3.8799229999999997E-2</v>
      </c>
      <c r="W1128">
        <v>0.15074670000000001</v>
      </c>
      <c r="X1128">
        <v>0.98781070000000004</v>
      </c>
      <c r="Y1128">
        <v>-7.4787859999999899E-3</v>
      </c>
      <c r="Z1128">
        <v>7.9309940000000002E-3</v>
      </c>
      <c r="AA1128">
        <v>0.99994059999999996</v>
      </c>
      <c r="AB1128">
        <v>28</v>
      </c>
      <c r="AC1128">
        <v>-2.9380190000000002</v>
      </c>
      <c r="AD1128">
        <v>0.65540710000000002</v>
      </c>
      <c r="AE1128">
        <v>6.997681E-2</v>
      </c>
      <c r="AF1128">
        <v>-2.3669791156393099E-2</v>
      </c>
      <c r="AG1128">
        <v>0.65540710000000002</v>
      </c>
      <c r="AH1128">
        <v>2.7995119634634098</v>
      </c>
      <c r="AI1128">
        <v>76.823978303386397</v>
      </c>
      <c r="AJ1128">
        <v>90.484422584408904</v>
      </c>
      <c r="AK1128">
        <v>2.8753062374847298</v>
      </c>
      <c r="AL1128">
        <v>81.329798296216595</v>
      </c>
      <c r="AM1128">
        <v>92.249307465180195</v>
      </c>
      <c r="AN1128">
        <v>0.99999996342198505</v>
      </c>
    </row>
    <row r="1129" spans="1:40" x14ac:dyDescent="0.3">
      <c r="A1129" t="str">
        <f>"20200111150744986"</f>
        <v>20200111150744986</v>
      </c>
      <c r="B1129" t="str">
        <f>"1578726464982442"</f>
        <v>1578726464982442</v>
      </c>
      <c r="C1129" t="s">
        <v>40</v>
      </c>
      <c r="D1129">
        <v>6.0204550000000001</v>
      </c>
      <c r="E1129">
        <v>0.50780020000000003</v>
      </c>
      <c r="F1129" t="s">
        <v>49</v>
      </c>
      <c r="G1129">
        <v>0</v>
      </c>
      <c r="H1129">
        <v>0</v>
      </c>
      <c r="I1129">
        <v>0</v>
      </c>
      <c r="J1129">
        <v>-270.67419999999998</v>
      </c>
      <c r="K1129">
        <v>1.1112599999999999</v>
      </c>
      <c r="L1129">
        <v>283.43810000000002</v>
      </c>
      <c r="M1129">
        <v>-0.99940839999999997</v>
      </c>
      <c r="N1129">
        <v>0</v>
      </c>
      <c r="O1129">
        <v>3.1639649999999998E-2</v>
      </c>
      <c r="P1129">
        <v>-0.99051549999999999</v>
      </c>
      <c r="Q1129">
        <v>0.13721059999999999</v>
      </c>
      <c r="R1129">
        <v>-7.2256000000000004E-3</v>
      </c>
      <c r="S1129">
        <v>-2.9356689999999999</v>
      </c>
      <c r="T1129">
        <v>0.67194189999999998</v>
      </c>
      <c r="U1129">
        <v>1.8280029999999999E-2</v>
      </c>
      <c r="V1129">
        <v>-3.885226E-2</v>
      </c>
      <c r="W1129">
        <v>0.1504672</v>
      </c>
      <c r="X1129">
        <v>0.98785129999999999</v>
      </c>
      <c r="Y1129">
        <v>-2.3980189999999998E-2</v>
      </c>
      <c r="Z1129">
        <v>9.8583639999999997E-3</v>
      </c>
      <c r="AA1129">
        <v>0.99966379999999999</v>
      </c>
      <c r="AB1129">
        <v>28</v>
      </c>
      <c r="AC1129">
        <v>-2.9356689999999999</v>
      </c>
      <c r="AD1129">
        <v>0.67194189999999998</v>
      </c>
      <c r="AE1129">
        <v>1.8280029999999999E-2</v>
      </c>
      <c r="AF1129">
        <v>-7.0906454273695199E-2</v>
      </c>
      <c r="AG1129">
        <v>0.67194189999999998</v>
      </c>
      <c r="AH1129">
        <v>2.7886836252331002</v>
      </c>
      <c r="AI1129">
        <v>76.456860542447799</v>
      </c>
      <c r="AJ1129">
        <v>91.456517105303405</v>
      </c>
      <c r="AK1129">
        <v>2.86937101189032</v>
      </c>
      <c r="AL1129">
        <v>81.345997849266197</v>
      </c>
      <c r="AM1129">
        <v>92.252286132915899</v>
      </c>
      <c r="AN1129">
        <v>1.00000003364731</v>
      </c>
    </row>
    <row r="1130" spans="1:40" x14ac:dyDescent="0.3">
      <c r="A1130" t="str">
        <f>"20200111150745005"</f>
        <v>20200111150745005</v>
      </c>
      <c r="B1130" t="str">
        <f>"1578726465001959"</f>
        <v>1578726465001959</v>
      </c>
      <c r="C1130" t="s">
        <v>40</v>
      </c>
      <c r="D1130">
        <v>5.1684590000000004</v>
      </c>
      <c r="E1130">
        <v>0.50950909999999905</v>
      </c>
      <c r="F1130" t="s">
        <v>49</v>
      </c>
      <c r="G1130">
        <v>0</v>
      </c>
      <c r="H1130">
        <v>0</v>
      </c>
      <c r="I1130">
        <v>0</v>
      </c>
      <c r="J1130">
        <v>-270.92290000000003</v>
      </c>
      <c r="K1130">
        <v>1.111253</v>
      </c>
      <c r="L1130">
        <v>283.44490000000002</v>
      </c>
      <c r="M1130">
        <v>-0.99943800000000005</v>
      </c>
      <c r="N1130">
        <v>0</v>
      </c>
      <c r="O1130">
        <v>3.0691909999999999E-2</v>
      </c>
      <c r="P1130">
        <v>-0.99056739999999999</v>
      </c>
      <c r="Q1130">
        <v>0.13678779999999999</v>
      </c>
      <c r="R1130">
        <v>-8.0708489999999997E-3</v>
      </c>
      <c r="S1130">
        <v>-2.9334410000000002</v>
      </c>
      <c r="T1130">
        <v>0.68977239999999995</v>
      </c>
      <c r="U1130">
        <v>3.2958979999999999E-2</v>
      </c>
      <c r="V1130">
        <v>-3.8759160000000001E-2</v>
      </c>
      <c r="W1130">
        <v>0.15004439999999999</v>
      </c>
      <c r="X1130">
        <v>0.9879192</v>
      </c>
      <c r="Y1130">
        <v>-1.8131950000000001E-2</v>
      </c>
      <c r="Z1130">
        <v>9.2221539999999998E-3</v>
      </c>
      <c r="AA1130">
        <v>0.99979309999999999</v>
      </c>
      <c r="AB1130">
        <v>28</v>
      </c>
      <c r="AC1130">
        <v>-2.9334410000000002</v>
      </c>
      <c r="AD1130">
        <v>0.68977239999999995</v>
      </c>
      <c r="AE1130">
        <v>3.2958979999999999E-2</v>
      </c>
      <c r="AF1130">
        <v>-5.4106401010675001E-2</v>
      </c>
      <c r="AG1130">
        <v>0.68977239999999995</v>
      </c>
      <c r="AH1130">
        <v>2.77941247810474</v>
      </c>
      <c r="AI1130">
        <v>76.064910892873797</v>
      </c>
      <c r="AJ1130">
        <v>91.115227386083703</v>
      </c>
      <c r="AK1130">
        <v>2.8642358823735901</v>
      </c>
      <c r="AL1130">
        <v>81.370500128454793</v>
      </c>
      <c r="AM1130">
        <v>92.246740343239196</v>
      </c>
      <c r="AN1130">
        <v>0.99999997009195196</v>
      </c>
    </row>
    <row r="1131" spans="1:40" x14ac:dyDescent="0.3">
      <c r="A1131" t="str">
        <f>"20200111150745019"</f>
        <v>20200111150745019</v>
      </c>
      <c r="B1131" t="str">
        <f>"1578726465011719"</f>
        <v>1578726465011719</v>
      </c>
      <c r="C1131" t="s">
        <v>40</v>
      </c>
      <c r="D1131">
        <v>4.7109629999999996</v>
      </c>
      <c r="E1131">
        <v>0.50950909999999905</v>
      </c>
      <c r="F1131" t="s">
        <v>49</v>
      </c>
      <c r="G1131">
        <v>0</v>
      </c>
      <c r="H1131">
        <v>0</v>
      </c>
      <c r="I1131">
        <v>0</v>
      </c>
      <c r="J1131">
        <v>-271.08999999999997</v>
      </c>
      <c r="K1131">
        <v>1.1112519999999999</v>
      </c>
      <c r="L1131">
        <v>283.44929999999999</v>
      </c>
      <c r="M1131">
        <v>-0.99945729999999999</v>
      </c>
      <c r="N1131">
        <v>0</v>
      </c>
      <c r="O1131">
        <v>3.0055680000000001E-2</v>
      </c>
      <c r="P1131">
        <v>-0.99060340000000002</v>
      </c>
      <c r="Q1131">
        <v>0.13650279999999901</v>
      </c>
      <c r="R1131">
        <v>-8.4804040000000004E-3</v>
      </c>
      <c r="S1131">
        <v>-2.9352420000000001</v>
      </c>
      <c r="T1131">
        <v>0.67854190000000003</v>
      </c>
      <c r="U1131">
        <v>4.4525149999999999E-2</v>
      </c>
      <c r="V1131">
        <v>-3.8538019999999999E-2</v>
      </c>
      <c r="W1131">
        <v>0.14975910000000001</v>
      </c>
      <c r="X1131">
        <v>0.98797120000000005</v>
      </c>
      <c r="Y1131">
        <v>-1.3739919999999999E-2</v>
      </c>
      <c r="Z1131">
        <v>8.4240210000000003E-3</v>
      </c>
      <c r="AA1131">
        <v>0.99987009999999998</v>
      </c>
      <c r="AB1131">
        <v>28</v>
      </c>
      <c r="AC1131">
        <v>-2.9352420000000001</v>
      </c>
      <c r="AD1131">
        <v>0.67854190000000003</v>
      </c>
      <c r="AE1131">
        <v>4.4525149999999999E-2</v>
      </c>
      <c r="AF1131">
        <v>-4.1506110400445002E-2</v>
      </c>
      <c r="AG1131">
        <v>0.67854190000000003</v>
      </c>
      <c r="AH1131">
        <v>2.7863842497000499</v>
      </c>
      <c r="AI1131">
        <v>76.315152528769204</v>
      </c>
      <c r="AJ1131">
        <v>90.853417498974594</v>
      </c>
      <c r="AK1131">
        <v>2.8681141982551299</v>
      </c>
      <c r="AL1131">
        <v>81.3870339421089</v>
      </c>
      <c r="AM1131">
        <v>92.233817153328502</v>
      </c>
      <c r="AN1131">
        <v>1.00000002952388</v>
      </c>
    </row>
    <row r="1132" spans="1:40" x14ac:dyDescent="0.3">
      <c r="A1132" t="str">
        <f>"20200111150745032"</f>
        <v>20200111150745032</v>
      </c>
      <c r="B1132" t="str">
        <f>"1578726465022455"</f>
        <v>1578726465022455</v>
      </c>
      <c r="C1132" t="s">
        <v>40</v>
      </c>
      <c r="D1132">
        <v>5.2229089999999996</v>
      </c>
      <c r="E1132">
        <v>0.50651229999999903</v>
      </c>
      <c r="F1132" t="s">
        <v>49</v>
      </c>
      <c r="G1132">
        <v>0</v>
      </c>
      <c r="H1132">
        <v>0</v>
      </c>
      <c r="I1132">
        <v>0</v>
      </c>
      <c r="J1132">
        <v>-271.2534</v>
      </c>
      <c r="K1132">
        <v>1.111248</v>
      </c>
      <c r="L1132">
        <v>283.45359999999999</v>
      </c>
      <c r="M1132">
        <v>-0.99947600000000003</v>
      </c>
      <c r="N1132">
        <v>0</v>
      </c>
      <c r="O1132">
        <v>2.9433230000000001E-2</v>
      </c>
      <c r="P1132">
        <v>-0.99062939999999999</v>
      </c>
      <c r="Q1132">
        <v>0.136273799999999</v>
      </c>
      <c r="R1132">
        <v>-9.12052E-3</v>
      </c>
      <c r="S1132">
        <v>-2.9354550000000001</v>
      </c>
      <c r="T1132">
        <v>0.67768879999999998</v>
      </c>
      <c r="U1132">
        <v>4.3182369999999998E-2</v>
      </c>
      <c r="V1132">
        <v>-3.8561499999999999E-2</v>
      </c>
      <c r="W1132">
        <v>0.14953050000000001</v>
      </c>
      <c r="X1132">
        <v>0.98800489999999996</v>
      </c>
      <c r="Y1132">
        <v>-1.359866E-2</v>
      </c>
      <c r="Z1132">
        <v>8.2552700000000003E-3</v>
      </c>
      <c r="AA1132">
        <v>0.99987349999999997</v>
      </c>
      <c r="AB1132">
        <v>28</v>
      </c>
      <c r="AC1132">
        <v>-2.9354550000000001</v>
      </c>
      <c r="AD1132">
        <v>0.67768879999999998</v>
      </c>
      <c r="AE1132">
        <v>4.3182369999999998E-2</v>
      </c>
      <c r="AF1132">
        <v>-4.1056359741301202E-2</v>
      </c>
      <c r="AG1132">
        <v>0.67768879999999998</v>
      </c>
      <c r="AH1132">
        <v>2.7869478739646998</v>
      </c>
      <c r="AI1132">
        <v>76.334340667141603</v>
      </c>
      <c r="AJ1132">
        <v>90.844000710845606</v>
      </c>
      <c r="AK1132">
        <v>2.8684536228631998</v>
      </c>
      <c r="AL1132">
        <v>81.400280847018294</v>
      </c>
      <c r="AM1132">
        <v>92.235100605020193</v>
      </c>
      <c r="AN1132">
        <v>1.00000002106825</v>
      </c>
    </row>
    <row r="1133" spans="1:40" x14ac:dyDescent="0.3">
      <c r="A1133" t="str">
        <f>"20200111150745051"</f>
        <v>20200111150745051</v>
      </c>
      <c r="B1133" t="str">
        <f>"1578726465041984"</f>
        <v>1578726465041984</v>
      </c>
      <c r="C1133" t="s">
        <v>40</v>
      </c>
      <c r="D1133">
        <v>7.2912539999999897</v>
      </c>
      <c r="E1133">
        <v>0.50651229999999903</v>
      </c>
      <c r="F1133" t="s">
        <v>49</v>
      </c>
      <c r="G1133">
        <v>0</v>
      </c>
      <c r="H1133">
        <v>0</v>
      </c>
      <c r="I1133">
        <v>0</v>
      </c>
      <c r="J1133">
        <v>-271.49360000000001</v>
      </c>
      <c r="K1133">
        <v>1.1112420000000001</v>
      </c>
      <c r="L1133">
        <v>283.45960000000002</v>
      </c>
      <c r="M1133">
        <v>-0.99950249999999996</v>
      </c>
      <c r="N1133">
        <v>0</v>
      </c>
      <c r="O1133">
        <v>2.8517480000000001E-2</v>
      </c>
      <c r="P1133">
        <v>-0.99068800000000001</v>
      </c>
      <c r="Q1133">
        <v>0.13579449999999901</v>
      </c>
      <c r="R1133">
        <v>-9.8671650000000007E-3</v>
      </c>
      <c r="S1133">
        <v>-2.9355769999999999</v>
      </c>
      <c r="T1133">
        <v>0.67577430000000005</v>
      </c>
      <c r="U1133">
        <v>1.742554E-2</v>
      </c>
      <c r="V1133">
        <v>-3.8401299999999999E-2</v>
      </c>
      <c r="W1133">
        <v>0.14905089999999999</v>
      </c>
      <c r="X1133">
        <v>0.98808359999999995</v>
      </c>
      <c r="Y1133">
        <v>-2.128377E-2</v>
      </c>
      <c r="Z1133">
        <v>8.8978919999999993E-3</v>
      </c>
      <c r="AA1133">
        <v>0.99973389999999995</v>
      </c>
      <c r="AB1133">
        <v>28</v>
      </c>
      <c r="AC1133">
        <v>-2.9355769999999999</v>
      </c>
      <c r="AD1133">
        <v>0.67577430000000005</v>
      </c>
      <c r="AE1133">
        <v>1.742554E-2</v>
      </c>
      <c r="AF1133">
        <v>-6.2967692107330497E-2</v>
      </c>
      <c r="AG1133">
        <v>0.67577430000000005</v>
      </c>
      <c r="AH1133">
        <v>2.7871844996303801</v>
      </c>
      <c r="AI1133">
        <v>76.374542490608306</v>
      </c>
      <c r="AJ1133">
        <v>91.294198283936396</v>
      </c>
      <c r="AK1133">
        <v>2.8686291621207598</v>
      </c>
      <c r="AL1133">
        <v>81.4280712938031</v>
      </c>
      <c r="AM1133">
        <v>92.225647349193807</v>
      </c>
      <c r="AN1133">
        <v>1.00000001561072</v>
      </c>
    </row>
    <row r="1134" spans="1:40" x14ac:dyDescent="0.3">
      <c r="A1134" t="str">
        <f>"20200111150745073"</f>
        <v>20200111150745073</v>
      </c>
      <c r="B1134" t="str">
        <f>"1578726465062472"</f>
        <v>1578726465062472</v>
      </c>
      <c r="C1134" t="s">
        <v>40</v>
      </c>
      <c r="D1134">
        <v>5.2472560000000001</v>
      </c>
      <c r="E1134">
        <v>0.39960190000000001</v>
      </c>
      <c r="F1134" t="s">
        <v>49</v>
      </c>
      <c r="G1134">
        <v>0</v>
      </c>
      <c r="H1134">
        <v>0</v>
      </c>
      <c r="I1134">
        <v>0</v>
      </c>
      <c r="J1134">
        <v>-271.75619999999998</v>
      </c>
      <c r="K1134">
        <v>1.1112390000000001</v>
      </c>
      <c r="L1134">
        <v>283.46589999999998</v>
      </c>
      <c r="M1134">
        <v>-0.99953060000000005</v>
      </c>
      <c r="N1134">
        <v>0</v>
      </c>
      <c r="O1134">
        <v>2.7515669999999999E-2</v>
      </c>
      <c r="P1134">
        <v>-0.99069770000000001</v>
      </c>
      <c r="Q1134">
        <v>0.1356617</v>
      </c>
      <c r="R1134">
        <v>-1.067659E-2</v>
      </c>
      <c r="S1134">
        <v>-2.935883</v>
      </c>
      <c r="T1134">
        <v>0.67435409999999996</v>
      </c>
      <c r="U1134">
        <v>1.531982E-2</v>
      </c>
      <c r="V1134">
        <v>-3.8217399999999999E-2</v>
      </c>
      <c r="W1134">
        <v>0.1489171</v>
      </c>
      <c r="X1134">
        <v>0.98811090000000001</v>
      </c>
      <c r="Y1134">
        <v>-2.1037509999999999E-2</v>
      </c>
      <c r="Z1134">
        <v>8.6237850000000001E-3</v>
      </c>
      <c r="AA1134">
        <v>0.99974149999999995</v>
      </c>
      <c r="AB1134">
        <v>28</v>
      </c>
      <c r="AC1134">
        <v>-2.935883</v>
      </c>
      <c r="AD1134">
        <v>0.67435409999999996</v>
      </c>
      <c r="AE1134">
        <v>1.531982E-2</v>
      </c>
      <c r="AF1134">
        <v>-6.2194837187971697E-2</v>
      </c>
      <c r="AG1134">
        <v>0.67435409999999996</v>
      </c>
      <c r="AH1134">
        <v>2.78809880123536</v>
      </c>
      <c r="AI1134">
        <v>76.406323442139794</v>
      </c>
      <c r="AJ1134">
        <v>91.277899754041002</v>
      </c>
      <c r="AK1134">
        <v>2.8691665297451299</v>
      </c>
      <c r="AL1134">
        <v>81.435823956825601</v>
      </c>
      <c r="AM1134">
        <v>92.214938451452895</v>
      </c>
      <c r="AN1134">
        <v>1.00000001151699</v>
      </c>
    </row>
    <row r="1135" spans="1:40" x14ac:dyDescent="0.3">
      <c r="A1135" t="str">
        <f>"20200111150745086"</f>
        <v>20200111150745086</v>
      </c>
      <c r="B1135" t="str">
        <f>"1578726465081991"</f>
        <v>1578726465081991</v>
      </c>
      <c r="C1135" t="s">
        <v>40</v>
      </c>
      <c r="D1135">
        <v>5.2966689999999996</v>
      </c>
      <c r="E1135">
        <v>0.41816609999999999</v>
      </c>
      <c r="F1135" t="s">
        <v>56</v>
      </c>
      <c r="G1135">
        <v>-352.55</v>
      </c>
      <c r="H1135">
        <v>19.873529999999999</v>
      </c>
      <c r="I1135">
        <v>260.26870000000002</v>
      </c>
      <c r="J1135">
        <v>-271.91840000000002</v>
      </c>
      <c r="K1135">
        <v>1.1112390000000001</v>
      </c>
      <c r="L1135">
        <v>283.46969999999999</v>
      </c>
      <c r="M1135">
        <v>-0.99954739999999997</v>
      </c>
      <c r="N1135">
        <v>0</v>
      </c>
      <c r="O1135">
        <v>2.6896670000000001E-2</v>
      </c>
      <c r="P1135">
        <v>-0.99074070000000003</v>
      </c>
      <c r="Q1135">
        <v>0.1352978</v>
      </c>
      <c r="R1135">
        <v>-1.128818E-2</v>
      </c>
      <c r="S1135">
        <v>-2.926056</v>
      </c>
      <c r="T1135">
        <v>0.67950459999999901</v>
      </c>
      <c r="U1135">
        <v>-0.84011840000000004</v>
      </c>
      <c r="V1135">
        <v>-3.8215739999999998E-2</v>
      </c>
      <c r="W1135">
        <v>0.14855299999999999</v>
      </c>
      <c r="X1135">
        <v>0.98816570000000004</v>
      </c>
      <c r="Y1135">
        <v>-0.29381410000000002</v>
      </c>
      <c r="Z1135">
        <v>3.9077840000000003E-2</v>
      </c>
      <c r="AA1135">
        <v>0.95506349999999995</v>
      </c>
      <c r="AB1135">
        <v>28</v>
      </c>
      <c r="AC1135">
        <v>-80.631599999999906</v>
      </c>
      <c r="AD1135">
        <v>18.762291000000001</v>
      </c>
      <c r="AE1135">
        <v>-23.200999999999901</v>
      </c>
      <c r="AF1135">
        <v>-24.153712397283201</v>
      </c>
      <c r="AG1135">
        <v>18.762291000000001</v>
      </c>
      <c r="AH1135">
        <v>76.169469077014398</v>
      </c>
      <c r="AI1135">
        <v>76.786283254389303</v>
      </c>
      <c r="AJ1135">
        <v>107.594076784927</v>
      </c>
      <c r="AK1135">
        <v>82.080530003245002</v>
      </c>
      <c r="AL1135">
        <v>81.456919415216007</v>
      </c>
      <c r="AM1135">
        <v>92.214719635222195</v>
      </c>
      <c r="AN1135">
        <v>0.99999994362461697</v>
      </c>
    </row>
    <row r="1136" spans="1:40" x14ac:dyDescent="0.3">
      <c r="A1136" t="str">
        <f>"20200111150745106"</f>
        <v>20200111150745106</v>
      </c>
      <c r="B1136" t="str">
        <f>"1578726465102487"</f>
        <v>1578726465102487</v>
      </c>
      <c r="C1136" t="s">
        <v>40</v>
      </c>
      <c r="D1136">
        <v>5.3075760000000001</v>
      </c>
      <c r="E1136">
        <v>0.41824329999999998</v>
      </c>
      <c r="F1136" t="s">
        <v>58</v>
      </c>
      <c r="G1136">
        <v>-286.21980000000002</v>
      </c>
      <c r="H1136" s="1">
        <v>6.5288619999999997E-6</v>
      </c>
      <c r="I1136">
        <v>280.334</v>
      </c>
      <c r="J1136">
        <v>-272.16539999999998</v>
      </c>
      <c r="K1136">
        <v>1.1112409999999999</v>
      </c>
      <c r="L1136">
        <v>283.47539999999998</v>
      </c>
      <c r="M1136">
        <v>-0.99957240000000003</v>
      </c>
      <c r="N1136">
        <v>0</v>
      </c>
      <c r="O1136">
        <v>2.595445E-2</v>
      </c>
      <c r="P1136">
        <v>-0.99080729999999995</v>
      </c>
      <c r="Q1136">
        <v>0.13484109999999999</v>
      </c>
      <c r="R1136">
        <v>-1.0917700000000001E-2</v>
      </c>
      <c r="S1136">
        <v>-3.0527950000000001</v>
      </c>
      <c r="T1136">
        <v>-0.23720350000000001</v>
      </c>
      <c r="U1136">
        <v>-0.66934199999999999</v>
      </c>
      <c r="V1136">
        <v>-3.6912569999999999E-2</v>
      </c>
      <c r="W1136">
        <v>0.14809990000000001</v>
      </c>
      <c r="X1136">
        <v>0.98828329999999998</v>
      </c>
      <c r="Y1136">
        <v>-0.23868819999999999</v>
      </c>
      <c r="Z1136">
        <v>-1.114244E-2</v>
      </c>
      <c r="AA1136">
        <v>0.97103229999999996</v>
      </c>
      <c r="AB1136">
        <v>28</v>
      </c>
      <c r="AC1136">
        <v>-14.054399999999999</v>
      </c>
      <c r="AD1136">
        <v>-1.111234471138</v>
      </c>
      <c r="AE1136">
        <v>-3.1413999999999702</v>
      </c>
      <c r="AF1136">
        <v>-3.4844024799106199</v>
      </c>
      <c r="AG1136">
        <v>-1.111234471138</v>
      </c>
      <c r="AH1136">
        <v>13.8854489225725</v>
      </c>
      <c r="AI1136">
        <v>94.438516626711305</v>
      </c>
      <c r="AJ1136">
        <v>104.08687529416601</v>
      </c>
      <c r="AK1136">
        <v>14.359024844091</v>
      </c>
      <c r="AL1136">
        <v>81.483170992937303</v>
      </c>
      <c r="AM1136">
        <v>92.139014009342503</v>
      </c>
      <c r="AN1136">
        <v>0.99999999963145203</v>
      </c>
    </row>
    <row r="1137" spans="1:40" x14ac:dyDescent="0.3">
      <c r="A1137" t="str">
        <f>"20200111150745122"</f>
        <v>20200111150745122</v>
      </c>
      <c r="B1137" t="str">
        <f>"1578726465112247"</f>
        <v>1578726465112247</v>
      </c>
      <c r="C1137" t="s">
        <v>40</v>
      </c>
      <c r="D1137">
        <v>5.2882579999999999</v>
      </c>
      <c r="E1137">
        <v>0.41830230000000002</v>
      </c>
      <c r="F1137" t="s">
        <v>58</v>
      </c>
      <c r="G1137">
        <v>-286.66789999999997</v>
      </c>
      <c r="H1137" s="1">
        <v>6.3376159999999997E-6</v>
      </c>
      <c r="I1137">
        <v>280.298</v>
      </c>
      <c r="J1137">
        <v>-272.36779999999999</v>
      </c>
      <c r="K1137">
        <v>1.11124</v>
      </c>
      <c r="L1137">
        <v>283.47980000000001</v>
      </c>
      <c r="M1137">
        <v>-0.99959209999999998</v>
      </c>
      <c r="N1137">
        <v>0</v>
      </c>
      <c r="O1137">
        <v>2.51825E-2</v>
      </c>
      <c r="P1137">
        <v>-0.99081439999999998</v>
      </c>
      <c r="Q1137">
        <v>0.13478370000000001</v>
      </c>
      <c r="R1137">
        <v>-1.0961739999999999E-2</v>
      </c>
      <c r="S1137">
        <v>-3.0523069999999999</v>
      </c>
      <c r="T1137">
        <v>-0.23387830000000001</v>
      </c>
      <c r="U1137">
        <v>-0.66873169999999904</v>
      </c>
      <c r="V1137">
        <v>-3.6192340000000003E-2</v>
      </c>
      <c r="W1137">
        <v>0.14804329999999999</v>
      </c>
      <c r="X1137">
        <v>0.98831840000000004</v>
      </c>
      <c r="Y1137">
        <v>-0.2378111</v>
      </c>
      <c r="Z1137">
        <v>-1.089703E-2</v>
      </c>
      <c r="AA1137">
        <v>0.97125030000000001</v>
      </c>
      <c r="AB1137">
        <v>28</v>
      </c>
      <c r="AC1137">
        <v>-14.300099999999899</v>
      </c>
      <c r="AD1137">
        <v>-1.111233662384</v>
      </c>
      <c r="AE1137">
        <v>-3.1818</v>
      </c>
      <c r="AF1137">
        <v>-3.5206787919223799</v>
      </c>
      <c r="AG1137">
        <v>-1.111233662384</v>
      </c>
      <c r="AH1137">
        <v>14.1341078226341</v>
      </c>
      <c r="AI1137">
        <v>94.362620784927699</v>
      </c>
      <c r="AJ1137">
        <v>103.987213777628</v>
      </c>
      <c r="AK1137">
        <v>14.6083203466433</v>
      </c>
      <c r="AL1137">
        <v>81.486449929083093</v>
      </c>
      <c r="AM1137">
        <v>92.097241258552202</v>
      </c>
      <c r="AN1137">
        <v>0.99999998196406203</v>
      </c>
    </row>
    <row r="1138" spans="1:40" x14ac:dyDescent="0.3">
      <c r="A1138" t="str">
        <f>"20200111150745141"</f>
        <v>20200111150745141</v>
      </c>
      <c r="B1138" t="str">
        <f>"1578726465131766"</f>
        <v>1578726465131766</v>
      </c>
      <c r="C1138" t="s">
        <v>40</v>
      </c>
      <c r="D1138">
        <v>5.2011250000000002</v>
      </c>
      <c r="E1138">
        <v>0.41857450000000002</v>
      </c>
      <c r="F1138" t="s">
        <v>58</v>
      </c>
      <c r="G1138">
        <v>-286.92489999999998</v>
      </c>
      <c r="H1138" s="1">
        <v>6.2253850000000004E-6</v>
      </c>
      <c r="I1138">
        <v>280.28969999999998</v>
      </c>
      <c r="J1138">
        <v>-272.596</v>
      </c>
      <c r="K1138">
        <v>1.111243</v>
      </c>
      <c r="L1138">
        <v>283.4846</v>
      </c>
      <c r="M1138">
        <v>-0.99961369999999905</v>
      </c>
      <c r="N1138">
        <v>0</v>
      </c>
      <c r="O1138">
        <v>2.431204E-2</v>
      </c>
      <c r="P1138">
        <v>-0.99084139999999998</v>
      </c>
      <c r="Q1138">
        <v>0.13459589999999999</v>
      </c>
      <c r="R1138">
        <v>-1.083867E-2</v>
      </c>
      <c r="S1138">
        <v>-3.0520939999999999</v>
      </c>
      <c r="T1138">
        <v>-0.23298559999999999</v>
      </c>
      <c r="U1138">
        <v>-0.66885380000000005</v>
      </c>
      <c r="V1138">
        <v>-3.5206000000000001E-2</v>
      </c>
      <c r="W1138">
        <v>0.14785699999999999</v>
      </c>
      <c r="X1138">
        <v>0.98838190000000004</v>
      </c>
      <c r="Y1138">
        <v>-0.23702680000000001</v>
      </c>
      <c r="Z1138">
        <v>-1.0761039999999999E-2</v>
      </c>
      <c r="AA1138">
        <v>0.97144350000000002</v>
      </c>
      <c r="AB1138">
        <v>28</v>
      </c>
      <c r="AC1138">
        <v>-14.3288999999999</v>
      </c>
      <c r="AD1138">
        <v>-1.111236774615</v>
      </c>
      <c r="AE1138">
        <v>-3.1949000000000098</v>
      </c>
      <c r="AF1138">
        <v>-3.5221716121626998</v>
      </c>
      <c r="AG1138">
        <v>-1.111236774615</v>
      </c>
      <c r="AH1138">
        <v>14.165819360725401</v>
      </c>
      <c r="AI1138">
        <v>94.353363939259594</v>
      </c>
      <c r="AJ1138">
        <v>103.96281396007601</v>
      </c>
      <c r="AK1138">
        <v>14.6393639955936</v>
      </c>
      <c r="AL1138">
        <v>81.497242788414297</v>
      </c>
      <c r="AM1138">
        <v>92.040003725898202</v>
      </c>
      <c r="AN1138">
        <v>0.99999996756630405</v>
      </c>
    </row>
    <row r="1139" spans="1:40" x14ac:dyDescent="0.3">
      <c r="A1139" t="str">
        <f>"20200111150745163"</f>
        <v>20200111150745163</v>
      </c>
      <c r="B1139" t="str">
        <f>"1578726465152262"</f>
        <v>1578726465152262</v>
      </c>
      <c r="C1139" t="s">
        <v>40</v>
      </c>
      <c r="D1139">
        <v>5.2950759999999999</v>
      </c>
      <c r="E1139">
        <v>0.41850500000000002</v>
      </c>
      <c r="F1139" t="s">
        <v>58</v>
      </c>
      <c r="G1139">
        <v>-286.38670000000002</v>
      </c>
      <c r="H1139" s="1">
        <v>6.4244629999999997E-6</v>
      </c>
      <c r="I1139">
        <v>280.48129999999998</v>
      </c>
      <c r="J1139">
        <v>-272.8734</v>
      </c>
      <c r="K1139">
        <v>1.11124</v>
      </c>
      <c r="L1139">
        <v>283.49009999999998</v>
      </c>
      <c r="M1139">
        <v>-0.9996389</v>
      </c>
      <c r="N1139">
        <v>0</v>
      </c>
      <c r="O1139">
        <v>2.3254739999999999E-2</v>
      </c>
      <c r="P1139">
        <v>-0.99082309999999996</v>
      </c>
      <c r="Q1139">
        <v>0.13469739999999999</v>
      </c>
      <c r="R1139">
        <v>-1.1232290000000001E-2</v>
      </c>
      <c r="S1139">
        <v>-3.0538639999999999</v>
      </c>
      <c r="T1139">
        <v>-0.2460774</v>
      </c>
      <c r="U1139">
        <v>-0.66506960000000004</v>
      </c>
      <c r="V1139">
        <v>-3.4551779999999997E-2</v>
      </c>
      <c r="W1139">
        <v>0.1479579</v>
      </c>
      <c r="X1139">
        <v>0.98838990000000004</v>
      </c>
      <c r="Y1139">
        <v>-0.23465949999999999</v>
      </c>
      <c r="Z1139">
        <v>-1.118064E-2</v>
      </c>
      <c r="AA1139">
        <v>0.97201340000000003</v>
      </c>
      <c r="AB1139">
        <v>28</v>
      </c>
      <c r="AC1139">
        <v>-13.513299999999999</v>
      </c>
      <c r="AD1139">
        <v>-1.111233575537</v>
      </c>
      <c r="AE1139">
        <v>-3.0087999999999999</v>
      </c>
      <c r="AF1139">
        <v>-3.3009953173405102</v>
      </c>
      <c r="AG1139">
        <v>-1.111233575537</v>
      </c>
      <c r="AH1139">
        <v>13.353635018208401</v>
      </c>
      <c r="AI1139">
        <v>94.618562382363805</v>
      </c>
      <c r="AJ1139">
        <v>103.885058995489</v>
      </c>
      <c r="AK1139">
        <v>13.8003977603555</v>
      </c>
      <c r="AL1139">
        <v>81.491397458298493</v>
      </c>
      <c r="AM1139">
        <v>92.002110046999803</v>
      </c>
      <c r="AN1139">
        <v>0.999999980047794</v>
      </c>
    </row>
    <row r="1140" spans="1:40" x14ac:dyDescent="0.3">
      <c r="A1140" t="str">
        <f>"20200111150745184"</f>
        <v>20200111150745184</v>
      </c>
      <c r="B1140" t="str">
        <f>"1578726465182520"</f>
        <v>1578726465182520</v>
      </c>
      <c r="C1140" t="s">
        <v>40</v>
      </c>
      <c r="D1140">
        <v>5.269914</v>
      </c>
      <c r="E1140">
        <v>0.4181395</v>
      </c>
      <c r="F1140" t="s">
        <v>58</v>
      </c>
      <c r="G1140">
        <v>-286.74709999999999</v>
      </c>
      <c r="H1140" s="1">
        <v>6.2686910000000002E-6</v>
      </c>
      <c r="I1140">
        <v>280.4615</v>
      </c>
      <c r="J1140">
        <v>-273.12860000000001</v>
      </c>
      <c r="K1140">
        <v>1.1112390000000001</v>
      </c>
      <c r="L1140">
        <v>283.495</v>
      </c>
      <c r="M1140">
        <v>-0.99966100000000002</v>
      </c>
      <c r="N1140">
        <v>0</v>
      </c>
      <c r="O1140">
        <v>2.2283109999999998E-2</v>
      </c>
      <c r="P1140">
        <v>-0.99084950000000005</v>
      </c>
      <c r="Q1140">
        <v>0.1344747</v>
      </c>
      <c r="R1140">
        <v>-1.157005E-2</v>
      </c>
      <c r="S1140">
        <v>-3.0534669999999999</v>
      </c>
      <c r="T1140">
        <v>-0.24457190000000001</v>
      </c>
      <c r="U1140">
        <v>-0.66656490000000002</v>
      </c>
      <c r="V1140">
        <v>-3.392655E-2</v>
      </c>
      <c r="W1140">
        <v>0.14773629999999999</v>
      </c>
      <c r="X1140">
        <v>0.98844469999999995</v>
      </c>
      <c r="Y1140">
        <v>-0.23420959999999999</v>
      </c>
      <c r="Z1140">
        <v>-1.101862E-2</v>
      </c>
      <c r="AA1140">
        <v>0.97212370000000004</v>
      </c>
      <c r="AB1140">
        <v>28</v>
      </c>
      <c r="AC1140">
        <v>-13.6184999999999</v>
      </c>
      <c r="AD1140">
        <v>-1.11123273130899</v>
      </c>
      <c r="AE1140">
        <v>-3.0335000000000001</v>
      </c>
      <c r="AF1140">
        <v>-3.3152070842089301</v>
      </c>
      <c r="AG1140">
        <v>-1.11123273130899</v>
      </c>
      <c r="AH1140">
        <v>13.4621206381545</v>
      </c>
      <c r="AI1140">
        <v>94.582492536320103</v>
      </c>
      <c r="AJ1140">
        <v>103.834486868274</v>
      </c>
      <c r="AK1140">
        <v>13.9087788202468</v>
      </c>
      <c r="AL1140">
        <v>81.504235245309204</v>
      </c>
      <c r="AM1140">
        <v>91.965800748988997</v>
      </c>
      <c r="AN1140">
        <v>0.99999997504534099</v>
      </c>
    </row>
    <row r="1141" spans="1:40" x14ac:dyDescent="0.3">
      <c r="A1141" t="str">
        <f>"20200111150745197"</f>
        <v>20200111150745197</v>
      </c>
      <c r="B1141" t="str">
        <f>"1578726465192279"</f>
        <v>1578726465192279</v>
      </c>
      <c r="C1141" t="s">
        <v>40</v>
      </c>
      <c r="D1141">
        <v>5.4243899999999998</v>
      </c>
      <c r="E1141">
        <v>0.4181317</v>
      </c>
      <c r="F1141" t="s">
        <v>58</v>
      </c>
      <c r="G1141">
        <v>-287.02190000000002</v>
      </c>
      <c r="H1141" s="1">
        <v>6.1511329999999997E-6</v>
      </c>
      <c r="I1141">
        <v>280.44080000000002</v>
      </c>
      <c r="J1141">
        <v>-273.29610000000002</v>
      </c>
      <c r="K1141">
        <v>1.1112379999999999</v>
      </c>
      <c r="L1141">
        <v>283.49799999999999</v>
      </c>
      <c r="M1141">
        <v>-0.99967499999999998</v>
      </c>
      <c r="N1141">
        <v>0</v>
      </c>
      <c r="O1141">
        <v>2.1647139999999999E-2</v>
      </c>
      <c r="P1141">
        <v>-0.99084989999999995</v>
      </c>
      <c r="Q1141">
        <v>0.13443529999999901</v>
      </c>
      <c r="R1141">
        <v>-1.197724E-2</v>
      </c>
      <c r="S1141">
        <v>-3.0529790000000001</v>
      </c>
      <c r="T1141">
        <v>-0.2441883</v>
      </c>
      <c r="U1141">
        <v>-0.67114259999999903</v>
      </c>
      <c r="V1141">
        <v>-3.37024E-2</v>
      </c>
      <c r="W1141">
        <v>0.14769660000000001</v>
      </c>
      <c r="X1141">
        <v>0.98845830000000001</v>
      </c>
      <c r="Y1141">
        <v>-0.23501639999999999</v>
      </c>
      <c r="Z1141">
        <v>-1.098297E-2</v>
      </c>
      <c r="AA1141">
        <v>0.97192940000000005</v>
      </c>
      <c r="AB1141">
        <v>28</v>
      </c>
      <c r="AC1141">
        <v>-13.7257999999999</v>
      </c>
      <c r="AD1141">
        <v>-1.1112318488670001</v>
      </c>
      <c r="AE1141">
        <v>-3.0571999999999599</v>
      </c>
      <c r="AF1141">
        <v>-3.3328225321604901</v>
      </c>
      <c r="AG1141">
        <v>-1.1112318488670001</v>
      </c>
      <c r="AH1141">
        <v>13.5716476940076</v>
      </c>
      <c r="AI1141">
        <v>94.546386300006006</v>
      </c>
      <c r="AJ1141">
        <v>103.79723731705</v>
      </c>
      <c r="AK1141">
        <v>14.018992951816299</v>
      </c>
      <c r="AL1141">
        <v>81.506535110139595</v>
      </c>
      <c r="AM1141">
        <v>91.952796102542905</v>
      </c>
      <c r="AN1141">
        <v>0.99999997412810404</v>
      </c>
    </row>
    <row r="1142" spans="1:40" x14ac:dyDescent="0.3">
      <c r="A1142" t="str">
        <f>"20200111150745219"</f>
        <v>20200111150745219</v>
      </c>
      <c r="B1142" t="str">
        <f>"1578726465211799"</f>
        <v>1578726465211799</v>
      </c>
      <c r="C1142" t="s">
        <v>40</v>
      </c>
      <c r="D1142">
        <v>5.320703</v>
      </c>
      <c r="E1142">
        <v>0.41819519999999999</v>
      </c>
      <c r="F1142" t="s">
        <v>58</v>
      </c>
      <c r="G1142">
        <v>-287.24959999999999</v>
      </c>
      <c r="H1142" s="1">
        <v>6.0537449999999999E-6</v>
      </c>
      <c r="I1142">
        <v>280.42349999999999</v>
      </c>
      <c r="J1142">
        <v>-273.55829999999997</v>
      </c>
      <c r="K1142">
        <v>1.1112340000000001</v>
      </c>
      <c r="L1142">
        <v>283.50259999999997</v>
      </c>
      <c r="M1142">
        <v>-0.99969609999999998</v>
      </c>
      <c r="N1142">
        <v>0</v>
      </c>
      <c r="O1142">
        <v>2.065606E-2</v>
      </c>
      <c r="P1142">
        <v>-0.99076600000000004</v>
      </c>
      <c r="Q1142">
        <v>0.1349516</v>
      </c>
      <c r="R1142">
        <v>-1.306103E-2</v>
      </c>
      <c r="S1142">
        <v>-3.0525509999999998</v>
      </c>
      <c r="T1142">
        <v>-0.2431005</v>
      </c>
      <c r="U1142">
        <v>-0.67260739999999997</v>
      </c>
      <c r="V1142">
        <v>-3.3802039999999998E-2</v>
      </c>
      <c r="W1142">
        <v>0.14821019999999999</v>
      </c>
      <c r="X1142">
        <v>0.98837799999999998</v>
      </c>
      <c r="Y1142">
        <v>-0.23453760000000001</v>
      </c>
      <c r="Z1142">
        <v>-1.083836E-2</v>
      </c>
      <c r="AA1142">
        <v>0.97204659999999998</v>
      </c>
      <c r="AB1142">
        <v>28</v>
      </c>
      <c r="AC1142">
        <v>-13.6913</v>
      </c>
      <c r="AD1142">
        <v>-1.1112279462549901</v>
      </c>
      <c r="AE1142">
        <v>-3.07909999999998</v>
      </c>
      <c r="AF1142">
        <v>-3.3403319371588598</v>
      </c>
      <c r="AG1142">
        <v>-1.1112279462549901</v>
      </c>
      <c r="AH1142">
        <v>13.5398713254163</v>
      </c>
      <c r="AI1142">
        <v>94.555804404688303</v>
      </c>
      <c r="AJ1142">
        <v>103.858334023645</v>
      </c>
      <c r="AK1142">
        <v>13.990023606405099</v>
      </c>
      <c r="AL1142">
        <v>81.476780372731298</v>
      </c>
      <c r="AM1142">
        <v>91.958723986173794</v>
      </c>
      <c r="AN1142">
        <v>0.999999956088099</v>
      </c>
    </row>
    <row r="1143" spans="1:40" x14ac:dyDescent="0.3">
      <c r="A1143" t="str">
        <f>"20200111150745243"</f>
        <v>20200111150745243</v>
      </c>
      <c r="B1143" t="str">
        <f>"1578726465232294"</f>
        <v>1578726465232294</v>
      </c>
      <c r="C1143" t="s">
        <v>40</v>
      </c>
      <c r="D1143">
        <v>5.4729739999999998</v>
      </c>
      <c r="E1143">
        <v>0.41811979999999999</v>
      </c>
      <c r="F1143" t="s">
        <v>58</v>
      </c>
      <c r="G1143">
        <v>-287.84390000000002</v>
      </c>
      <c r="H1143" s="1">
        <v>5.8076070000000001E-6</v>
      </c>
      <c r="I1143">
        <v>280.33929999999998</v>
      </c>
      <c r="J1143">
        <v>-273.84530000000001</v>
      </c>
      <c r="K1143">
        <v>1.1112219999999999</v>
      </c>
      <c r="L1143">
        <v>283.50729999999999</v>
      </c>
      <c r="M1143">
        <v>-0.99971759999999998</v>
      </c>
      <c r="N1143">
        <v>0</v>
      </c>
      <c r="O1143">
        <v>1.9587489999999999E-2</v>
      </c>
      <c r="P1143">
        <v>-0.99070860000000005</v>
      </c>
      <c r="Q1143">
        <v>0.1351898</v>
      </c>
      <c r="R1143">
        <v>-1.48433E-2</v>
      </c>
      <c r="S1143">
        <v>-3.0513919999999999</v>
      </c>
      <c r="T1143">
        <v>-0.23735870000000001</v>
      </c>
      <c r="U1143">
        <v>-0.67568969999999995</v>
      </c>
      <c r="V1143">
        <v>-3.4520469999999998E-2</v>
      </c>
      <c r="W1143">
        <v>0.14844599999999999</v>
      </c>
      <c r="X1143">
        <v>0.98831780000000002</v>
      </c>
      <c r="Y1143">
        <v>-0.23455119999999999</v>
      </c>
      <c r="Z1143">
        <v>-1.0504339999999999E-2</v>
      </c>
      <c r="AA1143">
        <v>0.97204699999999999</v>
      </c>
      <c r="AB1143">
        <v>28</v>
      </c>
      <c r="AC1143">
        <v>-13.9986</v>
      </c>
      <c r="AD1143">
        <v>-1.111216192393</v>
      </c>
      <c r="AE1143">
        <v>-3.1680000000000001</v>
      </c>
      <c r="AF1143">
        <v>-3.4211073264668399</v>
      </c>
      <c r="AG1143">
        <v>-1.111216192393</v>
      </c>
      <c r="AH1143">
        <v>13.850829462873</v>
      </c>
      <c r="AI1143">
        <v>94.453591005288601</v>
      </c>
      <c r="AJ1143">
        <v>103.874167914311</v>
      </c>
      <c r="AK1143">
        <v>14.3102848879759</v>
      </c>
      <c r="AL1143">
        <v>81.463119076327999</v>
      </c>
      <c r="AM1143">
        <v>92.000443064677299</v>
      </c>
      <c r="AN1143">
        <v>0.99999997578093003</v>
      </c>
    </row>
    <row r="1144" spans="1:40" x14ac:dyDescent="0.3">
      <c r="A1144" t="str">
        <f>"20200111150745264"</f>
        <v>20200111150745264</v>
      </c>
      <c r="B1144" t="str">
        <f>"1578726465262551"</f>
        <v>1578726465262551</v>
      </c>
      <c r="C1144" t="s">
        <v>40</v>
      </c>
      <c r="D1144">
        <v>5.4343250000000003</v>
      </c>
      <c r="E1144">
        <v>0.41807559999999999</v>
      </c>
      <c r="F1144" t="s">
        <v>58</v>
      </c>
      <c r="G1144">
        <v>-288.26839999999999</v>
      </c>
      <c r="H1144" s="1">
        <v>5.6306359999999899E-6</v>
      </c>
      <c r="I1144">
        <v>280.28449999999998</v>
      </c>
      <c r="J1144">
        <v>-274.11529999999999</v>
      </c>
      <c r="K1144">
        <v>1.111213</v>
      </c>
      <c r="L1144">
        <v>283.51150000000001</v>
      </c>
      <c r="M1144">
        <v>-0.99973639999999997</v>
      </c>
      <c r="N1144">
        <v>0</v>
      </c>
      <c r="O1144">
        <v>1.8601369999999999E-2</v>
      </c>
      <c r="P1144">
        <v>-0.99058440000000003</v>
      </c>
      <c r="Q1144">
        <v>0.13586980000000001</v>
      </c>
      <c r="R1144">
        <v>-1.6801070000000001E-2</v>
      </c>
      <c r="S1144">
        <v>-3.049957</v>
      </c>
      <c r="T1144">
        <v>-0.23498060000000001</v>
      </c>
      <c r="U1144">
        <v>-0.68148799999999998</v>
      </c>
      <c r="V1144">
        <v>-3.5494690000000002E-2</v>
      </c>
      <c r="W1144">
        <v>0.14912220000000001</v>
      </c>
      <c r="X1144">
        <v>0.98818150000000005</v>
      </c>
      <c r="Y1144">
        <v>-0.23546429999999999</v>
      </c>
      <c r="Z1144">
        <v>-1.036173E-2</v>
      </c>
      <c r="AA1144">
        <v>0.97182769999999996</v>
      </c>
      <c r="AB1144">
        <v>28</v>
      </c>
      <c r="AC1144">
        <v>-14.153099999999901</v>
      </c>
      <c r="AD1144">
        <v>-1.1112073693639899</v>
      </c>
      <c r="AE1144">
        <v>-3.2270000000000301</v>
      </c>
      <c r="AF1144">
        <v>-3.46940273528068</v>
      </c>
      <c r="AG1144">
        <v>-1.1112073693639899</v>
      </c>
      <c r="AH1144">
        <v>14.008532674629301</v>
      </c>
      <c r="AI1144">
        <v>94.402935713509095</v>
      </c>
      <c r="AJ1144">
        <v>103.91017951442601</v>
      </c>
      <c r="AK1144">
        <v>14.474478396593801</v>
      </c>
      <c r="AL1144">
        <v>81.423939714162003</v>
      </c>
      <c r="AM1144">
        <v>92.057134232099202</v>
      </c>
      <c r="AN1144">
        <v>0.99999999024664299</v>
      </c>
    </row>
    <row r="1145" spans="1:40" x14ac:dyDescent="0.3">
      <c r="A1145" t="str">
        <f>"20200111150745285"</f>
        <v>20200111150745285</v>
      </c>
      <c r="B1145" t="str">
        <f>"1578726465282071"</f>
        <v>1578726465282071</v>
      </c>
      <c r="C1145" t="s">
        <v>40</v>
      </c>
      <c r="D1145">
        <v>5.1598220000000001</v>
      </c>
      <c r="E1145">
        <v>0.41797089999999998</v>
      </c>
      <c r="F1145" t="s">
        <v>58</v>
      </c>
      <c r="G1145">
        <v>-288.72449999999998</v>
      </c>
      <c r="H1145" s="1">
        <v>5.4432169999999997E-6</v>
      </c>
      <c r="I1145">
        <v>280.21289999999999</v>
      </c>
      <c r="J1145">
        <v>-274.37470000000002</v>
      </c>
      <c r="K1145">
        <v>1.111202</v>
      </c>
      <c r="L1145">
        <v>283.51519999999999</v>
      </c>
      <c r="M1145">
        <v>-0.99975340000000001</v>
      </c>
      <c r="N1145">
        <v>0</v>
      </c>
      <c r="O1145">
        <v>1.767111E-2</v>
      </c>
      <c r="P1145">
        <v>-0.99048400000000003</v>
      </c>
      <c r="Q1145">
        <v>0.13645550000000001</v>
      </c>
      <c r="R1145">
        <v>-1.7935650000000001E-2</v>
      </c>
      <c r="S1145">
        <v>-3.048645</v>
      </c>
      <c r="T1145">
        <v>-0.2318867</v>
      </c>
      <c r="U1145">
        <v>-0.68835449999999998</v>
      </c>
      <c r="V1145">
        <v>-3.5700709999999997E-2</v>
      </c>
      <c r="W1145">
        <v>0.14970539999999999</v>
      </c>
      <c r="X1145">
        <v>0.98808589999999996</v>
      </c>
      <c r="Y1145">
        <v>-0.23675019999999999</v>
      </c>
      <c r="Z1145">
        <v>-1.0205870000000001E-2</v>
      </c>
      <c r="AA1145">
        <v>0.97151699999999996</v>
      </c>
      <c r="AB1145">
        <v>28</v>
      </c>
      <c r="AC1145">
        <v>-14.349799999999901</v>
      </c>
      <c r="AD1145">
        <v>-1.111196556783</v>
      </c>
      <c r="AE1145">
        <v>-3.3022999999999998</v>
      </c>
      <c r="AF1145">
        <v>-3.5352515413755401</v>
      </c>
      <c r="AG1145">
        <v>-1.111196556783</v>
      </c>
      <c r="AH1145">
        <v>14.2082849896975</v>
      </c>
      <c r="AI1145">
        <v>94.340066226858397</v>
      </c>
      <c r="AJ1145">
        <v>103.972389007251</v>
      </c>
      <c r="AK1145">
        <v>14.683600498415499</v>
      </c>
      <c r="AL1145">
        <v>81.390145521375899</v>
      </c>
      <c r="AM1145">
        <v>92.069264015934394</v>
      </c>
      <c r="AN1145">
        <v>0.99999999663123695</v>
      </c>
    </row>
    <row r="1146" spans="1:40" x14ac:dyDescent="0.3">
      <c r="A1146" t="str">
        <f>"20200111150745301"</f>
        <v>20200111150745301</v>
      </c>
      <c r="B1146" t="str">
        <f>"1578726465291831"</f>
        <v>1578726465291831</v>
      </c>
      <c r="C1146" t="s">
        <v>40</v>
      </c>
      <c r="D1146">
        <v>5.370838</v>
      </c>
      <c r="E1146">
        <v>0.39224419999999999</v>
      </c>
      <c r="F1146" t="s">
        <v>58</v>
      </c>
      <c r="G1146">
        <v>-289.23790000000002</v>
      </c>
      <c r="H1146" s="1">
        <v>5.231713E-6</v>
      </c>
      <c r="I1146">
        <v>280.1345</v>
      </c>
      <c r="J1146">
        <v>-274.57459999999998</v>
      </c>
      <c r="K1146">
        <v>1.111192</v>
      </c>
      <c r="L1146">
        <v>283.51799999999997</v>
      </c>
      <c r="M1146">
        <v>-0.99976549999999997</v>
      </c>
      <c r="N1146">
        <v>0</v>
      </c>
      <c r="O1146">
        <v>1.696922E-2</v>
      </c>
      <c r="P1146">
        <v>-0.99037209999999998</v>
      </c>
      <c r="Q1146">
        <v>0.1370904</v>
      </c>
      <c r="R1146">
        <v>-1.921169E-2</v>
      </c>
      <c r="S1146">
        <v>-3.0476380000000001</v>
      </c>
      <c r="T1146">
        <v>-0.22784650000000001</v>
      </c>
      <c r="U1146">
        <v>-0.69320680000000001</v>
      </c>
      <c r="V1146">
        <v>-3.6276240000000001E-2</v>
      </c>
      <c r="W1146">
        <v>0.1503381</v>
      </c>
      <c r="X1146">
        <v>0.98796890000000004</v>
      </c>
      <c r="Y1146">
        <v>-0.23763190000000001</v>
      </c>
      <c r="Z1146">
        <v>-1.0010730000000001E-2</v>
      </c>
      <c r="AA1146">
        <v>0.97130369999999999</v>
      </c>
      <c r="AB1146">
        <v>28</v>
      </c>
      <c r="AC1146">
        <v>-14.6633</v>
      </c>
      <c r="AD1146">
        <v>-1.111186768287</v>
      </c>
      <c r="AE1146">
        <v>-3.3834999999999602</v>
      </c>
      <c r="AF1146">
        <v>-3.61216531282194</v>
      </c>
      <c r="AG1146">
        <v>-1.111186768287</v>
      </c>
      <c r="AH1146">
        <v>14.5245750210866</v>
      </c>
      <c r="AI1146">
        <v>94.245990009957396</v>
      </c>
      <c r="AJ1146">
        <v>103.96576050536299</v>
      </c>
      <c r="AK1146">
        <v>15.0081895585158</v>
      </c>
      <c r="AL1146">
        <v>81.353479799466001</v>
      </c>
      <c r="AM1146">
        <v>92.102841626624794</v>
      </c>
      <c r="AN1146">
        <v>1.0000000286336701</v>
      </c>
    </row>
    <row r="1147" spans="1:40" x14ac:dyDescent="0.3">
      <c r="A1147" t="str">
        <f>"20200111150745320"</f>
        <v>20200111150745320</v>
      </c>
      <c r="B1147" t="str">
        <f>"1578726465312327"</f>
        <v>1578726465312327</v>
      </c>
      <c r="C1147" t="s">
        <v>40</v>
      </c>
      <c r="D1147">
        <v>6.5242110000000002</v>
      </c>
      <c r="E1147">
        <v>0.42665999999999998</v>
      </c>
      <c r="F1147" t="s">
        <v>66</v>
      </c>
      <c r="G1147">
        <v>-337.82119999999998</v>
      </c>
      <c r="H1147">
        <v>6.2688249999999996</v>
      </c>
      <c r="I1147">
        <v>264.11689999999999</v>
      </c>
      <c r="J1147">
        <v>-274.80459999999999</v>
      </c>
      <c r="K1147">
        <v>1.1111819999999999</v>
      </c>
      <c r="L1147">
        <v>283.52100000000002</v>
      </c>
      <c r="M1147">
        <v>-0.99977839999999996</v>
      </c>
      <c r="N1147">
        <v>0</v>
      </c>
      <c r="O1147">
        <v>1.6184670000000002E-2</v>
      </c>
      <c r="P1147">
        <v>-0.99024250000000003</v>
      </c>
      <c r="Q1147">
        <v>0.1378125</v>
      </c>
      <c r="R1147">
        <v>-2.0679840000000001E-2</v>
      </c>
      <c r="S1147">
        <v>-2.977814</v>
      </c>
      <c r="T1147">
        <v>0.2428352</v>
      </c>
      <c r="U1147">
        <v>-0.91345209999999999</v>
      </c>
      <c r="V1147">
        <v>-3.6959470000000001E-2</v>
      </c>
      <c r="W1147">
        <v>0.15105739999999901</v>
      </c>
      <c r="X1147">
        <v>0.98783379999999998</v>
      </c>
      <c r="Y1147">
        <v>-0.30771700000000002</v>
      </c>
      <c r="Z1147">
        <v>1.3534859999999999E-2</v>
      </c>
      <c r="AA1147">
        <v>0.95138160000000005</v>
      </c>
      <c r="AB1147">
        <v>28</v>
      </c>
      <c r="AC1147">
        <v>-63.016599999999897</v>
      </c>
      <c r="AD1147">
        <v>5.1576430000000002</v>
      </c>
      <c r="AE1147">
        <v>-19.4040999999999</v>
      </c>
      <c r="AF1147">
        <v>-20.297361892292201</v>
      </c>
      <c r="AG1147">
        <v>5.1576430000000002</v>
      </c>
      <c r="AH1147">
        <v>62.312998999229102</v>
      </c>
      <c r="AI1147">
        <v>85.500093226536194</v>
      </c>
      <c r="AJ1147">
        <v>108.042107233119</v>
      </c>
      <c r="AK1147">
        <v>65.738071354277295</v>
      </c>
      <c r="AL1147">
        <v>81.311790413710199</v>
      </c>
      <c r="AM1147">
        <v>92.142702902636501</v>
      </c>
      <c r="AN1147">
        <v>0.99999997846994004</v>
      </c>
    </row>
    <row r="1148" spans="1:40" x14ac:dyDescent="0.3">
      <c r="A1148" t="str">
        <f>"20200111150745364"</f>
        <v>20200111150745364</v>
      </c>
      <c r="B1148" t="str">
        <f>"1578726465352342"</f>
        <v>1578726465352342</v>
      </c>
      <c r="C1148" t="s">
        <v>40</v>
      </c>
      <c r="D1148">
        <v>6.0445029999999997</v>
      </c>
      <c r="E1148">
        <v>0.51871319999999999</v>
      </c>
      <c r="F1148" t="s">
        <v>58</v>
      </c>
      <c r="G1148">
        <v>-296.95319999999998</v>
      </c>
      <c r="H1148" s="1">
        <v>4.1304500000000004E-6</v>
      </c>
      <c r="I1148">
        <v>278.8972</v>
      </c>
      <c r="J1148">
        <v>-275.33359999999999</v>
      </c>
      <c r="K1148">
        <v>1.111138</v>
      </c>
      <c r="L1148">
        <v>283.5274</v>
      </c>
      <c r="M1148">
        <v>-0.99980469999999999</v>
      </c>
      <c r="N1148">
        <v>0</v>
      </c>
      <c r="O1148">
        <v>1.4487160000000001E-2</v>
      </c>
      <c r="P1148">
        <v>-0.98978409999999994</v>
      </c>
      <c r="Q1148">
        <v>0.1407117</v>
      </c>
      <c r="R1148">
        <v>-2.2967560000000001E-2</v>
      </c>
      <c r="S1148">
        <v>-3.0375670000000001</v>
      </c>
      <c r="T1148">
        <v>-0.15239179999999999</v>
      </c>
      <c r="U1148">
        <v>-0.63412480000000004</v>
      </c>
      <c r="V1148">
        <v>-3.7544470000000003E-2</v>
      </c>
      <c r="W1148">
        <v>0.15395049999999999</v>
      </c>
      <c r="X1148">
        <v>0.98736500000000005</v>
      </c>
      <c r="Y1148">
        <v>-0.21823580000000001</v>
      </c>
      <c r="Z1148">
        <v>-6.1315969999999999E-3</v>
      </c>
      <c r="AA1148">
        <v>0.97587679999999999</v>
      </c>
      <c r="AB1148">
        <v>27</v>
      </c>
      <c r="AC1148">
        <v>-21.619599999999899</v>
      </c>
      <c r="AD1148">
        <v>-1.1111338695499999</v>
      </c>
      <c r="AE1148">
        <v>-4.6302000000000003</v>
      </c>
      <c r="AF1148">
        <v>-4.9304965474864098</v>
      </c>
      <c r="AG1148">
        <v>-1.1111338695499999</v>
      </c>
      <c r="AH1148">
        <v>21.495956503928401</v>
      </c>
      <c r="AI1148">
        <v>92.884240366805599</v>
      </c>
      <c r="AJ1148">
        <v>102.918398529236</v>
      </c>
      <c r="AK1148">
        <v>22.082132159273399</v>
      </c>
      <c r="AL1148">
        <v>81.144066165277195</v>
      </c>
      <c r="AM1148">
        <v>92.177618003621404</v>
      </c>
      <c r="AN1148">
        <v>0.99999999345141499</v>
      </c>
    </row>
    <row r="1149" spans="1:40" x14ac:dyDescent="0.3">
      <c r="A1149" t="str">
        <f>"20200111150745564"</f>
        <v>20200111150745564</v>
      </c>
      <c r="B1149" t="str">
        <f>"1578726465562183"</f>
        <v>1578726465562183</v>
      </c>
      <c r="C1149" t="s">
        <v>40</v>
      </c>
      <c r="D1149">
        <v>5.5437310000000002</v>
      </c>
      <c r="E1149">
        <v>0.47041840000000001</v>
      </c>
      <c r="F1149" t="s">
        <v>41</v>
      </c>
      <c r="G1149">
        <v>-278.35120000000001</v>
      </c>
      <c r="H1149">
        <v>0.81781239999999999</v>
      </c>
      <c r="I1149">
        <v>283.54070000000002</v>
      </c>
      <c r="J1149">
        <v>-277.77710000000002</v>
      </c>
      <c r="K1149">
        <v>1.1110660000000001</v>
      </c>
      <c r="L1149">
        <v>283.5478</v>
      </c>
      <c r="M1149">
        <v>-0.9998785</v>
      </c>
      <c r="N1149">
        <v>0</v>
      </c>
      <c r="O1149">
        <v>7.9104209999999904E-3</v>
      </c>
      <c r="P1149">
        <v>-0.98786030000000002</v>
      </c>
      <c r="Q1149">
        <v>0.15103949999999999</v>
      </c>
      <c r="R1149">
        <v>-3.6321350000000002E-2</v>
      </c>
      <c r="S1149">
        <v>-3.2174990000000001</v>
      </c>
      <c r="T1149">
        <v>-1.196089</v>
      </c>
      <c r="U1149">
        <v>-2.478027E-2</v>
      </c>
      <c r="V1149">
        <v>-4.4337179999999997E-2</v>
      </c>
      <c r="W1149">
        <v>0.16424079999999999</v>
      </c>
      <c r="X1149">
        <v>0.9854233</v>
      </c>
      <c r="Y1149">
        <v>-1.413797E-2</v>
      </c>
      <c r="Z1149">
        <v>-5.388561E-3</v>
      </c>
      <c r="AA1149">
        <v>0.99988560000000004</v>
      </c>
      <c r="AB1149">
        <v>27</v>
      </c>
      <c r="AC1149">
        <v>-0.57409999999998695</v>
      </c>
      <c r="AD1149">
        <v>-0.293253599999999</v>
      </c>
      <c r="AE1149">
        <v>-7.0999999999799002E-3</v>
      </c>
      <c r="AF1149">
        <v>-9.2328657660982992E-3</v>
      </c>
      <c r="AG1149">
        <v>-0.293253599999999</v>
      </c>
      <c r="AH1149">
        <v>0.45525716994322402</v>
      </c>
      <c r="AI1149">
        <v>122.782219634152</v>
      </c>
      <c r="AJ1149">
        <v>91.161830647414504</v>
      </c>
      <c r="AK1149">
        <v>0.54161057089751097</v>
      </c>
      <c r="AL1149">
        <v>80.546865705500096</v>
      </c>
      <c r="AM1149">
        <v>92.576173279834194</v>
      </c>
      <c r="AN1149">
        <v>0.99999995304893996</v>
      </c>
    </row>
    <row r="1150" spans="1:40" x14ac:dyDescent="0.3">
      <c r="A1150" t="str">
        <f>"20200111150745577"</f>
        <v>20200111150745577</v>
      </c>
      <c r="B1150" t="str">
        <f>"1578726465571943"</f>
        <v>1578726465571943</v>
      </c>
      <c r="C1150" t="s">
        <v>40</v>
      </c>
      <c r="D1150">
        <v>5.558605</v>
      </c>
      <c r="E1150">
        <v>0.48131230000000003</v>
      </c>
      <c r="F1150" t="s">
        <v>41</v>
      </c>
      <c r="G1150">
        <v>-278.63470000000001</v>
      </c>
      <c r="H1150">
        <v>0.89992050000000001</v>
      </c>
      <c r="I1150">
        <v>283.45870000000002</v>
      </c>
      <c r="J1150">
        <v>-277.94529999999997</v>
      </c>
      <c r="K1150">
        <v>1.1110679999999999</v>
      </c>
      <c r="L1150">
        <v>283.54860000000002</v>
      </c>
      <c r="M1150">
        <v>-0.99988189999999999</v>
      </c>
      <c r="N1150">
        <v>0</v>
      </c>
      <c r="O1150">
        <v>7.4689559999999997E-3</v>
      </c>
      <c r="P1150">
        <v>-0.98764960000000002</v>
      </c>
      <c r="Q1150">
        <v>0.1513536</v>
      </c>
      <c r="R1150">
        <v>-4.0502740000000002E-2</v>
      </c>
      <c r="S1150">
        <v>-3.1431580000000001</v>
      </c>
      <c r="T1150">
        <v>-0.77380070000000001</v>
      </c>
      <c r="U1150">
        <v>-0.3268433</v>
      </c>
      <c r="V1150">
        <v>-4.8081249999999999E-2</v>
      </c>
      <c r="W1150">
        <v>0.1645461</v>
      </c>
      <c r="X1150">
        <v>0.98519679999999998</v>
      </c>
      <c r="Y1150">
        <v>-0.1074586</v>
      </c>
      <c r="Z1150">
        <v>-1.4806659999999999E-2</v>
      </c>
      <c r="AA1150">
        <v>0.99409930000000002</v>
      </c>
      <c r="AB1150">
        <v>27</v>
      </c>
      <c r="AC1150">
        <v>-0.68940000000003399</v>
      </c>
      <c r="AD1150">
        <v>-0.21114749999999999</v>
      </c>
      <c r="AE1150">
        <v>-8.9899999999999994E-2</v>
      </c>
      <c r="AF1150">
        <v>-8.7020523007102807E-2</v>
      </c>
      <c r="AG1150">
        <v>-0.21114749999999999</v>
      </c>
      <c r="AH1150">
        <v>0.63054914290851205</v>
      </c>
      <c r="AI1150">
        <v>108.351653500753</v>
      </c>
      <c r="AJ1150">
        <v>97.857613698685697</v>
      </c>
      <c r="AK1150">
        <v>0.670632581823563</v>
      </c>
      <c r="AL1150">
        <v>80.529132293079201</v>
      </c>
      <c r="AM1150">
        <v>92.794029221914897</v>
      </c>
      <c r="AN1150">
        <v>0.999999980178506</v>
      </c>
    </row>
    <row r="1151" spans="1:40" x14ac:dyDescent="0.3">
      <c r="A1151" t="str">
        <f>"20200111150745599"</f>
        <v>20200111150745599</v>
      </c>
      <c r="B1151" t="str">
        <f>"1578726465592439"</f>
        <v>1578726465592439</v>
      </c>
      <c r="C1151" t="s">
        <v>40</v>
      </c>
      <c r="D1151">
        <v>8.1495449999999998</v>
      </c>
      <c r="E1151">
        <v>0.4818963</v>
      </c>
      <c r="F1151" t="s">
        <v>41</v>
      </c>
      <c r="G1151">
        <v>-278.65620000000001</v>
      </c>
      <c r="H1151">
        <v>0.95520079999999996</v>
      </c>
      <c r="I1151">
        <v>283.49059999999997</v>
      </c>
      <c r="J1151">
        <v>-278.2072</v>
      </c>
      <c r="K1151">
        <v>1.1110709999999999</v>
      </c>
      <c r="L1151">
        <v>283.54969999999997</v>
      </c>
      <c r="M1151">
        <v>-0.99988690000000002</v>
      </c>
      <c r="N1151">
        <v>0</v>
      </c>
      <c r="O1151">
        <v>6.7785880000000003E-3</v>
      </c>
      <c r="P1151">
        <v>-0.98714179999999996</v>
      </c>
      <c r="Q1151">
        <v>0.15175150000000001</v>
      </c>
      <c r="R1151">
        <v>-5.0222580000000003E-2</v>
      </c>
      <c r="S1151">
        <v>-3.132263</v>
      </c>
      <c r="T1151">
        <v>-0.68665769999999904</v>
      </c>
      <c r="U1151">
        <v>-0.25579829999999998</v>
      </c>
      <c r="V1151">
        <v>-5.711633E-2</v>
      </c>
      <c r="W1151">
        <v>0.16492419999999999</v>
      </c>
      <c r="X1151">
        <v>0.9846511</v>
      </c>
      <c r="Y1151">
        <v>-8.5961350000000006E-2</v>
      </c>
      <c r="Z1151">
        <v>-1.0763200000000001E-2</v>
      </c>
      <c r="AA1151">
        <v>0.99624029999999997</v>
      </c>
      <c r="AB1151">
        <v>27</v>
      </c>
      <c r="AC1151">
        <v>-0.449000000000012</v>
      </c>
      <c r="AD1151">
        <v>-0.15587019999999899</v>
      </c>
      <c r="AE1151">
        <v>-5.9100000000000798E-2</v>
      </c>
      <c r="AF1151">
        <v>-5.5560747293248398E-2</v>
      </c>
      <c r="AG1151">
        <v>-0.15587019999999899</v>
      </c>
      <c r="AH1151">
        <v>0.40107721640113603</v>
      </c>
      <c r="AI1151">
        <v>111.054349937032</v>
      </c>
      <c r="AJ1151">
        <v>97.886920842719206</v>
      </c>
      <c r="AK1151">
        <v>0.433872618868612</v>
      </c>
      <c r="AL1151">
        <v>80.507169144311405</v>
      </c>
      <c r="AM1151">
        <v>93.319817149218295</v>
      </c>
      <c r="AN1151">
        <v>1.0000000278147501</v>
      </c>
    </row>
    <row r="1152" spans="1:40" x14ac:dyDescent="0.3">
      <c r="A1152" t="str">
        <f>"20200111150745621"</f>
        <v>20200111150745621</v>
      </c>
      <c r="B1152" t="str">
        <f>"1578726465611961"</f>
        <v>1578726465611961</v>
      </c>
      <c r="C1152" t="s">
        <v>40</v>
      </c>
      <c r="D1152">
        <v>5.2468969999999997</v>
      </c>
      <c r="E1152">
        <v>0.50200519999999904</v>
      </c>
      <c r="F1152" t="s">
        <v>55</v>
      </c>
      <c r="G1152">
        <v>-359.75720000000001</v>
      </c>
      <c r="H1152">
        <v>8.0000070000000006E-2</v>
      </c>
      <c r="I1152">
        <v>275.71839999999997</v>
      </c>
      <c r="J1152">
        <v>-278.47480000000002</v>
      </c>
      <c r="K1152">
        <v>1.1110770000000001</v>
      </c>
      <c r="L1152">
        <v>283.55079999999998</v>
      </c>
      <c r="M1152">
        <v>-0.99989130000000004</v>
      </c>
      <c r="N1152">
        <v>0</v>
      </c>
      <c r="O1152">
        <v>6.0704620000000004E-3</v>
      </c>
      <c r="P1152">
        <v>-0.98652700000000004</v>
      </c>
      <c r="Q1152">
        <v>0.15298349999999999</v>
      </c>
      <c r="R1152">
        <v>-5.797157E-2</v>
      </c>
      <c r="S1152">
        <v>-3.0301209999999998</v>
      </c>
      <c r="T1152">
        <v>-3.8311119999999997E-2</v>
      </c>
      <c r="U1152">
        <v>-0.290985099999999</v>
      </c>
      <c r="V1152">
        <v>-6.4164520000000003E-2</v>
      </c>
      <c r="W1152">
        <v>0.16613699999999901</v>
      </c>
      <c r="X1152">
        <v>0.98401289999999997</v>
      </c>
      <c r="Y1152">
        <v>-0.10162400000000001</v>
      </c>
      <c r="Z1152">
        <v>-7.1752280000000001E-4</v>
      </c>
      <c r="AA1152">
        <v>0.9948226</v>
      </c>
      <c r="AB1152">
        <v>27</v>
      </c>
      <c r="AC1152">
        <v>-81.282399999999996</v>
      </c>
      <c r="AD1152">
        <v>-1.03107693</v>
      </c>
      <c r="AE1152">
        <v>-7.8323999999999998</v>
      </c>
      <c r="AF1152">
        <v>-8.3243947519077999</v>
      </c>
      <c r="AG1152">
        <v>-1.03107693</v>
      </c>
      <c r="AH1152">
        <v>81.220402366896906</v>
      </c>
      <c r="AI1152">
        <v>90.723529687196802</v>
      </c>
      <c r="AJ1152">
        <v>95.851892767379795</v>
      </c>
      <c r="AK1152">
        <v>81.6523877682815</v>
      </c>
      <c r="AL1152">
        <v>80.436708409810905</v>
      </c>
      <c r="AM1152">
        <v>93.7308036107829</v>
      </c>
      <c r="AN1152">
        <v>0.99999998788111999</v>
      </c>
    </row>
    <row r="1153" spans="1:40" x14ac:dyDescent="0.3">
      <c r="A1153" t="str">
        <f>"20200111150745634"</f>
        <v>20200111150745634</v>
      </c>
      <c r="B1153" t="str">
        <f>"1578726465632455"</f>
        <v>1578726465632455</v>
      </c>
      <c r="C1153" t="s">
        <v>40</v>
      </c>
      <c r="D1153">
        <v>4.9733460000000003</v>
      </c>
      <c r="E1153">
        <v>0.50243320000000002</v>
      </c>
      <c r="F1153" t="s">
        <v>58</v>
      </c>
      <c r="G1153">
        <v>-296.70330000000001</v>
      </c>
      <c r="H1153" s="1">
        <v>3.5683249999999998E-6</v>
      </c>
      <c r="I1153">
        <v>282.63150000000002</v>
      </c>
      <c r="J1153">
        <v>-278.63709999999998</v>
      </c>
      <c r="K1153">
        <v>1.111086</v>
      </c>
      <c r="L1153">
        <v>283.55130000000003</v>
      </c>
      <c r="M1153">
        <v>-0.9998939</v>
      </c>
      <c r="N1153">
        <v>0</v>
      </c>
      <c r="O1153">
        <v>5.6406709999999999E-3</v>
      </c>
      <c r="P1153">
        <v>-0.98622540000000003</v>
      </c>
      <c r="Q1153">
        <v>0.15408620000000001</v>
      </c>
      <c r="R1153">
        <v>-6.0142960000000002E-2</v>
      </c>
      <c r="S1153">
        <v>-3.0608520000000001</v>
      </c>
      <c r="T1153">
        <v>-0.18656710000000001</v>
      </c>
      <c r="U1153">
        <v>-0.15435789999999999</v>
      </c>
      <c r="V1153">
        <v>-6.5911579999999997E-2</v>
      </c>
      <c r="W1153">
        <v>0.16723299999999999</v>
      </c>
      <c r="X1153">
        <v>0.98371169999999997</v>
      </c>
      <c r="Y1153">
        <v>-5.5885039999999997E-2</v>
      </c>
      <c r="Z1153">
        <v>-2.0438330000000001E-3</v>
      </c>
      <c r="AA1153">
        <v>0.99843510000000002</v>
      </c>
      <c r="AB1153">
        <v>27</v>
      </c>
      <c r="AC1153">
        <v>-18.066199999999998</v>
      </c>
      <c r="AD1153">
        <v>-1.1110824316750001</v>
      </c>
      <c r="AE1153">
        <v>-0.91980000000000905</v>
      </c>
      <c r="AF1153">
        <v>-1.0178601215343199</v>
      </c>
      <c r="AG1153">
        <v>-1.1110824316750001</v>
      </c>
      <c r="AH1153">
        <v>17.992844929008001</v>
      </c>
      <c r="AI1153">
        <v>93.527978385216301</v>
      </c>
      <c r="AJ1153">
        <v>93.237786891244497</v>
      </c>
      <c r="AK1153">
        <v>18.0558304166914</v>
      </c>
      <c r="AL1153">
        <v>80.373020996330496</v>
      </c>
      <c r="AM1153">
        <v>93.833256427043395</v>
      </c>
      <c r="AN1153">
        <v>0.99999996069199204</v>
      </c>
    </row>
    <row r="1154" spans="1:40" x14ac:dyDescent="0.3">
      <c r="A1154" t="str">
        <f>"20200111150745653"</f>
        <v>20200111150745653</v>
      </c>
      <c r="B1154" t="str">
        <f>"1578726465642219"</f>
        <v>1578726465642219</v>
      </c>
      <c r="C1154" t="s">
        <v>40</v>
      </c>
      <c r="D1154">
        <v>5.1579769999999998</v>
      </c>
      <c r="E1154">
        <v>0.50243320000000002</v>
      </c>
      <c r="F1154" t="s">
        <v>58</v>
      </c>
      <c r="G1154">
        <v>-298.7226</v>
      </c>
      <c r="H1154" s="1">
        <v>3.9364330000000004E-6</v>
      </c>
      <c r="I1154">
        <v>282.51799999999997</v>
      </c>
      <c r="J1154">
        <v>-278.86200000000002</v>
      </c>
      <c r="K1154">
        <v>1.1110949999999999</v>
      </c>
      <c r="L1154">
        <v>283.55180000000001</v>
      </c>
      <c r="M1154">
        <v>-0.99989720000000004</v>
      </c>
      <c r="N1154">
        <v>0</v>
      </c>
      <c r="O1154">
        <v>5.0457200000000001E-3</v>
      </c>
      <c r="P1154">
        <v>-0.98589559999999998</v>
      </c>
      <c r="Q1154">
        <v>0.15564549999999999</v>
      </c>
      <c r="R1154">
        <v>-6.1519329999999997E-2</v>
      </c>
      <c r="S1154">
        <v>-3.0587460000000002</v>
      </c>
      <c r="T1154">
        <v>-0.16920299999999999</v>
      </c>
      <c r="U1154">
        <v>-0.15734860000000001</v>
      </c>
      <c r="V1154">
        <v>-6.6701869999999996E-2</v>
      </c>
      <c r="W1154">
        <v>0.16878560000000001</v>
      </c>
      <c r="X1154">
        <v>0.98339330000000003</v>
      </c>
      <c r="Y1154">
        <v>-5.6319550000000003E-2</v>
      </c>
      <c r="Z1154">
        <v>-1.8342740000000001E-3</v>
      </c>
      <c r="AA1154">
        <v>0.9984111</v>
      </c>
      <c r="AB1154">
        <v>27</v>
      </c>
      <c r="AC1154">
        <v>-19.860599999999899</v>
      </c>
      <c r="AD1154">
        <v>-1.1110910635669999</v>
      </c>
      <c r="AE1154">
        <v>-1.03380000000004</v>
      </c>
      <c r="AF1154">
        <v>-1.1304782970806899</v>
      </c>
      <c r="AG1154">
        <v>-1.1110910635669999</v>
      </c>
      <c r="AH1154">
        <v>19.793348858935801</v>
      </c>
      <c r="AI1154">
        <v>93.207685323343796</v>
      </c>
      <c r="AJ1154">
        <v>93.268842708984096</v>
      </c>
      <c r="AK1154">
        <v>19.856715830752201</v>
      </c>
      <c r="AL1154">
        <v>80.282781708246404</v>
      </c>
      <c r="AM1154">
        <v>93.880330390496496</v>
      </c>
      <c r="AN1154">
        <v>1.00000005035687</v>
      </c>
    </row>
    <row r="1155" spans="1:40" x14ac:dyDescent="0.3">
      <c r="A1155" t="str">
        <f>"20200111150745667"</f>
        <v>20200111150745667</v>
      </c>
      <c r="B1155" t="str">
        <f>"1578726465662711"</f>
        <v>1578726465662711</v>
      </c>
      <c r="C1155" t="s">
        <v>40</v>
      </c>
      <c r="D1155">
        <v>5.3408129999999998</v>
      </c>
      <c r="E1155">
        <v>0.51510920000000004</v>
      </c>
      <c r="F1155" t="s">
        <v>58</v>
      </c>
      <c r="G1155">
        <v>-299.54450000000003</v>
      </c>
      <c r="H1155" s="1">
        <v>4.0868569999999997E-6</v>
      </c>
      <c r="I1155">
        <v>282.46499999999997</v>
      </c>
      <c r="J1155">
        <v>-279.02339999999998</v>
      </c>
      <c r="K1155">
        <v>1.111102</v>
      </c>
      <c r="L1155">
        <v>283.55220000000003</v>
      </c>
      <c r="M1155">
        <v>-0.99989930000000005</v>
      </c>
      <c r="N1155">
        <v>0</v>
      </c>
      <c r="O1155">
        <v>4.6185530000000001E-3</v>
      </c>
      <c r="P1155">
        <v>-0.98579649999999996</v>
      </c>
      <c r="Q1155">
        <v>0.15628499999999901</v>
      </c>
      <c r="R1155">
        <v>-6.148588E-2</v>
      </c>
      <c r="S1155">
        <v>-3.0588380000000002</v>
      </c>
      <c r="T1155">
        <v>-0.1643249</v>
      </c>
      <c r="U1155">
        <v>-0.16073609999999999</v>
      </c>
      <c r="V1155">
        <v>-6.6248070000000006E-2</v>
      </c>
      <c r="W1155">
        <v>0.1694243</v>
      </c>
      <c r="X1155">
        <v>0.98331409999999997</v>
      </c>
      <c r="Y1155">
        <v>-5.699912E-2</v>
      </c>
      <c r="Z1155">
        <v>-1.7766749999999999E-3</v>
      </c>
      <c r="AA1155">
        <v>0.9983727</v>
      </c>
      <c r="AB1155">
        <v>27</v>
      </c>
      <c r="AC1155">
        <v>-20.521100000000001</v>
      </c>
      <c r="AD1155">
        <v>-1.1110979131430001</v>
      </c>
      <c r="AE1155">
        <v>-1.0872000000000499</v>
      </c>
      <c r="AF1155">
        <v>-1.1785294282541701</v>
      </c>
      <c r="AG1155">
        <v>-1.1110979131430001</v>
      </c>
      <c r="AH1155">
        <v>20.4560584018454</v>
      </c>
      <c r="AI1155">
        <v>93.103904152900199</v>
      </c>
      <c r="AJ1155">
        <v>93.297321476958203</v>
      </c>
      <c r="AK1155">
        <v>20.520082736810799</v>
      </c>
      <c r="AL1155">
        <v>80.245651757005007</v>
      </c>
      <c r="AM1155">
        <v>93.854320233970398</v>
      </c>
      <c r="AN1155">
        <v>1.00000000973401</v>
      </c>
    </row>
    <row r="1156" spans="1:40" x14ac:dyDescent="0.3">
      <c r="A1156" t="str">
        <f>"20200111150745680"</f>
        <v>20200111150745680</v>
      </c>
      <c r="B1156" t="str">
        <f>"1578726465672470"</f>
        <v>1578726465672470</v>
      </c>
      <c r="C1156" t="s">
        <v>40</v>
      </c>
      <c r="D1156">
        <v>5.5254310000000002</v>
      </c>
      <c r="E1156">
        <v>0.5243255</v>
      </c>
      <c r="F1156" t="s">
        <v>57</v>
      </c>
      <c r="G1156">
        <v>-511.96640000000002</v>
      </c>
      <c r="H1156">
        <v>23.336880000000001</v>
      </c>
      <c r="I1156">
        <v>278.68239999999997</v>
      </c>
      <c r="J1156">
        <v>-279.1909</v>
      </c>
      <c r="K1156">
        <v>1.1111059999999999</v>
      </c>
      <c r="L1156">
        <v>283.55250000000001</v>
      </c>
      <c r="M1156">
        <v>-0.99990120000000005</v>
      </c>
      <c r="N1156">
        <v>0</v>
      </c>
      <c r="O1156">
        <v>4.1753570000000002E-3</v>
      </c>
      <c r="P1156">
        <v>-0.98576830000000004</v>
      </c>
      <c r="Q1156">
        <v>0.15660289999999999</v>
      </c>
      <c r="R1156">
        <v>-6.1126850000000003E-2</v>
      </c>
      <c r="S1156">
        <v>-2.9940190000000002</v>
      </c>
      <c r="T1156">
        <v>0.28566909999999901</v>
      </c>
      <c r="U1156">
        <v>-6.2591549999999996E-2</v>
      </c>
      <c r="V1156">
        <v>-6.5452479999999993E-2</v>
      </c>
      <c r="W1156">
        <v>0.16974239999999999</v>
      </c>
      <c r="X1156">
        <v>0.98331250000000003</v>
      </c>
      <c r="Y1156">
        <v>-2.4943420000000001E-2</v>
      </c>
      <c r="Z1156">
        <v>1.584619E-3</v>
      </c>
      <c r="AA1156">
        <v>0.99968760000000001</v>
      </c>
      <c r="AB1156">
        <v>27</v>
      </c>
      <c r="AC1156">
        <v>-232.77549999999999</v>
      </c>
      <c r="AD1156">
        <v>22.225774000000001</v>
      </c>
      <c r="AE1156">
        <v>-4.8701000000000301</v>
      </c>
      <c r="AF1156">
        <v>-5.7893094173513404</v>
      </c>
      <c r="AG1156">
        <v>22.225774000000001</v>
      </c>
      <c r="AH1156">
        <v>230.65126826355899</v>
      </c>
      <c r="AI1156">
        <v>84.497640865125803</v>
      </c>
      <c r="AJ1156">
        <v>91.437812880417795</v>
      </c>
      <c r="AK1156">
        <v>231.791951294727</v>
      </c>
      <c r="AL1156">
        <v>80.227157920645297</v>
      </c>
      <c r="AM1156">
        <v>93.808175919241194</v>
      </c>
      <c r="AN1156">
        <v>0.99999999107607995</v>
      </c>
    </row>
    <row r="1157" spans="1:40" x14ac:dyDescent="0.3">
      <c r="A1157" t="str">
        <f>"20200111150745698"</f>
        <v>20200111150745698</v>
      </c>
      <c r="B1157" t="str">
        <f>"1578726465691991"</f>
        <v>1578726465691991</v>
      </c>
      <c r="C1157" t="s">
        <v>40</v>
      </c>
      <c r="D1157">
        <v>5.5522460000000002</v>
      </c>
      <c r="E1157">
        <v>0.51961179999999996</v>
      </c>
      <c r="F1157" t="s">
        <v>49</v>
      </c>
      <c r="G1157">
        <v>0</v>
      </c>
      <c r="H1157">
        <v>0</v>
      </c>
      <c r="I1157">
        <v>0</v>
      </c>
      <c r="J1157">
        <v>-279.40789999999998</v>
      </c>
      <c r="K1157">
        <v>1.1111089999999999</v>
      </c>
      <c r="L1157">
        <v>283.55279999999999</v>
      </c>
      <c r="M1157">
        <v>-0.99990349999999995</v>
      </c>
      <c r="N1157">
        <v>0</v>
      </c>
      <c r="O1157">
        <v>3.6016350000000002E-3</v>
      </c>
      <c r="P1157">
        <v>-0.98582389999999998</v>
      </c>
      <c r="Q1157">
        <v>0.15671869999999999</v>
      </c>
      <c r="R1157">
        <v>-5.9923900000000002E-2</v>
      </c>
      <c r="S1157">
        <v>-3.0055239999999999</v>
      </c>
      <c r="T1157">
        <v>0.24279709999999999</v>
      </c>
      <c r="U1157">
        <v>1.242065E-2</v>
      </c>
      <c r="V1157">
        <v>-6.3684329999999997E-2</v>
      </c>
      <c r="W1157">
        <v>0.16985989999999901</v>
      </c>
      <c r="X1157">
        <v>0.98340830000000001</v>
      </c>
      <c r="Y1157">
        <v>5.4059159999999998E-4</v>
      </c>
      <c r="Z1157">
        <v>2.6870410000000001E-4</v>
      </c>
      <c r="AA1157">
        <v>0.99999979999999999</v>
      </c>
      <c r="AB1157">
        <v>27</v>
      </c>
      <c r="AC1157">
        <v>-3.0055239999999999</v>
      </c>
      <c r="AD1157">
        <v>0.24279709999999999</v>
      </c>
      <c r="AE1157">
        <v>1.242065E-2</v>
      </c>
      <c r="AF1157">
        <v>1.5844545660979501E-3</v>
      </c>
      <c r="AG1157">
        <v>0.24279709999999999</v>
      </c>
      <c r="AH1157">
        <v>2.9860625517258601</v>
      </c>
      <c r="AI1157">
        <v>85.351500294773501</v>
      </c>
      <c r="AJ1157">
        <v>89.969597907151893</v>
      </c>
      <c r="AK1157">
        <v>2.99591763990338</v>
      </c>
      <c r="AL1157">
        <v>80.220326372897503</v>
      </c>
      <c r="AM1157">
        <v>93.705231496846196</v>
      </c>
      <c r="AN1157">
        <v>0.99999998201222395</v>
      </c>
    </row>
    <row r="1158" spans="1:40" x14ac:dyDescent="0.3">
      <c r="A1158" t="str">
        <f>"20200111150745710"</f>
        <v>20200111150745710</v>
      </c>
      <c r="B1158" t="str">
        <f>"1578726465702727"</f>
        <v>1578726465702727</v>
      </c>
      <c r="C1158" t="s">
        <v>40</v>
      </c>
      <c r="D1158">
        <v>5.4028260000000001</v>
      </c>
      <c r="E1158">
        <v>0.51797749999999998</v>
      </c>
      <c r="F1158" t="s">
        <v>49</v>
      </c>
      <c r="G1158">
        <v>0</v>
      </c>
      <c r="H1158">
        <v>0</v>
      </c>
      <c r="I1158">
        <v>0</v>
      </c>
      <c r="J1158">
        <v>-279.55540000000002</v>
      </c>
      <c r="K1158">
        <v>1.111111</v>
      </c>
      <c r="L1158">
        <v>283.55290000000002</v>
      </c>
      <c r="M1158">
        <v>-0.99990489999999999</v>
      </c>
      <c r="N1158">
        <v>0</v>
      </c>
      <c r="O1158">
        <v>3.2113710000000002E-3</v>
      </c>
      <c r="P1158">
        <v>-0.98593010000000003</v>
      </c>
      <c r="Q1158">
        <v>0.15645029999999999</v>
      </c>
      <c r="R1158">
        <v>-5.8867629999999997E-2</v>
      </c>
      <c r="S1158">
        <v>-2.9851070000000002</v>
      </c>
      <c r="T1158">
        <v>0.35615380000000002</v>
      </c>
      <c r="U1158">
        <v>-2.2583010000000001E-2</v>
      </c>
      <c r="V1158">
        <v>-6.224379E-2</v>
      </c>
      <c r="W1158">
        <v>0.16959440000000001</v>
      </c>
      <c r="X1158">
        <v>0.98354640000000004</v>
      </c>
      <c r="Y1158">
        <v>-1.067803E-2</v>
      </c>
      <c r="Z1158">
        <v>1.016564E-3</v>
      </c>
      <c r="AA1158">
        <v>0.99994249999999996</v>
      </c>
      <c r="AB1158">
        <v>27</v>
      </c>
      <c r="AC1158">
        <v>-2.9851070000000002</v>
      </c>
      <c r="AD1158">
        <v>0.35615380000000002</v>
      </c>
      <c r="AE1158">
        <v>-2.2583010000000001E-2</v>
      </c>
      <c r="AF1158">
        <v>-3.1718556267151803E-2</v>
      </c>
      <c r="AG1158">
        <v>0.35615380000000002</v>
      </c>
      <c r="AH1158">
        <v>2.9431262745735198</v>
      </c>
      <c r="AI1158">
        <v>83.100466133831702</v>
      </c>
      <c r="AJ1158">
        <v>90.617462141289806</v>
      </c>
      <c r="AK1158">
        <v>2.9647670843004099</v>
      </c>
      <c r="AL1158">
        <v>80.235762888701501</v>
      </c>
      <c r="AM1158">
        <v>93.621137608464593</v>
      </c>
      <c r="AN1158">
        <v>1.00000003542894</v>
      </c>
    </row>
    <row r="1159" spans="1:40" x14ac:dyDescent="0.3">
      <c r="A1159" t="str">
        <f>"20200111150745725"</f>
        <v>20200111150745725</v>
      </c>
      <c r="B1159" t="str">
        <f>"1578726465722248"</f>
        <v>1578726465722248</v>
      </c>
      <c r="C1159" t="s">
        <v>40</v>
      </c>
      <c r="D1159">
        <v>5.3309230000000003</v>
      </c>
      <c r="E1159">
        <v>0.51491390000000004</v>
      </c>
      <c r="F1159" t="s">
        <v>49</v>
      </c>
      <c r="G1159">
        <v>0</v>
      </c>
      <c r="H1159">
        <v>0</v>
      </c>
      <c r="I1159">
        <v>0</v>
      </c>
      <c r="J1159">
        <v>-279.71390000000002</v>
      </c>
      <c r="K1159">
        <v>1.1111089999999999</v>
      </c>
      <c r="L1159">
        <v>283.55290000000002</v>
      </c>
      <c r="M1159">
        <v>-0.99990610000000002</v>
      </c>
      <c r="N1159">
        <v>0</v>
      </c>
      <c r="O1159">
        <v>2.7920839999999998E-3</v>
      </c>
      <c r="P1159">
        <v>-0.98601070000000002</v>
      </c>
      <c r="Q1159">
        <v>0.15620029999999999</v>
      </c>
      <c r="R1159">
        <v>-5.8179000000000002E-2</v>
      </c>
      <c r="S1159">
        <v>-2.9843139999999999</v>
      </c>
      <c r="T1159">
        <v>0.35646800000000001</v>
      </c>
      <c r="U1159">
        <v>-3.2562260000000003E-2</v>
      </c>
      <c r="V1159">
        <v>-6.1140989999999999E-2</v>
      </c>
      <c r="W1159">
        <v>0.16934630000000001</v>
      </c>
      <c r="X1159">
        <v>0.98365829999999999</v>
      </c>
      <c r="Y1159">
        <v>-1.35862E-2</v>
      </c>
      <c r="Z1159">
        <v>1.1408659999999999E-3</v>
      </c>
      <c r="AA1159">
        <v>0.99990710000000005</v>
      </c>
      <c r="AB1159">
        <v>27</v>
      </c>
      <c r="AC1159">
        <v>-2.9843139999999999</v>
      </c>
      <c r="AD1159">
        <v>0.35646800000000001</v>
      </c>
      <c r="AE1159">
        <v>-3.2562260000000003E-2</v>
      </c>
      <c r="AF1159">
        <v>-4.0320133853518098E-2</v>
      </c>
      <c r="AG1159">
        <v>0.35646800000000001</v>
      </c>
      <c r="AH1159">
        <v>2.9422376574645202</v>
      </c>
      <c r="AI1159">
        <v>83.092617648550501</v>
      </c>
      <c r="AJ1159">
        <v>90.785126549911197</v>
      </c>
      <c r="AK1159">
        <v>2.9640272571655402</v>
      </c>
      <c r="AL1159">
        <v>80.250186459780807</v>
      </c>
      <c r="AM1159">
        <v>93.556742948678107</v>
      </c>
      <c r="AN1159">
        <v>1.0000000205703701</v>
      </c>
    </row>
    <row r="1160" spans="1:40" x14ac:dyDescent="0.3">
      <c r="A1160" t="str">
        <f>"20200111150745743"</f>
        <v>20200111150745743</v>
      </c>
      <c r="B1160" t="str">
        <f>"1578726465732009"</f>
        <v>1578726465732009</v>
      </c>
      <c r="C1160" t="s">
        <v>40</v>
      </c>
      <c r="D1160">
        <v>5.3130569999999997</v>
      </c>
      <c r="E1160">
        <v>0.52266229999999902</v>
      </c>
      <c r="F1160" t="s">
        <v>57</v>
      </c>
      <c r="G1160">
        <v>-511.96879999999999</v>
      </c>
      <c r="H1160">
        <v>30.64236</v>
      </c>
      <c r="I1160">
        <v>279.27300000000002</v>
      </c>
      <c r="J1160">
        <v>-279.95</v>
      </c>
      <c r="K1160">
        <v>1.1111070000000001</v>
      </c>
      <c r="L1160">
        <v>283.55290000000002</v>
      </c>
      <c r="M1160">
        <v>-0.99990760000000001</v>
      </c>
      <c r="N1160">
        <v>0</v>
      </c>
      <c r="O1160">
        <v>2.1678380000000001E-3</v>
      </c>
      <c r="P1160">
        <v>-0.98612489999999997</v>
      </c>
      <c r="Q1160">
        <v>0.1558225</v>
      </c>
      <c r="R1160">
        <v>-5.7248E-2</v>
      </c>
      <c r="S1160">
        <v>-2.9793090000000002</v>
      </c>
      <c r="T1160">
        <v>0.3788204</v>
      </c>
      <c r="U1160">
        <v>-5.4901119999999998E-2</v>
      </c>
      <c r="V1160">
        <v>-5.9594139999999997E-2</v>
      </c>
      <c r="W1160">
        <v>0.1689717</v>
      </c>
      <c r="X1160">
        <v>0.98381759999999996</v>
      </c>
      <c r="Y1160">
        <v>-2.041024E-2</v>
      </c>
      <c r="Z1160">
        <v>1.56681299999999E-3</v>
      </c>
      <c r="AA1160">
        <v>0.99979050000000003</v>
      </c>
      <c r="AB1160">
        <v>27</v>
      </c>
      <c r="AC1160">
        <v>-232.0188</v>
      </c>
      <c r="AD1160">
        <v>29.531253</v>
      </c>
      <c r="AE1160">
        <v>-4.2799000000000502</v>
      </c>
      <c r="AF1160">
        <v>-4.70669152552294</v>
      </c>
      <c r="AG1160">
        <v>29.531253</v>
      </c>
      <c r="AH1160">
        <v>228.31156620223001</v>
      </c>
      <c r="AI1160">
        <v>82.6314719487319</v>
      </c>
      <c r="AJ1160">
        <v>91.180997404206593</v>
      </c>
      <c r="AK1160">
        <v>230.26163186814699</v>
      </c>
      <c r="AL1160">
        <v>80.271962925107502</v>
      </c>
      <c r="AM1160">
        <v>93.466420666402897</v>
      </c>
      <c r="AN1160">
        <v>0.99999998349649399</v>
      </c>
    </row>
    <row r="1161" spans="1:40" x14ac:dyDescent="0.3">
      <c r="A1161" t="str">
        <f>"20200111150745765"</f>
        <v>20200111150745765</v>
      </c>
      <c r="B1161" t="str">
        <f>"1578726465762263"</f>
        <v>1578726465762263</v>
      </c>
      <c r="C1161" t="s">
        <v>40</v>
      </c>
      <c r="D1161">
        <v>5.3001379999999996</v>
      </c>
      <c r="E1161">
        <v>0.52343359999999906</v>
      </c>
      <c r="F1161" t="s">
        <v>41</v>
      </c>
      <c r="G1161">
        <v>-280.8612</v>
      </c>
      <c r="H1161">
        <v>1.0218929999999999</v>
      </c>
      <c r="I1161">
        <v>283.55779999999999</v>
      </c>
      <c r="J1161">
        <v>-280.20569999999998</v>
      </c>
      <c r="K1161">
        <v>1.111097</v>
      </c>
      <c r="L1161">
        <v>283.55270000000002</v>
      </c>
      <c r="M1161">
        <v>-0.99990880000000004</v>
      </c>
      <c r="N1161">
        <v>0</v>
      </c>
      <c r="O1161">
        <v>1.49061299999999E-3</v>
      </c>
      <c r="P1161">
        <v>-0.98621519999999996</v>
      </c>
      <c r="Q1161">
        <v>0.15525820000000001</v>
      </c>
      <c r="R1161">
        <v>-5.7221470000000003E-2</v>
      </c>
      <c r="S1161">
        <v>-3.0910030000000002</v>
      </c>
      <c r="T1161">
        <v>-0.30289850000000001</v>
      </c>
      <c r="U1161">
        <v>1.544189E-2</v>
      </c>
      <c r="V1161">
        <v>-5.8899020000000003E-2</v>
      </c>
      <c r="W1161">
        <v>0.16840820000000001</v>
      </c>
      <c r="X1161">
        <v>0.9839561</v>
      </c>
      <c r="Y1161">
        <v>3.4953570000000002E-3</v>
      </c>
      <c r="Z1161" s="1">
        <v>2.511748E-5</v>
      </c>
      <c r="AA1161">
        <v>0.99999389999999999</v>
      </c>
      <c r="AB1161">
        <v>27</v>
      </c>
      <c r="AC1161">
        <v>-0.65550000000001696</v>
      </c>
      <c r="AD1161">
        <v>-8.9204000000000006E-2</v>
      </c>
      <c r="AE1161">
        <v>5.0999999999703496E-3</v>
      </c>
      <c r="AF1161">
        <v>4.04785087533763E-3</v>
      </c>
      <c r="AG1161">
        <v>-8.9204000000000006E-2</v>
      </c>
      <c r="AH1161">
        <v>0.64358881720592198</v>
      </c>
      <c r="AI1161">
        <v>97.890995316549905</v>
      </c>
      <c r="AJ1161">
        <v>89.639643034521995</v>
      </c>
      <c r="AK1161">
        <v>0.64975403372755403</v>
      </c>
      <c r="AL1161">
        <v>80.304718787515895</v>
      </c>
      <c r="AM1161">
        <v>93.425603302399296</v>
      </c>
      <c r="AN1161">
        <v>1.0000000115557</v>
      </c>
    </row>
    <row r="1162" spans="1:40" x14ac:dyDescent="0.3">
      <c r="A1162" t="str">
        <f>"20200111150745780"</f>
        <v>20200111150745780</v>
      </c>
      <c r="B1162" t="str">
        <f>"1578726465772023"</f>
        <v>1578726465772023</v>
      </c>
      <c r="C1162" t="s">
        <v>40</v>
      </c>
      <c r="D1162">
        <v>5.29284</v>
      </c>
      <c r="E1162">
        <v>0.52353470000000002</v>
      </c>
      <c r="F1162" t="s">
        <v>41</v>
      </c>
      <c r="G1162">
        <v>-281.10120000000001</v>
      </c>
      <c r="H1162">
        <v>1.020607</v>
      </c>
      <c r="I1162">
        <v>283.5591</v>
      </c>
      <c r="J1162">
        <v>-280.39019999999999</v>
      </c>
      <c r="K1162">
        <v>1.1110960000000001</v>
      </c>
      <c r="L1162">
        <v>283.55239999999998</v>
      </c>
      <c r="M1162">
        <v>-0.99990950000000001</v>
      </c>
      <c r="N1162">
        <v>0</v>
      </c>
      <c r="O1162">
        <v>1.0022550000000001E-3</v>
      </c>
      <c r="P1162">
        <v>-0.98623749999999999</v>
      </c>
      <c r="Q1162">
        <v>0.1550154</v>
      </c>
      <c r="R1162">
        <v>-5.7499130000000002E-2</v>
      </c>
      <c r="S1162">
        <v>-3.0923769999999999</v>
      </c>
      <c r="T1162">
        <v>-0.31257750000000001</v>
      </c>
      <c r="U1162">
        <v>2.1789550000000001E-2</v>
      </c>
      <c r="V1162">
        <v>-5.869456E-2</v>
      </c>
      <c r="W1162">
        <v>0.1681656</v>
      </c>
      <c r="X1162">
        <v>0.98400980000000005</v>
      </c>
      <c r="Y1162">
        <v>6.0181590000000004E-3</v>
      </c>
      <c r="Z1162">
        <v>2.0232299999999999E-4</v>
      </c>
      <c r="AA1162">
        <v>0.99998189999999998</v>
      </c>
      <c r="AB1162">
        <v>27</v>
      </c>
      <c r="AC1162">
        <v>-0.71100000000001196</v>
      </c>
      <c r="AD1162">
        <v>-9.0488999999999806E-2</v>
      </c>
      <c r="AE1162">
        <v>6.7000000000234598E-3</v>
      </c>
      <c r="AF1162">
        <v>5.8919026080478196E-3</v>
      </c>
      <c r="AG1162">
        <v>-9.0488999999999806E-2</v>
      </c>
      <c r="AH1162">
        <v>0.69967427624220302</v>
      </c>
      <c r="AI1162">
        <v>97.368910447309403</v>
      </c>
      <c r="AJ1162">
        <v>89.517528105527205</v>
      </c>
      <c r="AK1162">
        <v>0.70552609198554395</v>
      </c>
      <c r="AL1162">
        <v>80.318819772798705</v>
      </c>
      <c r="AM1162">
        <v>93.413554097833099</v>
      </c>
      <c r="AN1162">
        <v>1.00000000344649</v>
      </c>
    </row>
    <row r="1163" spans="1:40" x14ac:dyDescent="0.3">
      <c r="A1163" t="str">
        <f>"20200111150745793"</f>
        <v>20200111150745793</v>
      </c>
      <c r="B1163" t="str">
        <f>"1578726465782759"</f>
        <v>1578726465782759</v>
      </c>
      <c r="C1163" t="s">
        <v>40</v>
      </c>
      <c r="D1163">
        <v>5.2874049999999997</v>
      </c>
      <c r="E1163">
        <v>0.52380499999999997</v>
      </c>
      <c r="F1163" t="s">
        <v>41</v>
      </c>
      <c r="G1163">
        <v>-281.33929999999998</v>
      </c>
      <c r="H1163">
        <v>1.0156700000000001</v>
      </c>
      <c r="I1163">
        <v>283.55930000000001</v>
      </c>
      <c r="J1163">
        <v>-280.55250000000001</v>
      </c>
      <c r="K1163">
        <v>1.111094</v>
      </c>
      <c r="L1163">
        <v>283.5521</v>
      </c>
      <c r="M1163">
        <v>-0.99990990000000002</v>
      </c>
      <c r="N1163">
        <v>0</v>
      </c>
      <c r="O1163">
        <v>5.7260510000000004E-4</v>
      </c>
      <c r="P1163">
        <v>-0.98631939999999996</v>
      </c>
      <c r="Q1163">
        <v>0.15462390000000001</v>
      </c>
      <c r="R1163">
        <v>-5.7147040000000003E-2</v>
      </c>
      <c r="S1163">
        <v>-3.09198</v>
      </c>
      <c r="T1163">
        <v>-0.3111334</v>
      </c>
      <c r="U1163">
        <v>2.139282E-2</v>
      </c>
      <c r="V1163">
        <v>-5.7917690000000001E-2</v>
      </c>
      <c r="W1163">
        <v>0.16777549999999999</v>
      </c>
      <c r="X1163">
        <v>0.98412239999999995</v>
      </c>
      <c r="Y1163">
        <v>6.3169919999999996E-3</v>
      </c>
      <c r="Z1163">
        <v>2.5954409999999999E-4</v>
      </c>
      <c r="AA1163">
        <v>0.99997999999999998</v>
      </c>
      <c r="AB1163">
        <v>27</v>
      </c>
      <c r="AC1163">
        <v>-0.78679999999997097</v>
      </c>
      <c r="AD1163">
        <v>-9.5423999999999898E-2</v>
      </c>
      <c r="AE1163">
        <v>7.2000000000116398E-3</v>
      </c>
      <c r="AF1163">
        <v>6.6516016262793999E-3</v>
      </c>
      <c r="AG1163">
        <v>-9.5423999999999898E-2</v>
      </c>
      <c r="AH1163">
        <v>0.77539950887935105</v>
      </c>
      <c r="AI1163">
        <v>97.015533899259495</v>
      </c>
      <c r="AJ1163">
        <v>89.508512259790393</v>
      </c>
      <c r="AK1163">
        <v>0.78127740396771606</v>
      </c>
      <c r="AL1163">
        <v>80.341492843769103</v>
      </c>
      <c r="AM1163">
        <v>93.368093156441006</v>
      </c>
      <c r="AN1163">
        <v>0.99999998769847198</v>
      </c>
    </row>
    <row r="1164" spans="1:40" x14ac:dyDescent="0.3">
      <c r="A1164" t="str">
        <f>"20200111150745812"</f>
        <v>20200111150745812</v>
      </c>
      <c r="B1164" t="str">
        <f>"1578726465802282"</f>
        <v>1578726465802282</v>
      </c>
      <c r="C1164" t="s">
        <v>40</v>
      </c>
      <c r="D1164">
        <v>5.4244490000000001</v>
      </c>
      <c r="E1164">
        <v>0.49942180000000003</v>
      </c>
      <c r="F1164" t="s">
        <v>41</v>
      </c>
      <c r="G1164">
        <v>-281.34730000000002</v>
      </c>
      <c r="H1164">
        <v>1.031968</v>
      </c>
      <c r="I1164">
        <v>283.55860000000001</v>
      </c>
      <c r="J1164">
        <v>-280.76560000000001</v>
      </c>
      <c r="K1164">
        <v>1.111089</v>
      </c>
      <c r="L1164">
        <v>283.55160000000001</v>
      </c>
      <c r="M1164">
        <v>-0.99991010000000002</v>
      </c>
      <c r="N1164">
        <v>0</v>
      </c>
      <c r="O1164" s="1">
        <v>8.7940790000000003E-6</v>
      </c>
      <c r="P1164">
        <v>-0.98649980000000004</v>
      </c>
      <c r="Q1164">
        <v>0.15387600000000001</v>
      </c>
      <c r="R1164">
        <v>-5.6039760000000001E-2</v>
      </c>
      <c r="S1164">
        <v>-3.091278</v>
      </c>
      <c r="T1164">
        <v>-0.30803160000000002</v>
      </c>
      <c r="U1164">
        <v>2.377319E-2</v>
      </c>
      <c r="V1164">
        <v>-5.6252820000000002E-2</v>
      </c>
      <c r="W1164">
        <v>0.16703129999999999</v>
      </c>
      <c r="X1164">
        <v>0.98434560000000004</v>
      </c>
      <c r="Y1164">
        <v>7.6435799999999996E-3</v>
      </c>
      <c r="Z1164">
        <v>3.7900329999999998E-4</v>
      </c>
      <c r="AA1164">
        <v>0.99997069999999999</v>
      </c>
      <c r="AB1164">
        <v>27</v>
      </c>
      <c r="AC1164">
        <v>-0.58170000000001199</v>
      </c>
      <c r="AD1164">
        <v>-7.9120999999999997E-2</v>
      </c>
      <c r="AE1164">
        <v>7.0000000000049996E-3</v>
      </c>
      <c r="AF1164">
        <v>6.8678433174280103E-3</v>
      </c>
      <c r="AG1164">
        <v>-7.9120999999999997E-2</v>
      </c>
      <c r="AH1164">
        <v>0.57113525637707396</v>
      </c>
      <c r="AI1164">
        <v>97.886585784080197</v>
      </c>
      <c r="AJ1164">
        <v>89.311057289298503</v>
      </c>
      <c r="AK1164">
        <v>0.57663054115242496</v>
      </c>
      <c r="AL1164">
        <v>80.384743266706394</v>
      </c>
      <c r="AM1164">
        <v>93.270749001999604</v>
      </c>
      <c r="AN1164">
        <v>1.0000000475885</v>
      </c>
    </row>
    <row r="1165" spans="1:40" x14ac:dyDescent="0.3">
      <c r="A1165" t="str">
        <f>"20200111150745832"</f>
        <v>20200111150745832</v>
      </c>
      <c r="B1165" t="str">
        <f>"1578726465822777"</f>
        <v>1578726465822777</v>
      </c>
      <c r="C1165" t="s">
        <v>40</v>
      </c>
      <c r="D1165">
        <v>5.3957379999999997</v>
      </c>
      <c r="E1165">
        <v>0.52344259999999998</v>
      </c>
      <c r="F1165" t="s">
        <v>57</v>
      </c>
      <c r="G1165">
        <v>-512.84050000000002</v>
      </c>
      <c r="H1165">
        <v>46.098680000000002</v>
      </c>
      <c r="I1165">
        <v>269.86700000000002</v>
      </c>
      <c r="J1165">
        <v>-281.0204</v>
      </c>
      <c r="K1165">
        <v>1.1110850000000001</v>
      </c>
      <c r="L1165">
        <v>283.55079999999998</v>
      </c>
      <c r="M1165">
        <v>-0.99990979999999996</v>
      </c>
      <c r="N1165">
        <v>0</v>
      </c>
      <c r="O1165">
        <v>-6.6521479999999997E-4</v>
      </c>
      <c r="P1165">
        <v>-0.98653869999999999</v>
      </c>
      <c r="Q1165">
        <v>0.15363470000000001</v>
      </c>
      <c r="R1165">
        <v>-5.6013430000000003E-2</v>
      </c>
      <c r="S1165">
        <v>-2.9422299999999999</v>
      </c>
      <c r="T1165">
        <v>0.57035040000000004</v>
      </c>
      <c r="U1165">
        <v>-0.17349239999999999</v>
      </c>
      <c r="V1165">
        <v>-5.5560900000000003E-2</v>
      </c>
      <c r="W1165">
        <v>0.1667911</v>
      </c>
      <c r="X1165">
        <v>0.98442560000000001</v>
      </c>
      <c r="Y1165">
        <v>-5.7152010000000003E-2</v>
      </c>
      <c r="Z1165">
        <v>5.3560659999999996E-3</v>
      </c>
      <c r="AA1165">
        <v>0.99835110000000005</v>
      </c>
      <c r="AB1165">
        <v>27</v>
      </c>
      <c r="AC1165">
        <v>-231.8201</v>
      </c>
      <c r="AD1165">
        <v>44.987594999999999</v>
      </c>
      <c r="AE1165">
        <v>-13.6837999999999</v>
      </c>
      <c r="AF1165">
        <v>-13.0401814112204</v>
      </c>
      <c r="AG1165">
        <v>44.987594999999999</v>
      </c>
      <c r="AH1165">
        <v>223.44343134532099</v>
      </c>
      <c r="AI1165">
        <v>78.635220480424707</v>
      </c>
      <c r="AJ1165">
        <v>93.339999063243596</v>
      </c>
      <c r="AK1165">
        <v>228.300015432528</v>
      </c>
      <c r="AL1165">
        <v>80.398701284136095</v>
      </c>
      <c r="AM1165">
        <v>93.230341951726601</v>
      </c>
      <c r="AN1165">
        <v>1.0000000232916799</v>
      </c>
    </row>
    <row r="1166" spans="1:40" x14ac:dyDescent="0.3">
      <c r="A1166" t="str">
        <f>"20200111150745847"</f>
        <v>20200111150745847</v>
      </c>
      <c r="B1166" t="str">
        <f>"1578726465842295"</f>
        <v>1578726465842295</v>
      </c>
      <c r="C1166" t="s">
        <v>40</v>
      </c>
      <c r="D1166">
        <v>5.3340439999999996</v>
      </c>
      <c r="E1166">
        <v>0.52447029999999994</v>
      </c>
      <c r="F1166" t="s">
        <v>41</v>
      </c>
      <c r="G1166">
        <v>-281.83249999999998</v>
      </c>
      <c r="H1166">
        <v>1.0382559999999901</v>
      </c>
      <c r="I1166">
        <v>283.5575</v>
      </c>
      <c r="J1166">
        <v>-281.18770000000001</v>
      </c>
      <c r="K1166">
        <v>1.111084</v>
      </c>
      <c r="L1166">
        <v>283.55020000000002</v>
      </c>
      <c r="M1166">
        <v>-0.99990939999999995</v>
      </c>
      <c r="N1166">
        <v>0</v>
      </c>
      <c r="O1166">
        <v>-1.1079180000000001E-3</v>
      </c>
      <c r="P1166">
        <v>-0.9865157</v>
      </c>
      <c r="Q1166">
        <v>0.15362439999999999</v>
      </c>
      <c r="R1166">
        <v>-5.6446830000000003E-2</v>
      </c>
      <c r="S1166">
        <v>-3.0854189999999999</v>
      </c>
      <c r="T1166">
        <v>-0.27691900000000003</v>
      </c>
      <c r="U1166">
        <v>2.4688720000000001E-2</v>
      </c>
      <c r="V1166">
        <v>-5.5557240000000001E-2</v>
      </c>
      <c r="W1166">
        <v>0.16677979999999901</v>
      </c>
      <c r="X1166">
        <v>0.98442770000000002</v>
      </c>
      <c r="Y1166">
        <v>9.0685609999999993E-3</v>
      </c>
      <c r="Z1166">
        <v>5.0537759999999998E-4</v>
      </c>
      <c r="AA1166">
        <v>0.99995880000000004</v>
      </c>
      <c r="AB1166">
        <v>27</v>
      </c>
      <c r="AC1166">
        <v>-0.64479999999997495</v>
      </c>
      <c r="AD1166">
        <v>-7.2828000000000101E-2</v>
      </c>
      <c r="AE1166">
        <v>7.2999999999865299E-3</v>
      </c>
      <c r="AF1166">
        <v>7.9135061052831805E-3</v>
      </c>
      <c r="AG1166">
        <v>-7.2828000000000101E-2</v>
      </c>
      <c r="AH1166">
        <v>0.63667058441956703</v>
      </c>
      <c r="AI1166">
        <v>96.525133642091802</v>
      </c>
      <c r="AJ1166">
        <v>89.287877962816694</v>
      </c>
      <c r="AK1166">
        <v>0.64087126182099297</v>
      </c>
      <c r="AL1166">
        <v>80.399357722977797</v>
      </c>
      <c r="AM1166">
        <v>93.230122731897396</v>
      </c>
      <c r="AN1166">
        <v>1.00000000256587</v>
      </c>
    </row>
    <row r="1167" spans="1:40" x14ac:dyDescent="0.3">
      <c r="A1167" t="str">
        <f>"20200111150745866"</f>
        <v>20200111150745866</v>
      </c>
      <c r="B1167" t="str">
        <f>"1578726465862791"</f>
        <v>1578726465862791</v>
      </c>
      <c r="C1167" t="s">
        <v>40</v>
      </c>
      <c r="D1167">
        <v>5.3334570000000001</v>
      </c>
      <c r="E1167">
        <v>0.5240243</v>
      </c>
      <c r="F1167" t="s">
        <v>41</v>
      </c>
      <c r="G1167">
        <v>-282.06330000000003</v>
      </c>
      <c r="H1167">
        <v>1.0233319999999999</v>
      </c>
      <c r="I1167">
        <v>283.55939999999998</v>
      </c>
      <c r="J1167">
        <v>-281.4273</v>
      </c>
      <c r="K1167">
        <v>1.1110850000000001</v>
      </c>
      <c r="L1167">
        <v>283.54919999999998</v>
      </c>
      <c r="M1167">
        <v>-0.99990860000000004</v>
      </c>
      <c r="N1167">
        <v>0</v>
      </c>
      <c r="O1167">
        <v>-1.742174E-3</v>
      </c>
      <c r="P1167">
        <v>-0.98640349999999999</v>
      </c>
      <c r="Q1167">
        <v>0.15401770000000001</v>
      </c>
      <c r="R1167">
        <v>-5.7328599999999903E-2</v>
      </c>
      <c r="S1167">
        <v>-3.0910950000000001</v>
      </c>
      <c r="T1167">
        <v>-0.3098767</v>
      </c>
      <c r="U1167">
        <v>3.2012939999999997E-2</v>
      </c>
      <c r="V1167">
        <v>-5.5814030000000001E-2</v>
      </c>
      <c r="W1167">
        <v>0.1671705</v>
      </c>
      <c r="X1167">
        <v>0.98434690000000002</v>
      </c>
      <c r="Y1167">
        <v>1.2029150000000001E-2</v>
      </c>
      <c r="Z1167">
        <v>7.7565179999999998E-4</v>
      </c>
      <c r="AA1167">
        <v>0.99992729999999996</v>
      </c>
      <c r="AB1167">
        <v>27</v>
      </c>
      <c r="AC1167">
        <v>-0.63600000000002399</v>
      </c>
      <c r="AD1167">
        <v>-8.7753000000000095E-2</v>
      </c>
      <c r="AE1167">
        <v>1.0199999999997499E-2</v>
      </c>
      <c r="AF1167">
        <v>1.1096903896254499E-2</v>
      </c>
      <c r="AG1167">
        <v>-8.7753000000000095E-2</v>
      </c>
      <c r="AH1167">
        <v>0.62410296344858596</v>
      </c>
      <c r="AI1167">
        <v>98.002446948124103</v>
      </c>
      <c r="AJ1167">
        <v>88.981355952719696</v>
      </c>
      <c r="AK1167">
        <v>0.63033978080904096</v>
      </c>
      <c r="AL1167">
        <v>80.376653502508603</v>
      </c>
      <c r="AM1167">
        <v>93.245286581810504</v>
      </c>
      <c r="AN1167">
        <v>1.00000000077735</v>
      </c>
    </row>
    <row r="1168" spans="1:40" x14ac:dyDescent="0.3">
      <c r="A1168" t="str">
        <f>"20200111150745889"</f>
        <v>20200111150745889</v>
      </c>
      <c r="B1168" t="str">
        <f>"1578726465882311"</f>
        <v>1578726465882311</v>
      </c>
      <c r="C1168" t="s">
        <v>40</v>
      </c>
      <c r="D1168">
        <v>5.3626899999999997</v>
      </c>
      <c r="E1168">
        <v>0.52461829999999998</v>
      </c>
      <c r="F1168" t="s">
        <v>41</v>
      </c>
      <c r="G1168">
        <v>-282.30279999999999</v>
      </c>
      <c r="H1168">
        <v>1.0228980000000001</v>
      </c>
      <c r="I1168">
        <v>283.5566</v>
      </c>
      <c r="J1168">
        <v>-281.6934</v>
      </c>
      <c r="K1168">
        <v>1.1110899999999999</v>
      </c>
      <c r="L1168">
        <v>283.54790000000003</v>
      </c>
      <c r="M1168">
        <v>-0.99990710000000005</v>
      </c>
      <c r="N1168">
        <v>0</v>
      </c>
      <c r="O1168">
        <v>-2.446045E-3</v>
      </c>
      <c r="P1168">
        <v>-0.98616020000000004</v>
      </c>
      <c r="Q1168">
        <v>0.15492510000000001</v>
      </c>
      <c r="R1168">
        <v>-5.9047799999999998E-2</v>
      </c>
      <c r="S1168">
        <v>-3.0915219999999999</v>
      </c>
      <c r="T1168">
        <v>-0.31160549999999998</v>
      </c>
      <c r="U1168">
        <v>2.5390630000000001E-2</v>
      </c>
      <c r="V1168">
        <v>-5.6839180000000003E-2</v>
      </c>
      <c r="W1168">
        <v>0.16807259999999999</v>
      </c>
      <c r="X1168">
        <v>0.98413459999999997</v>
      </c>
      <c r="Y1168">
        <v>1.0592809999999999E-2</v>
      </c>
      <c r="Z1168">
        <v>7.7842630000000002E-4</v>
      </c>
      <c r="AA1168">
        <v>0.99994360000000004</v>
      </c>
      <c r="AB1168">
        <v>27</v>
      </c>
      <c r="AC1168">
        <v>-0.60939999999999295</v>
      </c>
      <c r="AD1168">
        <v>-8.8192000000000006E-2</v>
      </c>
      <c r="AE1168">
        <v>8.6999999999761695E-3</v>
      </c>
      <c r="AF1168">
        <v>9.9817163139272504E-3</v>
      </c>
      <c r="AG1168">
        <v>-8.8192000000000006E-2</v>
      </c>
      <c r="AH1168">
        <v>0.59687859308128099</v>
      </c>
      <c r="AI1168">
        <v>98.403786668305997</v>
      </c>
      <c r="AJ1168">
        <v>89.041920889449003</v>
      </c>
      <c r="AK1168">
        <v>0.60344139599737501</v>
      </c>
      <c r="AL1168">
        <v>80.3242251945817</v>
      </c>
      <c r="AM1168">
        <v>93.305473961045394</v>
      </c>
      <c r="AN1168">
        <v>1.0000000010854899</v>
      </c>
    </row>
    <row r="1169" spans="1:40" x14ac:dyDescent="0.3">
      <c r="A1169" t="str">
        <f>"20200111150745902"</f>
        <v>20200111150745902</v>
      </c>
      <c r="B1169" t="str">
        <f>"1578726465892071"</f>
        <v>1578726465892071</v>
      </c>
      <c r="C1169" t="s">
        <v>40</v>
      </c>
      <c r="D1169">
        <v>5.3396480000000004</v>
      </c>
      <c r="E1169">
        <v>0.52476969999999901</v>
      </c>
      <c r="F1169" t="s">
        <v>41</v>
      </c>
      <c r="G1169">
        <v>-282.5437</v>
      </c>
      <c r="H1169">
        <v>1.0259180000000001</v>
      </c>
      <c r="I1169">
        <v>283.55470000000003</v>
      </c>
      <c r="J1169">
        <v>-281.85629999999998</v>
      </c>
      <c r="K1169">
        <v>1.111092</v>
      </c>
      <c r="L1169">
        <v>283.54700000000003</v>
      </c>
      <c r="M1169">
        <v>-0.99990610000000002</v>
      </c>
      <c r="N1169">
        <v>0</v>
      </c>
      <c r="O1169">
        <v>-2.8776639999999998E-3</v>
      </c>
      <c r="P1169">
        <v>-0.9859926</v>
      </c>
      <c r="Q1169">
        <v>0.15541759999999999</v>
      </c>
      <c r="R1169">
        <v>-6.0534780000000003E-2</v>
      </c>
      <c r="S1169">
        <v>-3.0922550000000002</v>
      </c>
      <c r="T1169">
        <v>-0.30981340000000002</v>
      </c>
      <c r="U1169">
        <v>2.444458E-2</v>
      </c>
      <c r="V1169">
        <v>-5.7901840000000003E-2</v>
      </c>
      <c r="W1169">
        <v>0.1685614</v>
      </c>
      <c r="X1169">
        <v>0.98398909999999995</v>
      </c>
      <c r="Y1169">
        <v>1.0714609999999999E-2</v>
      </c>
      <c r="Z1169">
        <v>8.2301589999999995E-4</v>
      </c>
      <c r="AA1169">
        <v>0.9999422</v>
      </c>
      <c r="AB1169">
        <v>27</v>
      </c>
      <c r="AC1169">
        <v>-0.68740000000002499</v>
      </c>
      <c r="AD1169">
        <v>-8.5173999999999805E-2</v>
      </c>
      <c r="AE1169">
        <v>7.6999999999998103E-3</v>
      </c>
      <c r="AF1169">
        <v>9.5319260153524793E-3</v>
      </c>
      <c r="AG1169">
        <v>-8.5173999999999805E-2</v>
      </c>
      <c r="AH1169">
        <v>0.67698254173543204</v>
      </c>
      <c r="AI1169">
        <v>97.170239550876502</v>
      </c>
      <c r="AJ1169">
        <v>89.193327727367205</v>
      </c>
      <c r="AK1169">
        <v>0.68238612947811905</v>
      </c>
      <c r="AL1169">
        <v>80.2958142330328</v>
      </c>
      <c r="AM1169">
        <v>93.367628648709697</v>
      </c>
      <c r="AN1169">
        <v>1.0000000587820701</v>
      </c>
    </row>
    <row r="1170" spans="1:40" x14ac:dyDescent="0.3">
      <c r="A1170" t="str">
        <f>"20200111150745922"</f>
        <v>20200111150745922</v>
      </c>
      <c r="B1170" t="str">
        <f>"1578726465912566"</f>
        <v>1578726465912566</v>
      </c>
      <c r="C1170" t="s">
        <v>40</v>
      </c>
      <c r="D1170">
        <v>5.3343099999999897</v>
      </c>
      <c r="E1170">
        <v>0.5242696</v>
      </c>
      <c r="F1170" t="s">
        <v>41</v>
      </c>
      <c r="G1170">
        <v>-282.77960000000002</v>
      </c>
      <c r="H1170">
        <v>1.0189999999999999</v>
      </c>
      <c r="I1170">
        <v>283.55360000000002</v>
      </c>
      <c r="J1170">
        <v>-282.09660000000002</v>
      </c>
      <c r="K1170">
        <v>1.1110979999999999</v>
      </c>
      <c r="L1170">
        <v>283.54559999999998</v>
      </c>
      <c r="M1170">
        <v>-0.99990400000000002</v>
      </c>
      <c r="N1170">
        <v>0</v>
      </c>
      <c r="O1170">
        <v>-3.5134739999999999E-3</v>
      </c>
      <c r="P1170">
        <v>-0.98569450000000003</v>
      </c>
      <c r="Q1170">
        <v>0.1562395</v>
      </c>
      <c r="R1170">
        <v>-6.321214E-2</v>
      </c>
      <c r="S1170">
        <v>-3.09259</v>
      </c>
      <c r="T1170">
        <v>-0.3086969</v>
      </c>
      <c r="U1170">
        <v>2.1026610000000001E-2</v>
      </c>
      <c r="V1170">
        <v>-5.9953480000000003E-2</v>
      </c>
      <c r="W1170">
        <v>0.16937639999999901</v>
      </c>
      <c r="X1170">
        <v>0.9837262</v>
      </c>
      <c r="Y1170">
        <v>1.024417E-2</v>
      </c>
      <c r="Z1170">
        <v>8.5987200000000002E-4</v>
      </c>
      <c r="AA1170">
        <v>0.99994709999999998</v>
      </c>
      <c r="AB1170">
        <v>27</v>
      </c>
      <c r="AC1170">
        <v>-0.68299999999999195</v>
      </c>
      <c r="AD1170">
        <v>-9.2097999999999805E-2</v>
      </c>
      <c r="AE1170">
        <v>8.0000000000381901E-3</v>
      </c>
      <c r="AF1170">
        <v>1.0214172903684799E-2</v>
      </c>
      <c r="AG1170">
        <v>-9.2097999999999805E-2</v>
      </c>
      <c r="AH1170">
        <v>0.67077286717477103</v>
      </c>
      <c r="AI1170">
        <v>97.817008875190396</v>
      </c>
      <c r="AJ1170">
        <v>89.127597730848905</v>
      </c>
      <c r="AK1170">
        <v>0.67714297623911701</v>
      </c>
      <c r="AL1170">
        <v>80.248436479964596</v>
      </c>
      <c r="AM1170">
        <v>93.487594228298406</v>
      </c>
      <c r="AN1170">
        <v>1.0000000106037501</v>
      </c>
    </row>
    <row r="1171" spans="1:40" x14ac:dyDescent="0.3">
      <c r="A1171" t="str">
        <f>"20200111150745935"</f>
        <v>20200111150745935</v>
      </c>
      <c r="B1171" t="str">
        <f>"1578726465932086"</f>
        <v>1578726465932086</v>
      </c>
      <c r="C1171" t="s">
        <v>40</v>
      </c>
      <c r="D1171">
        <v>5.4294469999999997</v>
      </c>
      <c r="E1171">
        <v>0.52389390000000002</v>
      </c>
      <c r="F1171" t="s">
        <v>41</v>
      </c>
      <c r="G1171">
        <v>-283.01960000000003</v>
      </c>
      <c r="H1171">
        <v>1.0208410000000001</v>
      </c>
      <c r="I1171">
        <v>283.54849999999999</v>
      </c>
      <c r="J1171">
        <v>-282.2559</v>
      </c>
      <c r="K1171">
        <v>1.1111</v>
      </c>
      <c r="L1171">
        <v>283.5446</v>
      </c>
      <c r="M1171">
        <v>-0.99990230000000002</v>
      </c>
      <c r="N1171">
        <v>0</v>
      </c>
      <c r="O1171">
        <v>-3.9355559999999998E-3</v>
      </c>
      <c r="P1171">
        <v>-0.98558489999999999</v>
      </c>
      <c r="Q1171">
        <v>0.1564159</v>
      </c>
      <c r="R1171">
        <v>-6.4470449999999999E-2</v>
      </c>
      <c r="S1171">
        <v>-3.0920719999999999</v>
      </c>
      <c r="T1171">
        <v>-0.302398</v>
      </c>
      <c r="U1171">
        <v>9.2468259999999997E-3</v>
      </c>
      <c r="V1171">
        <v>-6.0795950000000001E-2</v>
      </c>
      <c r="W1171">
        <v>0.169549799999999</v>
      </c>
      <c r="X1171">
        <v>0.98364459999999998</v>
      </c>
      <c r="Y1171">
        <v>6.8747749999999996E-3</v>
      </c>
      <c r="Z1171">
        <v>7.1937490000000004E-4</v>
      </c>
      <c r="AA1171">
        <v>0.99997610000000003</v>
      </c>
      <c r="AB1171">
        <v>27</v>
      </c>
      <c r="AC1171">
        <v>-0.76370000000002802</v>
      </c>
      <c r="AD1171">
        <v>-9.0259000000000006E-2</v>
      </c>
      <c r="AE1171">
        <v>3.8999999999873498E-3</v>
      </c>
      <c r="AF1171">
        <v>6.8106947284043299E-3</v>
      </c>
      <c r="AG1171">
        <v>-9.0259000000000006E-2</v>
      </c>
      <c r="AH1171">
        <v>0.75315885624486201</v>
      </c>
      <c r="AI1171">
        <v>96.833492501566496</v>
      </c>
      <c r="AJ1171">
        <v>89.481897578199806</v>
      </c>
      <c r="AK1171">
        <v>0.75857849652079701</v>
      </c>
      <c r="AL1171">
        <v>80.238355390669398</v>
      </c>
      <c r="AM1171">
        <v>93.536771229004898</v>
      </c>
      <c r="AN1171">
        <v>0.99999999066280099</v>
      </c>
    </row>
    <row r="1172" spans="1:40" x14ac:dyDescent="0.3">
      <c r="A1172" t="str">
        <f>"20200111150745955"</f>
        <v>20200111150745955</v>
      </c>
      <c r="B1172" t="str">
        <f>"1578726465952584"</f>
        <v>1578726465952584</v>
      </c>
      <c r="C1172" t="s">
        <v>40</v>
      </c>
      <c r="D1172">
        <v>5.3534319999999997</v>
      </c>
      <c r="E1172">
        <v>0.52401739999999997</v>
      </c>
      <c r="F1172" t="s">
        <v>41</v>
      </c>
      <c r="G1172">
        <v>-283.02690000000001</v>
      </c>
      <c r="H1172">
        <v>1.034181</v>
      </c>
      <c r="I1172">
        <v>283.54539999999997</v>
      </c>
      <c r="J1172">
        <v>-282.48250000000002</v>
      </c>
      <c r="K1172">
        <v>1.111102</v>
      </c>
      <c r="L1172">
        <v>283.54309999999998</v>
      </c>
      <c r="M1172">
        <v>-0.99989980000000001</v>
      </c>
      <c r="N1172">
        <v>0</v>
      </c>
      <c r="O1172">
        <v>-4.5352530000000004E-3</v>
      </c>
      <c r="P1172">
        <v>-0.98551679999999997</v>
      </c>
      <c r="Q1172">
        <v>0.156302</v>
      </c>
      <c r="R1172">
        <v>-6.5774680000000002E-2</v>
      </c>
      <c r="S1172">
        <v>-3.093048</v>
      </c>
      <c r="T1172">
        <v>-0.30871019999999999</v>
      </c>
      <c r="U1172">
        <v>2.9907229999999998E-3</v>
      </c>
      <c r="V1172">
        <v>-6.1508720000000003E-2</v>
      </c>
      <c r="W1172">
        <v>0.16943369999999999</v>
      </c>
      <c r="X1172">
        <v>0.9836203</v>
      </c>
      <c r="Y1172">
        <v>5.4529380000000001E-3</v>
      </c>
      <c r="Z1172">
        <v>7.2301979999999896E-4</v>
      </c>
      <c r="AA1172">
        <v>0.99998489999999995</v>
      </c>
      <c r="AB1172">
        <v>27</v>
      </c>
      <c r="AC1172">
        <v>-0.544399999999996</v>
      </c>
      <c r="AD1172">
        <v>-7.6921000000000003E-2</v>
      </c>
      <c r="AE1172">
        <v>2.29999999999108E-3</v>
      </c>
      <c r="AF1172">
        <v>4.6758419510866704E-3</v>
      </c>
      <c r="AG1172">
        <v>-7.6921000000000003E-2</v>
      </c>
      <c r="AH1172">
        <v>0.53372865118000901</v>
      </c>
      <c r="AI1172">
        <v>98.200691442644001</v>
      </c>
      <c r="AJ1172">
        <v>89.498061130391903</v>
      </c>
      <c r="AK1172">
        <v>0.53926336499838601</v>
      </c>
      <c r="AL1172">
        <v>80.245105159818394</v>
      </c>
      <c r="AM1172">
        <v>93.578217297862295</v>
      </c>
      <c r="AN1172">
        <v>0.99999999795190897</v>
      </c>
    </row>
    <row r="1173" spans="1:40" x14ac:dyDescent="0.3">
      <c r="A1173" t="str">
        <f>"20200111150745970"</f>
        <v>20200111150745970</v>
      </c>
      <c r="B1173" t="str">
        <f>"1578726465962343"</f>
        <v>1578726465962343</v>
      </c>
      <c r="C1173" t="s">
        <v>40</v>
      </c>
      <c r="D1173">
        <v>5.3295450000000004</v>
      </c>
      <c r="E1173">
        <v>0.52404620000000002</v>
      </c>
      <c r="F1173" t="s">
        <v>41</v>
      </c>
      <c r="G1173">
        <v>-283.2647</v>
      </c>
      <c r="H1173">
        <v>1.0330459999999999</v>
      </c>
      <c r="I1173">
        <v>283.54340000000002</v>
      </c>
      <c r="J1173">
        <v>-282.66289999999998</v>
      </c>
      <c r="K1173">
        <v>1.111102</v>
      </c>
      <c r="L1173">
        <v>283.54169999999999</v>
      </c>
      <c r="M1173">
        <v>-0.99989749999999999</v>
      </c>
      <c r="N1173">
        <v>0</v>
      </c>
      <c r="O1173">
        <v>-5.0128869999999997E-3</v>
      </c>
      <c r="P1173">
        <v>-0.98551049999999996</v>
      </c>
      <c r="Q1173">
        <v>0.15613299999999999</v>
      </c>
      <c r="R1173">
        <v>-6.6269999999999996E-2</v>
      </c>
      <c r="S1173">
        <v>-3.0931090000000001</v>
      </c>
      <c r="T1173">
        <v>-0.30897859999999899</v>
      </c>
      <c r="U1173">
        <v>3.6621089999999999E-4</v>
      </c>
      <c r="V1173">
        <v>-6.1532580000000003E-2</v>
      </c>
      <c r="W1173">
        <v>0.169264</v>
      </c>
      <c r="X1173">
        <v>0.98364799999999997</v>
      </c>
      <c r="Y1173">
        <v>5.0814909999999996E-3</v>
      </c>
      <c r="Z1173">
        <v>7.5272209999999997E-4</v>
      </c>
      <c r="AA1173">
        <v>0.99998679999999995</v>
      </c>
      <c r="AB1173">
        <v>27</v>
      </c>
      <c r="AC1173">
        <v>-0.60180000000002498</v>
      </c>
      <c r="AD1173">
        <v>-7.8056000000000098E-2</v>
      </c>
      <c r="AE1173">
        <v>1.7000000000280101E-3</v>
      </c>
      <c r="AF1173">
        <v>4.6389638435356201E-3</v>
      </c>
      <c r="AG1173">
        <v>-7.8056000000000098E-2</v>
      </c>
      <c r="AH1173">
        <v>0.59182756943503101</v>
      </c>
      <c r="AI1173">
        <v>97.513134328172796</v>
      </c>
      <c r="AJ1173">
        <v>89.550903641484098</v>
      </c>
      <c r="AK1173">
        <v>0.59697079582247403</v>
      </c>
      <c r="AL1173">
        <v>80.254970514854605</v>
      </c>
      <c r="AM1173">
        <v>93.579501183423005</v>
      </c>
      <c r="AN1173">
        <v>0.99999997400072704</v>
      </c>
    </row>
    <row r="1174" spans="1:40" x14ac:dyDescent="0.3">
      <c r="A1174" t="str">
        <f>"20200111150745989"</f>
        <v>20200111150745989</v>
      </c>
      <c r="B1174" t="str">
        <f>"1578726465981863"</f>
        <v>1578726465981863</v>
      </c>
      <c r="C1174" t="s">
        <v>40</v>
      </c>
      <c r="D1174">
        <v>5.4559749999999996</v>
      </c>
      <c r="E1174">
        <v>0.52355320000000005</v>
      </c>
      <c r="F1174" t="s">
        <v>41</v>
      </c>
      <c r="G1174">
        <v>-283.50040000000001</v>
      </c>
      <c r="H1174">
        <v>1.027547</v>
      </c>
      <c r="I1174">
        <v>283.54169999999999</v>
      </c>
      <c r="J1174">
        <v>-282.8974</v>
      </c>
      <c r="K1174">
        <v>1.111102</v>
      </c>
      <c r="L1174">
        <v>283.53980000000001</v>
      </c>
      <c r="M1174">
        <v>-0.99989430000000001</v>
      </c>
      <c r="N1174">
        <v>0</v>
      </c>
      <c r="O1174">
        <v>-5.6335589999999998E-3</v>
      </c>
      <c r="P1174">
        <v>-0.98562780000000005</v>
      </c>
      <c r="Q1174">
        <v>0.15539210000000001</v>
      </c>
      <c r="R1174">
        <v>-6.62663E-2</v>
      </c>
      <c r="S1174">
        <v>-3.0929869999999999</v>
      </c>
      <c r="T1174">
        <v>-0.30869000000000002</v>
      </c>
      <c r="U1174">
        <v>-6.1035159999999996E-4</v>
      </c>
      <c r="V1174">
        <v>-6.0915169999999998E-2</v>
      </c>
      <c r="W1174">
        <v>0.168524799999999</v>
      </c>
      <c r="X1174">
        <v>0.9838133</v>
      </c>
      <c r="Y1174">
        <v>5.3820069999999899E-3</v>
      </c>
      <c r="Z1174">
        <v>8.2880720000000005E-4</v>
      </c>
      <c r="AA1174">
        <v>0.99998520000000002</v>
      </c>
      <c r="AB1174">
        <v>27</v>
      </c>
      <c r="AC1174">
        <v>-0.60300000000000797</v>
      </c>
      <c r="AD1174">
        <v>-8.3555000000000004E-2</v>
      </c>
      <c r="AE1174">
        <v>1.8999999999778001E-3</v>
      </c>
      <c r="AF1174">
        <v>5.1975176796381396E-3</v>
      </c>
      <c r="AG1174">
        <v>-8.3555000000000004E-2</v>
      </c>
      <c r="AH1174">
        <v>0.59162048789660904</v>
      </c>
      <c r="AI1174">
        <v>98.038453256212307</v>
      </c>
      <c r="AJ1174">
        <v>89.496656772158303</v>
      </c>
      <c r="AK1174">
        <v>0.59751422904735196</v>
      </c>
      <c r="AL1174">
        <v>80.297940507211905</v>
      </c>
      <c r="AM1174">
        <v>93.543083022903105</v>
      </c>
      <c r="AN1174">
        <v>0.99999993770402695</v>
      </c>
    </row>
    <row r="1175" spans="1:40" x14ac:dyDescent="0.3">
      <c r="A1175" t="str">
        <f>"20200111150746003"</f>
        <v>20200111150746003</v>
      </c>
      <c r="B1175" t="str">
        <f>"1578726465992599"</f>
        <v>1578726465992599</v>
      </c>
      <c r="C1175" t="s">
        <v>40</v>
      </c>
      <c r="D1175">
        <v>5.376519</v>
      </c>
      <c r="E1175">
        <v>0.49161850000000001</v>
      </c>
      <c r="F1175" t="s">
        <v>41</v>
      </c>
      <c r="G1175">
        <v>-283.7389</v>
      </c>
      <c r="H1175">
        <v>1.0275620000000001</v>
      </c>
      <c r="I1175">
        <v>283.53890000000001</v>
      </c>
      <c r="J1175">
        <v>-283.0607</v>
      </c>
      <c r="K1175">
        <v>1.111102</v>
      </c>
      <c r="L1175">
        <v>283.53840000000002</v>
      </c>
      <c r="M1175">
        <v>-0.99989170000000005</v>
      </c>
      <c r="N1175">
        <v>0</v>
      </c>
      <c r="O1175">
        <v>-6.0656590000000002E-3</v>
      </c>
      <c r="P1175">
        <v>-0.98570630000000004</v>
      </c>
      <c r="Q1175">
        <v>0.1548136</v>
      </c>
      <c r="R1175">
        <v>-6.6449980000000006E-2</v>
      </c>
      <c r="S1175">
        <v>-3.0918580000000002</v>
      </c>
      <c r="T1175">
        <v>-0.30722080000000002</v>
      </c>
      <c r="U1175">
        <v>-4.272461E-3</v>
      </c>
      <c r="V1175">
        <v>-6.0671660000000002E-2</v>
      </c>
      <c r="W1175">
        <v>0.16794709999999999</v>
      </c>
      <c r="X1175">
        <v>0.9839272</v>
      </c>
      <c r="Y1175">
        <v>4.6317009999999898E-3</v>
      </c>
      <c r="Z1175">
        <v>8.3082890000000002E-4</v>
      </c>
      <c r="AA1175">
        <v>0.99998889999999996</v>
      </c>
      <c r="AB1175">
        <v>27</v>
      </c>
      <c r="AC1175">
        <v>-0.67820000000000302</v>
      </c>
      <c r="AD1175">
        <v>-8.3539999999999906E-2</v>
      </c>
      <c r="AE1175">
        <v>4.9999999998817603E-4</v>
      </c>
      <c r="AF1175">
        <v>4.5451271199668996E-3</v>
      </c>
      <c r="AG1175">
        <v>-8.3539999999999906E-2</v>
      </c>
      <c r="AH1175">
        <v>0.66804815450658195</v>
      </c>
      <c r="AI1175">
        <v>97.127722611451901</v>
      </c>
      <c r="AJ1175">
        <v>89.610188903973693</v>
      </c>
      <c r="AK1175">
        <v>0.673266608796387</v>
      </c>
      <c r="AL1175">
        <v>80.331519557071999</v>
      </c>
      <c r="AM1175">
        <v>93.528547837815097</v>
      </c>
      <c r="AN1175">
        <v>1.0000000068127</v>
      </c>
    </row>
    <row r="1176" spans="1:40" x14ac:dyDescent="0.3">
      <c r="A1176" t="str">
        <f>"20200111150746022"</f>
        <v>20200111150746022</v>
      </c>
      <c r="B1176" t="str">
        <f>"1578726466012121"</f>
        <v>1578726466012121</v>
      </c>
      <c r="C1176" t="s">
        <v>40</v>
      </c>
      <c r="D1176">
        <v>5.3641930000000002</v>
      </c>
      <c r="E1176">
        <v>0.49040509999999898</v>
      </c>
      <c r="F1176" t="s">
        <v>58</v>
      </c>
      <c r="G1176">
        <v>-299.57459999999998</v>
      </c>
      <c r="H1176" s="1">
        <v>4.1209650000000001E-6</v>
      </c>
      <c r="I1176">
        <v>282.13589999999999</v>
      </c>
      <c r="J1176">
        <v>-283.29289999999997</v>
      </c>
      <c r="K1176">
        <v>1.1110930000000001</v>
      </c>
      <c r="L1176">
        <v>283.53629999999998</v>
      </c>
      <c r="M1176">
        <v>-0.99988790000000005</v>
      </c>
      <c r="N1176">
        <v>0</v>
      </c>
      <c r="O1176">
        <v>-6.6801369999999896E-3</v>
      </c>
      <c r="P1176">
        <v>-0.98585659999999997</v>
      </c>
      <c r="Q1176">
        <v>0.15435869999999999</v>
      </c>
      <c r="R1176">
        <v>-6.5271949999999995E-2</v>
      </c>
      <c r="S1176">
        <v>-3.0582889999999998</v>
      </c>
      <c r="T1176">
        <v>-0.20576990000000001</v>
      </c>
      <c r="U1176">
        <v>-0.2597351</v>
      </c>
      <c r="V1176">
        <v>-5.888579E-2</v>
      </c>
      <c r="W1176">
        <v>0.167495799999999</v>
      </c>
      <c r="X1176">
        <v>0.9841126</v>
      </c>
      <c r="Y1176">
        <v>-7.7805310000000003E-2</v>
      </c>
      <c r="Z1176">
        <v>-2.1616859999999999E-3</v>
      </c>
      <c r="AA1176">
        <v>0.99696620000000002</v>
      </c>
      <c r="AB1176">
        <v>27</v>
      </c>
      <c r="AC1176">
        <v>-16.281700000000001</v>
      </c>
      <c r="AD1176">
        <v>-1.111088879035</v>
      </c>
      <c r="AE1176">
        <v>-1.4003999999999901</v>
      </c>
      <c r="AF1176">
        <v>-1.28565179379176</v>
      </c>
      <c r="AG1176">
        <v>-1.111088879035</v>
      </c>
      <c r="AH1176">
        <v>16.215731654278599</v>
      </c>
      <c r="AI1176">
        <v>93.907510242503704</v>
      </c>
      <c r="AJ1176">
        <v>94.533169131593795</v>
      </c>
      <c r="AK1176">
        <v>16.304519990345302</v>
      </c>
      <c r="AL1176">
        <v>80.357748572180597</v>
      </c>
      <c r="AM1176">
        <v>93.424292325621295</v>
      </c>
      <c r="AN1176">
        <v>0.99999999438016196</v>
      </c>
    </row>
    <row r="1177" spans="1:40" x14ac:dyDescent="0.3">
      <c r="A1177" t="str">
        <f>"20200111150746035"</f>
        <v>20200111150746035</v>
      </c>
      <c r="B1177" t="str">
        <f>"1578726466032614"</f>
        <v>1578726466032614</v>
      </c>
      <c r="C1177" t="s">
        <v>40</v>
      </c>
      <c r="D1177">
        <v>5.2925800000000001</v>
      </c>
      <c r="E1177">
        <v>0.48789379999999999</v>
      </c>
      <c r="F1177" t="s">
        <v>58</v>
      </c>
      <c r="G1177">
        <v>-299.22039999999998</v>
      </c>
      <c r="H1177" s="1">
        <v>4.0563450000000002E-6</v>
      </c>
      <c r="I1177">
        <v>282.15640000000002</v>
      </c>
      <c r="J1177">
        <v>-283.44499999999999</v>
      </c>
      <c r="K1177">
        <v>1.1110930000000001</v>
      </c>
      <c r="L1177">
        <v>283.53489999999999</v>
      </c>
      <c r="M1177">
        <v>-0.99988509999999997</v>
      </c>
      <c r="N1177">
        <v>0</v>
      </c>
      <c r="O1177">
        <v>-7.0829119999999898E-3</v>
      </c>
      <c r="P1177">
        <v>-0.98597579999999996</v>
      </c>
      <c r="Q1177">
        <v>0.15404029999999999</v>
      </c>
      <c r="R1177">
        <v>-6.4216079999999995E-2</v>
      </c>
      <c r="S1177">
        <v>-3.058929</v>
      </c>
      <c r="T1177">
        <v>-0.2133883</v>
      </c>
      <c r="U1177">
        <v>-0.26501459999999999</v>
      </c>
      <c r="V1177">
        <v>-5.7430839999999997E-2</v>
      </c>
      <c r="W1177">
        <v>0.16717989999999999</v>
      </c>
      <c r="X1177">
        <v>0.98425229999999997</v>
      </c>
      <c r="Y1177">
        <v>-7.9080170000000005E-2</v>
      </c>
      <c r="Z1177">
        <v>-2.2572199999999999E-3</v>
      </c>
      <c r="AA1177">
        <v>0.99686569999999997</v>
      </c>
      <c r="AB1177">
        <v>27</v>
      </c>
      <c r="AC1177">
        <v>-15.7753999999999</v>
      </c>
      <c r="AD1177">
        <v>-1.111088943655</v>
      </c>
      <c r="AE1177">
        <v>-1.3784999999999701</v>
      </c>
      <c r="AF1177">
        <v>-1.26051404865304</v>
      </c>
      <c r="AG1177">
        <v>-1.111088943655</v>
      </c>
      <c r="AH1177">
        <v>15.707440538326701</v>
      </c>
      <c r="AI1177">
        <v>94.033238668089098</v>
      </c>
      <c r="AJ1177">
        <v>94.588124638930907</v>
      </c>
      <c r="AK1177">
        <v>15.7970599344509</v>
      </c>
      <c r="AL1177">
        <v>80.376107277645602</v>
      </c>
      <c r="AM1177">
        <v>93.339405891000098</v>
      </c>
      <c r="AN1177">
        <v>1.0000000052011999</v>
      </c>
    </row>
    <row r="1178" spans="1:40" x14ac:dyDescent="0.3">
      <c r="A1178" t="str">
        <f>"20200111150746055"</f>
        <v>20200111150746055</v>
      </c>
      <c r="B1178" t="str">
        <f>"1578726466052135"</f>
        <v>1578726466052135</v>
      </c>
      <c r="C1178" t="s">
        <v>40</v>
      </c>
      <c r="D1178">
        <v>5.2500650000000002</v>
      </c>
      <c r="E1178">
        <v>0.48915760000000003</v>
      </c>
      <c r="F1178" t="s">
        <v>58</v>
      </c>
      <c r="G1178">
        <v>-301.76479999999998</v>
      </c>
      <c r="H1178" s="1">
        <v>3.8939619999999997E-6</v>
      </c>
      <c r="I1178">
        <v>281.84350000000001</v>
      </c>
      <c r="J1178">
        <v>-283.67919999999998</v>
      </c>
      <c r="K1178">
        <v>1.1110869999999999</v>
      </c>
      <c r="L1178">
        <v>283.5326</v>
      </c>
      <c r="M1178">
        <v>-0.99988060000000001</v>
      </c>
      <c r="N1178">
        <v>0</v>
      </c>
      <c r="O1178">
        <v>-7.70287199999999E-3</v>
      </c>
      <c r="P1178">
        <v>-0.98619970000000001</v>
      </c>
      <c r="Q1178">
        <v>0.15344929999999901</v>
      </c>
      <c r="R1178">
        <v>-6.215905E-2</v>
      </c>
      <c r="S1178">
        <v>-3.0532840000000001</v>
      </c>
      <c r="T1178">
        <v>-0.1851807</v>
      </c>
      <c r="U1178">
        <v>-0.2818909</v>
      </c>
      <c r="V1178">
        <v>-5.476002E-2</v>
      </c>
      <c r="W1178">
        <v>0.16659450000000001</v>
      </c>
      <c r="X1178">
        <v>0.98450369999999998</v>
      </c>
      <c r="Y1178">
        <v>-8.4120009999999995E-2</v>
      </c>
      <c r="Z1178">
        <v>-2.077434E-3</v>
      </c>
      <c r="AA1178">
        <v>0.99645349999999999</v>
      </c>
      <c r="AB1178">
        <v>27</v>
      </c>
      <c r="AC1178">
        <v>-18.085599999999999</v>
      </c>
      <c r="AD1178">
        <v>-1.111083106038</v>
      </c>
      <c r="AE1178">
        <v>-1.6890999999999901</v>
      </c>
      <c r="AF1178">
        <v>-1.5439494994160401</v>
      </c>
      <c r="AG1178">
        <v>-1.111083106038</v>
      </c>
      <c r="AH1178">
        <v>18.030612385290201</v>
      </c>
      <c r="AI1178">
        <v>93.513399054617295</v>
      </c>
      <c r="AJ1178">
        <v>94.894261077586904</v>
      </c>
      <c r="AK1178">
        <v>18.130672042531899</v>
      </c>
      <c r="AL1178">
        <v>80.410124870893696</v>
      </c>
      <c r="AM1178">
        <v>93.183622779033598</v>
      </c>
      <c r="AN1178">
        <v>0.99999996126716895</v>
      </c>
    </row>
    <row r="1179" spans="1:40" x14ac:dyDescent="0.3">
      <c r="A1179" t="str">
        <f>"20200111150746069"</f>
        <v>20200111150746069</v>
      </c>
      <c r="B1179" t="str">
        <f>"1578726466061895"</f>
        <v>1578726466061895</v>
      </c>
      <c r="C1179" t="s">
        <v>40</v>
      </c>
      <c r="D1179">
        <v>5.1983759999999997</v>
      </c>
      <c r="E1179">
        <v>0.48971680000000001</v>
      </c>
      <c r="F1179" t="s">
        <v>58</v>
      </c>
      <c r="G1179">
        <v>-303.00909999999999</v>
      </c>
      <c r="H1179" s="1">
        <v>3.6726889999999999E-6</v>
      </c>
      <c r="I1179">
        <v>281.84989999999999</v>
      </c>
      <c r="J1179">
        <v>-283.84780000000001</v>
      </c>
      <c r="K1179">
        <v>1.111086</v>
      </c>
      <c r="L1179">
        <v>283.53070000000002</v>
      </c>
      <c r="M1179">
        <v>-0.99987709999999996</v>
      </c>
      <c r="N1179">
        <v>0</v>
      </c>
      <c r="O1179">
        <v>-8.1492709999999996E-3</v>
      </c>
      <c r="P1179">
        <v>-0.98630229999999997</v>
      </c>
      <c r="Q1179">
        <v>0.1530878</v>
      </c>
      <c r="R1179">
        <v>-6.141688E-2</v>
      </c>
      <c r="S1179">
        <v>-3.052521</v>
      </c>
      <c r="T1179">
        <v>-0.17545959999999999</v>
      </c>
      <c r="U1179">
        <v>-0.26571660000000002</v>
      </c>
      <c r="V1179">
        <v>-5.3575579999999998E-2</v>
      </c>
      <c r="W1179">
        <v>0.166235299999999</v>
      </c>
      <c r="X1179">
        <v>0.98462959999999999</v>
      </c>
      <c r="Y1179">
        <v>-7.8482930000000006E-2</v>
      </c>
      <c r="Z1179">
        <v>-1.7823540000000001E-3</v>
      </c>
      <c r="AA1179">
        <v>0.99691390000000002</v>
      </c>
      <c r="AB1179">
        <v>27</v>
      </c>
      <c r="AC1179">
        <v>-19.161299999999901</v>
      </c>
      <c r="AD1179">
        <v>-1.111082327311</v>
      </c>
      <c r="AE1179">
        <v>-1.68080000000003</v>
      </c>
      <c r="AF1179">
        <v>-1.51950943857511</v>
      </c>
      <c r="AG1179">
        <v>-1.111082327311</v>
      </c>
      <c r="AH1179">
        <v>19.110596332378002</v>
      </c>
      <c r="AI1179">
        <v>93.316962656311802</v>
      </c>
      <c r="AJ1179">
        <v>94.546101015882002</v>
      </c>
      <c r="AK1179">
        <v>19.203080613565099</v>
      </c>
      <c r="AL1179">
        <v>80.430996768769901</v>
      </c>
      <c r="AM1179">
        <v>93.114501728999699</v>
      </c>
      <c r="AN1179">
        <v>0.99999998346729302</v>
      </c>
    </row>
    <row r="1180" spans="1:40" x14ac:dyDescent="0.3">
      <c r="A1180" t="str">
        <f>"20200111150746082"</f>
        <v>20200111150746082</v>
      </c>
      <c r="B1180" t="str">
        <f>"1578726466072161"</f>
        <v>1578726466072161</v>
      </c>
      <c r="C1180" t="s">
        <v>40</v>
      </c>
      <c r="D1180">
        <v>5.2172269999999896</v>
      </c>
      <c r="E1180">
        <v>0.49002089999999998</v>
      </c>
      <c r="F1180" t="s">
        <v>58</v>
      </c>
      <c r="G1180">
        <v>-302.92450000000002</v>
      </c>
      <c r="H1180" s="1">
        <v>3.6822270000000002E-6</v>
      </c>
      <c r="I1180">
        <v>281.91239999999999</v>
      </c>
      <c r="J1180">
        <v>-284.00540000000001</v>
      </c>
      <c r="K1180">
        <v>1.111084</v>
      </c>
      <c r="L1180">
        <v>283.529</v>
      </c>
      <c r="M1180">
        <v>-0.99987360000000003</v>
      </c>
      <c r="N1180">
        <v>0</v>
      </c>
      <c r="O1180">
        <v>-8.5671789999999994E-3</v>
      </c>
      <c r="P1180">
        <v>-0.98635799999999996</v>
      </c>
      <c r="Q1180">
        <v>0.15288589999999999</v>
      </c>
      <c r="R1180">
        <v>-6.1021699999999998E-2</v>
      </c>
      <c r="S1180">
        <v>-3.053131</v>
      </c>
      <c r="T1180">
        <v>-0.17782310000000001</v>
      </c>
      <c r="U1180">
        <v>-0.25900269999999997</v>
      </c>
      <c r="V1180">
        <v>-5.2767000000000001E-2</v>
      </c>
      <c r="W1180">
        <v>0.1660346</v>
      </c>
      <c r="X1180">
        <v>0.9847072</v>
      </c>
      <c r="Y1180">
        <v>-7.5874609999999995E-2</v>
      </c>
      <c r="Z1180">
        <v>-1.706101E-3</v>
      </c>
      <c r="AA1180">
        <v>0.99711590000000005</v>
      </c>
      <c r="AB1180">
        <v>27</v>
      </c>
      <c r="AC1180">
        <v>-18.9191</v>
      </c>
      <c r="AD1180">
        <v>-1.111080317773</v>
      </c>
      <c r="AE1180">
        <v>-1.6166</v>
      </c>
      <c r="AF1180">
        <v>-1.44947982363636</v>
      </c>
      <c r="AG1180">
        <v>-1.111080317773</v>
      </c>
      <c r="AH1180">
        <v>18.867654138924902</v>
      </c>
      <c r="AI1180">
        <v>93.3602690228212</v>
      </c>
      <c r="AJ1180">
        <v>94.393035334152003</v>
      </c>
      <c r="AK1180">
        <v>18.9558398373103</v>
      </c>
      <c r="AL1180">
        <v>80.442658800381196</v>
      </c>
      <c r="AM1180">
        <v>93.067345840674605</v>
      </c>
      <c r="AN1180">
        <v>1.00000005720899</v>
      </c>
    </row>
    <row r="1181" spans="1:40" x14ac:dyDescent="0.3">
      <c r="A1181" t="str">
        <f>"20200111150746101"</f>
        <v>20200111150746101</v>
      </c>
      <c r="B1181" t="str">
        <f>"1578726466092657"</f>
        <v>1578726466092657</v>
      </c>
      <c r="C1181" t="s">
        <v>40</v>
      </c>
      <c r="D1181">
        <v>5.3214629999999996</v>
      </c>
      <c r="E1181">
        <v>0.48990919999999999</v>
      </c>
      <c r="F1181" t="s">
        <v>58</v>
      </c>
      <c r="G1181">
        <v>-303.45440000000002</v>
      </c>
      <c r="H1181" s="1">
        <v>3.5892240000000001E-6</v>
      </c>
      <c r="I1181">
        <v>281.90100000000001</v>
      </c>
      <c r="J1181">
        <v>-284.2312</v>
      </c>
      <c r="K1181">
        <v>1.1110819999999999</v>
      </c>
      <c r="L1181">
        <v>283.52640000000002</v>
      </c>
      <c r="M1181">
        <v>-0.99986819999999998</v>
      </c>
      <c r="N1181">
        <v>0</v>
      </c>
      <c r="O1181">
        <v>-9.1659129999999995E-3</v>
      </c>
      <c r="P1181">
        <v>-0.98640559999999999</v>
      </c>
      <c r="Q1181">
        <v>0.15283949999999999</v>
      </c>
      <c r="R1181">
        <v>-6.0367820000000003E-2</v>
      </c>
      <c r="S1181">
        <v>-3.0527039999999999</v>
      </c>
      <c r="T1181">
        <v>-0.17439449999999901</v>
      </c>
      <c r="U1181">
        <v>-0.25552370000000002</v>
      </c>
      <c r="V1181">
        <v>-5.1521190000000001E-2</v>
      </c>
      <c r="W1181">
        <v>0.16598940000000001</v>
      </c>
      <c r="X1181">
        <v>0.98478069999999895</v>
      </c>
      <c r="Y1181">
        <v>-7.416884E-2</v>
      </c>
      <c r="Z1181">
        <v>-1.590859E-3</v>
      </c>
      <c r="AA1181">
        <v>0.99724440000000003</v>
      </c>
      <c r="AB1181">
        <v>27</v>
      </c>
      <c r="AC1181">
        <v>-19.223199999999999</v>
      </c>
      <c r="AD1181">
        <v>-1.1110784107759999</v>
      </c>
      <c r="AE1181">
        <v>-1.6254000000000099</v>
      </c>
      <c r="AF1181">
        <v>-1.44432688964899</v>
      </c>
      <c r="AG1181">
        <v>-1.1110784107759999</v>
      </c>
      <c r="AH1181">
        <v>19.1736929954948</v>
      </c>
      <c r="AI1181">
        <v>93.307121872571898</v>
      </c>
      <c r="AJ1181">
        <v>94.3078732852222</v>
      </c>
      <c r="AK1181">
        <v>19.260090303125299</v>
      </c>
      <c r="AL1181">
        <v>80.445284175339594</v>
      </c>
      <c r="AM1181">
        <v>92.994837212403098</v>
      </c>
      <c r="AN1181">
        <v>0.99999997051193201</v>
      </c>
    </row>
    <row r="1182" spans="1:40" x14ac:dyDescent="0.3">
      <c r="A1182" t="str">
        <f>"20200111150746116"</f>
        <v>20200111150746116</v>
      </c>
      <c r="B1182" t="str">
        <f>"1578726466112177"</f>
        <v>1578726466112177</v>
      </c>
      <c r="C1182" t="s">
        <v>40</v>
      </c>
      <c r="D1182">
        <v>5.3100500000000004</v>
      </c>
      <c r="E1182">
        <v>0.49000549999999998</v>
      </c>
      <c r="F1182" t="s">
        <v>58</v>
      </c>
      <c r="G1182">
        <v>-303.82490000000001</v>
      </c>
      <c r="H1182" s="1">
        <v>3.5243470000000001E-6</v>
      </c>
      <c r="I1182">
        <v>281.89139999999998</v>
      </c>
      <c r="J1182">
        <v>-284.3972</v>
      </c>
      <c r="K1182">
        <v>1.1110799999999901</v>
      </c>
      <c r="L1182">
        <v>283.52440000000001</v>
      </c>
      <c r="M1182">
        <v>-0.99986419999999998</v>
      </c>
      <c r="N1182">
        <v>0</v>
      </c>
      <c r="O1182">
        <v>-9.6057620000000003E-3</v>
      </c>
      <c r="P1182">
        <v>-0.98641590000000001</v>
      </c>
      <c r="Q1182">
        <v>0.15283429999999901</v>
      </c>
      <c r="R1182">
        <v>-6.0216480000000003E-2</v>
      </c>
      <c r="S1182">
        <v>-3.0525820000000001</v>
      </c>
      <c r="T1182">
        <v>-0.17309929999999901</v>
      </c>
      <c r="U1182">
        <v>-0.25473020000000002</v>
      </c>
      <c r="V1182">
        <v>-5.0935649999999999E-2</v>
      </c>
      <c r="W1182">
        <v>0.16598470000000001</v>
      </c>
      <c r="X1182">
        <v>0.98481200000000002</v>
      </c>
      <c r="Y1182">
        <v>-7.3479370000000002E-2</v>
      </c>
      <c r="Z1182">
        <v>-1.5347689999999901E-3</v>
      </c>
      <c r="AA1182">
        <v>0.99729559999999995</v>
      </c>
      <c r="AB1182">
        <v>27</v>
      </c>
      <c r="AC1182">
        <v>-19.427700000000002</v>
      </c>
      <c r="AD1182">
        <v>-1.1110764756529901</v>
      </c>
      <c r="AE1182">
        <v>-1.63300000000003</v>
      </c>
      <c r="AF1182">
        <v>-1.4416080144058501</v>
      </c>
      <c r="AG1182">
        <v>-1.1110764756529901</v>
      </c>
      <c r="AH1182">
        <v>19.379550484145501</v>
      </c>
      <c r="AI1182">
        <v>93.272291913301004</v>
      </c>
      <c r="AJ1182">
        <v>94.254288780579799</v>
      </c>
      <c r="AK1182">
        <v>19.464832431066299</v>
      </c>
      <c r="AL1182">
        <v>80.445557713667995</v>
      </c>
      <c r="AM1182">
        <v>92.960767763999698</v>
      </c>
      <c r="AN1182">
        <v>1.0000000182094999</v>
      </c>
    </row>
    <row r="1183" spans="1:40" x14ac:dyDescent="0.3">
      <c r="A1183" t="str">
        <f>"20200111150746134"</f>
        <v>20200111150746134</v>
      </c>
      <c r="B1183" t="str">
        <f>"1578726466132673"</f>
        <v>1578726466132673</v>
      </c>
      <c r="C1183" t="s">
        <v>40</v>
      </c>
      <c r="D1183">
        <v>5.3077670000000001</v>
      </c>
      <c r="E1183">
        <v>0.49054950000000003</v>
      </c>
      <c r="F1183" t="s">
        <v>58</v>
      </c>
      <c r="G1183">
        <v>-303.976</v>
      </c>
      <c r="H1183" s="1">
        <v>3.496955E-6</v>
      </c>
      <c r="I1183">
        <v>281.8981</v>
      </c>
      <c r="J1183">
        <v>-284.61779999999999</v>
      </c>
      <c r="K1183">
        <v>1.1110819999999999</v>
      </c>
      <c r="L1183">
        <v>283.52159999999998</v>
      </c>
      <c r="M1183">
        <v>-0.99985849999999998</v>
      </c>
      <c r="N1183">
        <v>0</v>
      </c>
      <c r="O1183">
        <v>-1.0190680000000001E-2</v>
      </c>
      <c r="P1183">
        <v>-0.98650559999999998</v>
      </c>
      <c r="Q1183">
        <v>0.1526026</v>
      </c>
      <c r="R1183">
        <v>-5.9323340000000002E-2</v>
      </c>
      <c r="S1183">
        <v>-3.052673</v>
      </c>
      <c r="T1183">
        <v>-0.17323529999999901</v>
      </c>
      <c r="U1183">
        <v>-0.25357059999999998</v>
      </c>
      <c r="V1183">
        <v>-4.9463939999999998E-2</v>
      </c>
      <c r="W1183">
        <v>0.16575519999999999</v>
      </c>
      <c r="X1183">
        <v>0.98492559999999996</v>
      </c>
      <c r="Y1183">
        <v>-7.2519509999999995E-2</v>
      </c>
      <c r="Z1183">
        <v>-1.4756789999999999E-3</v>
      </c>
      <c r="AA1183">
        <v>0.99736590000000003</v>
      </c>
      <c r="AB1183">
        <v>27</v>
      </c>
      <c r="AC1183">
        <v>-19.3582</v>
      </c>
      <c r="AD1183">
        <v>-1.1110785030450001</v>
      </c>
      <c r="AE1183">
        <v>-1.62349999999997</v>
      </c>
      <c r="AF1183">
        <v>-1.4214747704163699</v>
      </c>
      <c r="AG1183">
        <v>-1.1110785030450001</v>
      </c>
      <c r="AH1183">
        <v>19.310570694364198</v>
      </c>
      <c r="AI1183">
        <v>93.284148750543693</v>
      </c>
      <c r="AJ1183">
        <v>94.210019337737705</v>
      </c>
      <c r="AK1183">
        <v>19.394670054035402</v>
      </c>
      <c r="AL1183">
        <v>80.458891171791393</v>
      </c>
      <c r="AM1183">
        <v>92.875035380416904</v>
      </c>
      <c r="AN1183">
        <v>0.99999995261135999</v>
      </c>
    </row>
    <row r="1184" spans="1:40" x14ac:dyDescent="0.3">
      <c r="A1184" t="str">
        <f>"20200111150746149"</f>
        <v>20200111150746149</v>
      </c>
      <c r="B1184" t="str">
        <f>"1578726466142433"</f>
        <v>1578726466142433</v>
      </c>
      <c r="C1184" t="s">
        <v>40</v>
      </c>
      <c r="D1184">
        <v>5.3040279999999997</v>
      </c>
      <c r="E1184">
        <v>0.49026769999999997</v>
      </c>
      <c r="F1184" t="s">
        <v>58</v>
      </c>
      <c r="G1184">
        <v>-303.40410000000003</v>
      </c>
      <c r="H1184" s="1">
        <v>3.5892439999999998E-6</v>
      </c>
      <c r="I1184">
        <v>282.00279999999998</v>
      </c>
      <c r="J1184">
        <v>-284.78680000000003</v>
      </c>
      <c r="K1184">
        <v>1.1110789999999999</v>
      </c>
      <c r="L1184">
        <v>283.51940000000002</v>
      </c>
      <c r="M1184">
        <v>-0.99985360000000001</v>
      </c>
      <c r="N1184">
        <v>0</v>
      </c>
      <c r="O1184">
        <v>-1.0638389999999999E-2</v>
      </c>
      <c r="P1184">
        <v>-0.98650349999999998</v>
      </c>
      <c r="Q1184">
        <v>0.1527375</v>
      </c>
      <c r="R1184">
        <v>-5.9008409999999997E-2</v>
      </c>
      <c r="S1184">
        <v>-3.054138</v>
      </c>
      <c r="T1184">
        <v>-0.1806304</v>
      </c>
      <c r="U1184">
        <v>-0.24691769999999999</v>
      </c>
      <c r="V1184">
        <v>-4.8706670000000001E-2</v>
      </c>
      <c r="W1184">
        <v>0.16589019999999999</v>
      </c>
      <c r="X1184">
        <v>0.98494060000000005</v>
      </c>
      <c r="Y1184">
        <v>-6.9871899999999904E-2</v>
      </c>
      <c r="Z1184">
        <v>-1.4334599999999999E-3</v>
      </c>
      <c r="AA1184">
        <v>0.99755499999999997</v>
      </c>
      <c r="AB1184">
        <v>27</v>
      </c>
      <c r="AC1184">
        <v>-18.6173</v>
      </c>
      <c r="AD1184">
        <v>-1.1110754107559999</v>
      </c>
      <c r="AE1184">
        <v>-1.5166000000000299</v>
      </c>
      <c r="AF1184">
        <v>-1.31378983616829</v>
      </c>
      <c r="AG1184">
        <v>-1.1110754107559999</v>
      </c>
      <c r="AH1184">
        <v>18.566689419538498</v>
      </c>
      <c r="AI1184">
        <v>93.416111975827107</v>
      </c>
      <c r="AJ1184">
        <v>94.047536549121503</v>
      </c>
      <c r="AK1184">
        <v>18.646245957393301</v>
      </c>
      <c r="AL1184">
        <v>80.451047548426004</v>
      </c>
      <c r="AM1184">
        <v>92.831049039196103</v>
      </c>
      <c r="AN1184">
        <v>0.99999994184344199</v>
      </c>
    </row>
    <row r="1185" spans="1:40" x14ac:dyDescent="0.3">
      <c r="A1185" t="str">
        <f>"20200111150746168"</f>
        <v>20200111150746168</v>
      </c>
      <c r="B1185" t="str">
        <f>"1578726466161953"</f>
        <v>1578726466161953</v>
      </c>
      <c r="C1185" t="s">
        <v>40</v>
      </c>
      <c r="D1185">
        <v>5.2656830000000001</v>
      </c>
      <c r="E1185">
        <v>0.48981789999999997</v>
      </c>
      <c r="F1185" t="s">
        <v>58</v>
      </c>
      <c r="G1185">
        <v>-303.47239999999999</v>
      </c>
      <c r="H1185" s="1">
        <v>3.5773379999999998E-6</v>
      </c>
      <c r="I1185">
        <v>282.00040000000001</v>
      </c>
      <c r="J1185">
        <v>-285.02030000000002</v>
      </c>
      <c r="K1185">
        <v>1.111084</v>
      </c>
      <c r="L1185">
        <v>283.51620000000003</v>
      </c>
      <c r="M1185">
        <v>-0.99984689999999998</v>
      </c>
      <c r="N1185">
        <v>0</v>
      </c>
      <c r="O1185">
        <v>-1.1257039999999999E-2</v>
      </c>
      <c r="P1185">
        <v>-0.98648630000000004</v>
      </c>
      <c r="Q1185">
        <v>0.1528996</v>
      </c>
      <c r="R1185">
        <v>-5.8877249999999999E-2</v>
      </c>
      <c r="S1185">
        <v>-3.0543209999999998</v>
      </c>
      <c r="T1185">
        <v>-0.18161450000000001</v>
      </c>
      <c r="U1185">
        <v>-0.24829100000000001</v>
      </c>
      <c r="V1185">
        <v>-4.7965149999999998E-2</v>
      </c>
      <c r="W1185">
        <v>0.1660519</v>
      </c>
      <c r="X1185">
        <v>0.98494979999999999</v>
      </c>
      <c r="Y1185">
        <v>-6.9695759999999995E-2</v>
      </c>
      <c r="Z1185">
        <v>-1.3992340000000001E-3</v>
      </c>
      <c r="AA1185">
        <v>0.99756730000000005</v>
      </c>
      <c r="AB1185">
        <v>27</v>
      </c>
      <c r="AC1185">
        <v>-18.452099999999898</v>
      </c>
      <c r="AD1185">
        <v>-1.1110804226619999</v>
      </c>
      <c r="AE1185">
        <v>-1.51580000000001</v>
      </c>
      <c r="AF1185">
        <v>-1.3032755758785499</v>
      </c>
      <c r="AG1185">
        <v>-1.1110804226619999</v>
      </c>
      <c r="AH1185">
        <v>18.401722518607802</v>
      </c>
      <c r="AI1185">
        <v>93.446663333094406</v>
      </c>
      <c r="AJ1185">
        <v>94.051126900727098</v>
      </c>
      <c r="AK1185">
        <v>18.481245049621101</v>
      </c>
      <c r="AL1185">
        <v>80.4416530667594</v>
      </c>
      <c r="AM1185">
        <v>92.787991114460496</v>
      </c>
      <c r="AN1185">
        <v>0.99999999881408597</v>
      </c>
    </row>
    <row r="1186" spans="1:40" x14ac:dyDescent="0.3">
      <c r="A1186" t="str">
        <f>"20200111150746190"</f>
        <v>20200111150746190</v>
      </c>
      <c r="B1186" t="str">
        <f>"1578726466181982"</f>
        <v>1578726466181982</v>
      </c>
      <c r="C1186" t="s">
        <v>40</v>
      </c>
      <c r="D1186">
        <v>5.1460749999999997</v>
      </c>
      <c r="E1186">
        <v>0.48945959999999999</v>
      </c>
      <c r="F1186" t="s">
        <v>58</v>
      </c>
      <c r="G1186">
        <v>-304.34870000000001</v>
      </c>
      <c r="H1186" s="1">
        <v>3.4287389999999999E-6</v>
      </c>
      <c r="I1186">
        <v>281.92219999999998</v>
      </c>
      <c r="J1186">
        <v>-285.2851</v>
      </c>
      <c r="K1186">
        <v>1.111089</v>
      </c>
      <c r="L1186">
        <v>283.51240000000001</v>
      </c>
      <c r="M1186">
        <v>-0.99983889999999997</v>
      </c>
      <c r="N1186">
        <v>0</v>
      </c>
      <c r="O1186">
        <v>-1.1958420000000001E-2</v>
      </c>
      <c r="P1186">
        <v>-0.98647530000000005</v>
      </c>
      <c r="Q1186">
        <v>0.15309029999999901</v>
      </c>
      <c r="R1186">
        <v>-5.8564720000000001E-2</v>
      </c>
      <c r="S1186">
        <v>-3.0532840000000001</v>
      </c>
      <c r="T1186">
        <v>-0.17551620000000001</v>
      </c>
      <c r="U1186">
        <v>-0.25180049999999998</v>
      </c>
      <c r="V1186">
        <v>-4.6959929999999997E-2</v>
      </c>
      <c r="W1186">
        <v>0.16624330000000001</v>
      </c>
      <c r="X1186">
        <v>0.98496600000000001</v>
      </c>
      <c r="Y1186">
        <v>-7.0169430000000005E-2</v>
      </c>
      <c r="Z1186">
        <v>-1.326095E-3</v>
      </c>
      <c r="AA1186">
        <v>0.99753420000000004</v>
      </c>
      <c r="AB1186">
        <v>27</v>
      </c>
      <c r="AC1186">
        <v>-19.063600000000001</v>
      </c>
      <c r="AD1186">
        <v>-1.1110855712609999</v>
      </c>
      <c r="AE1186">
        <v>-1.59020000000003</v>
      </c>
      <c r="AF1186">
        <v>-1.3575158059525101</v>
      </c>
      <c r="AG1186">
        <v>-1.1110855712609999</v>
      </c>
      <c r="AH1186">
        <v>19.0171014419568</v>
      </c>
      <c r="AI1186">
        <v>93.335271418099794</v>
      </c>
      <c r="AJ1186">
        <v>94.083073092596706</v>
      </c>
      <c r="AK1186">
        <v>19.097840390047999</v>
      </c>
      <c r="AL1186">
        <v>80.430532533651004</v>
      </c>
      <c r="AM1186">
        <v>92.729606837103404</v>
      </c>
      <c r="AN1186">
        <v>1.0000000454882401</v>
      </c>
    </row>
    <row r="1187" spans="1:40" x14ac:dyDescent="0.3">
      <c r="A1187" t="str">
        <f>"20200111150746205"</f>
        <v>20200111150746205</v>
      </c>
      <c r="B1187" t="str">
        <f>"1578726466202475"</f>
        <v>1578726466202475</v>
      </c>
      <c r="C1187" t="s">
        <v>40</v>
      </c>
      <c r="D1187">
        <v>5.2527429999999997</v>
      </c>
      <c r="E1187">
        <v>0.48918919999999999</v>
      </c>
      <c r="F1187" t="s">
        <v>58</v>
      </c>
      <c r="G1187">
        <v>-305.04329999999999</v>
      </c>
      <c r="H1187" s="1">
        <v>3.3100270000000002E-6</v>
      </c>
      <c r="I1187">
        <v>281.87079999999997</v>
      </c>
      <c r="J1187">
        <v>-285.45119999999997</v>
      </c>
      <c r="K1187">
        <v>1.1110899999999999</v>
      </c>
      <c r="L1187">
        <v>283.51</v>
      </c>
      <c r="M1187">
        <v>-0.99983350000000004</v>
      </c>
      <c r="N1187">
        <v>0</v>
      </c>
      <c r="O1187">
        <v>-1.2398620000000001E-2</v>
      </c>
      <c r="P1187">
        <v>-0.98648720000000001</v>
      </c>
      <c r="Q1187">
        <v>0.15298999999999999</v>
      </c>
      <c r="R1187">
        <v>-5.8625209999999997E-2</v>
      </c>
      <c r="S1187">
        <v>-3.0527039999999999</v>
      </c>
      <c r="T1187">
        <v>-0.1716664</v>
      </c>
      <c r="U1187">
        <v>-0.25363160000000001</v>
      </c>
      <c r="V1187">
        <v>-4.6585929999999998E-2</v>
      </c>
      <c r="W1187">
        <v>0.1661427</v>
      </c>
      <c r="X1187">
        <v>0.98500069999999995</v>
      </c>
      <c r="Y1187">
        <v>-7.0344539999999997E-2</v>
      </c>
      <c r="Z1187">
        <v>-1.277493E-3</v>
      </c>
      <c r="AA1187">
        <v>0.99752189999999996</v>
      </c>
      <c r="AB1187">
        <v>26</v>
      </c>
      <c r="AC1187">
        <v>-19.592099999999999</v>
      </c>
      <c r="AD1187">
        <v>-1.1110866899730001</v>
      </c>
      <c r="AE1187">
        <v>-1.63920000000001</v>
      </c>
      <c r="AF1187">
        <v>-1.3916924487051101</v>
      </c>
      <c r="AG1187">
        <v>-1.1110866899730001</v>
      </c>
      <c r="AH1187">
        <v>19.548485926615999</v>
      </c>
      <c r="AI1187">
        <v>93.244852883288203</v>
      </c>
      <c r="AJ1187">
        <v>94.072121011491106</v>
      </c>
      <c r="AK1187">
        <v>19.629432582923101</v>
      </c>
      <c r="AL1187">
        <v>80.436377456977397</v>
      </c>
      <c r="AM1187">
        <v>92.707804836402602</v>
      </c>
      <c r="AN1187">
        <v>1.0000000123188699</v>
      </c>
    </row>
    <row r="1188" spans="1:40" x14ac:dyDescent="0.3">
      <c r="A1188" t="str">
        <f>"20200111150746223"</f>
        <v>20200111150746223</v>
      </c>
      <c r="B1188" t="str">
        <f>"1578726466212240"</f>
        <v>1578726466212240</v>
      </c>
      <c r="C1188" t="s">
        <v>40</v>
      </c>
      <c r="D1188">
        <v>5.2426339999999998</v>
      </c>
      <c r="E1188">
        <v>0.48895359999999999</v>
      </c>
      <c r="F1188" t="s">
        <v>58</v>
      </c>
      <c r="G1188">
        <v>-305.67239999999998</v>
      </c>
      <c r="H1188" s="1">
        <v>3.2034059999999999E-6</v>
      </c>
      <c r="I1188">
        <v>281.81389999999999</v>
      </c>
      <c r="J1188">
        <v>-285.67509999999999</v>
      </c>
      <c r="K1188">
        <v>1.1110869999999999</v>
      </c>
      <c r="L1188">
        <v>283.50659999999999</v>
      </c>
      <c r="M1188">
        <v>-0.99982599999999999</v>
      </c>
      <c r="N1188">
        <v>0</v>
      </c>
      <c r="O1188">
        <v>-1.2991999999999899E-2</v>
      </c>
      <c r="P1188">
        <v>-0.98649969999999998</v>
      </c>
      <c r="Q1188">
        <v>0.15315109999999901</v>
      </c>
      <c r="R1188">
        <v>-5.7992250000000002E-2</v>
      </c>
      <c r="S1188">
        <v>-3.0518800000000001</v>
      </c>
      <c r="T1188">
        <v>-0.1676907</v>
      </c>
      <c r="U1188">
        <v>-0.25598140000000003</v>
      </c>
      <c r="V1188">
        <v>-4.5366749999999997E-2</v>
      </c>
      <c r="W1188">
        <v>0.16630439999999999</v>
      </c>
      <c r="X1188">
        <v>0.98503030000000003</v>
      </c>
      <c r="Y1188">
        <v>-7.0542209999999994E-2</v>
      </c>
      <c r="Z1188">
        <v>-1.2211489999999999E-3</v>
      </c>
      <c r="AA1188">
        <v>0.99750799999999995</v>
      </c>
      <c r="AB1188">
        <v>26</v>
      </c>
      <c r="AC1188">
        <v>-19.997299999999999</v>
      </c>
      <c r="AD1188">
        <v>-1.1110837965939999</v>
      </c>
      <c r="AE1188">
        <v>-1.6927000000000001</v>
      </c>
      <c r="AF1188">
        <v>-1.4283508160811</v>
      </c>
      <c r="AG1188">
        <v>-1.1110837965939999</v>
      </c>
      <c r="AH1188">
        <v>19.956436197755401</v>
      </c>
      <c r="AI1188">
        <v>93.178564672844203</v>
      </c>
      <c r="AJ1188">
        <v>94.093874996715996</v>
      </c>
      <c r="AK1188">
        <v>20.038314274707201</v>
      </c>
      <c r="AL1188">
        <v>80.426981841128594</v>
      </c>
      <c r="AM1188">
        <v>92.636962303597699</v>
      </c>
      <c r="AN1188">
        <v>0.99999999369150605</v>
      </c>
    </row>
    <row r="1189" spans="1:40" x14ac:dyDescent="0.3">
      <c r="A1189" t="str">
        <f>"20200111150746245"</f>
        <v>20200111150746245</v>
      </c>
      <c r="B1189" t="str">
        <f>"1578726466242492"</f>
        <v>1578726466242492</v>
      </c>
      <c r="C1189" t="s">
        <v>40</v>
      </c>
      <c r="D1189">
        <v>5.28735</v>
      </c>
      <c r="E1189">
        <v>0.48864350000000001</v>
      </c>
      <c r="F1189" t="s">
        <v>58</v>
      </c>
      <c r="G1189">
        <v>-306.5752</v>
      </c>
      <c r="H1189" s="1">
        <v>3.0486060000000001E-6</v>
      </c>
      <c r="I1189">
        <v>281.75290000000001</v>
      </c>
      <c r="J1189">
        <v>-285.92680000000001</v>
      </c>
      <c r="K1189">
        <v>1.111089</v>
      </c>
      <c r="L1189">
        <v>283.5025</v>
      </c>
      <c r="M1189">
        <v>-0.99981710000000001</v>
      </c>
      <c r="N1189">
        <v>0</v>
      </c>
      <c r="O1189">
        <v>-1.3659279999999999E-2</v>
      </c>
      <c r="P1189">
        <v>-0.98648290000000005</v>
      </c>
      <c r="Q1189">
        <v>0.15344730000000001</v>
      </c>
      <c r="R1189">
        <v>-5.7492080000000001E-2</v>
      </c>
      <c r="S1189">
        <v>-3.0511469999999998</v>
      </c>
      <c r="T1189">
        <v>-0.1622045</v>
      </c>
      <c r="U1189">
        <v>-0.25601200000000002</v>
      </c>
      <c r="V1189">
        <v>-4.4208070000000002E-2</v>
      </c>
      <c r="W1189">
        <v>0.16660159999999999</v>
      </c>
      <c r="X1189">
        <v>0.98503280000000004</v>
      </c>
      <c r="Y1189">
        <v>-6.9913630000000004E-2</v>
      </c>
      <c r="Z1189">
        <v>-1.129492E-3</v>
      </c>
      <c r="AA1189">
        <v>0.99755240000000001</v>
      </c>
      <c r="AB1189">
        <v>26</v>
      </c>
      <c r="AC1189">
        <v>-20.648399999999899</v>
      </c>
      <c r="AD1189">
        <v>-1.1110859513939999</v>
      </c>
      <c r="AE1189">
        <v>-1.7495999999999801</v>
      </c>
      <c r="AF1189">
        <v>-1.4631628191669499</v>
      </c>
      <c r="AG1189">
        <v>-1.1110859513939999</v>
      </c>
      <c r="AH1189">
        <v>20.611119808379499</v>
      </c>
      <c r="AI1189">
        <v>93.077932551615007</v>
      </c>
      <c r="AJ1189">
        <v>94.060558353806201</v>
      </c>
      <c r="AK1189">
        <v>20.6928397563542</v>
      </c>
      <c r="AL1189">
        <v>80.409712988261404</v>
      </c>
      <c r="AM1189">
        <v>92.569698464816895</v>
      </c>
      <c r="AN1189">
        <v>1.00000003182576</v>
      </c>
    </row>
    <row r="1190" spans="1:40" x14ac:dyDescent="0.3">
      <c r="A1190" t="str">
        <f>"20200111150746269"</f>
        <v>20200111150746269</v>
      </c>
      <c r="B1190" t="str">
        <f>"1578726466262012"</f>
        <v>1578726466262012</v>
      </c>
      <c r="C1190" t="s">
        <v>40</v>
      </c>
      <c r="D1190">
        <v>5.3193970000000004</v>
      </c>
      <c r="E1190">
        <v>0.48833890000000002</v>
      </c>
      <c r="F1190" t="s">
        <v>58</v>
      </c>
      <c r="G1190">
        <v>-308.41539999999998</v>
      </c>
      <c r="H1190" s="1">
        <v>2.7350960000000002E-6</v>
      </c>
      <c r="I1190">
        <v>281.60509999999999</v>
      </c>
      <c r="J1190">
        <v>-286.20139999999998</v>
      </c>
      <c r="K1190">
        <v>1.111083</v>
      </c>
      <c r="L1190">
        <v>283.49790000000002</v>
      </c>
      <c r="M1190">
        <v>-0.99980690000000005</v>
      </c>
      <c r="N1190">
        <v>0</v>
      </c>
      <c r="O1190">
        <v>-1.438771E-2</v>
      </c>
      <c r="P1190">
        <v>-0.98648329999999995</v>
      </c>
      <c r="Q1190">
        <v>0.1534256</v>
      </c>
      <c r="R1190">
        <v>-5.7546340000000001E-2</v>
      </c>
      <c r="S1190">
        <v>-3.0495610000000002</v>
      </c>
      <c r="T1190">
        <v>-0.15066860000000001</v>
      </c>
      <c r="U1190">
        <v>-0.25729370000000001</v>
      </c>
      <c r="V1190">
        <v>-4.3542659999999997E-2</v>
      </c>
      <c r="W1190">
        <v>0.16657949999999999</v>
      </c>
      <c r="X1190">
        <v>0.98506609999999994</v>
      </c>
      <c r="Y1190">
        <v>-6.9658369999999997E-2</v>
      </c>
      <c r="Z1190">
        <v>-1.007605E-3</v>
      </c>
      <c r="AA1190">
        <v>0.99757039999999997</v>
      </c>
      <c r="AB1190">
        <v>26</v>
      </c>
      <c r="AC1190">
        <v>-22.213999999999999</v>
      </c>
      <c r="AD1190">
        <v>-1.1110802649039999</v>
      </c>
      <c r="AE1190">
        <v>-1.89280000000002</v>
      </c>
      <c r="AF1190">
        <v>-1.56906975346276</v>
      </c>
      <c r="AG1190">
        <v>-1.1110802649039999</v>
      </c>
      <c r="AH1190">
        <v>22.183838197557801</v>
      </c>
      <c r="AI1190">
        <v>92.860136753484596</v>
      </c>
      <c r="AJ1190">
        <v>94.0458104635984</v>
      </c>
      <c r="AK1190">
        <v>22.266997022986999</v>
      </c>
      <c r="AL1190">
        <v>80.410996447694103</v>
      </c>
      <c r="AM1190">
        <v>92.530985170098603</v>
      </c>
      <c r="AN1190">
        <v>0.99999995721466595</v>
      </c>
    </row>
    <row r="1191" spans="1:40" x14ac:dyDescent="0.3">
      <c r="A1191" t="str">
        <f>"20200111150746283"</f>
        <v>20200111150746283</v>
      </c>
      <c r="B1191" t="str">
        <f>"1578726466272280"</f>
        <v>1578726466272280</v>
      </c>
      <c r="C1191" t="s">
        <v>40</v>
      </c>
      <c r="D1191">
        <v>5.3209010000000001</v>
      </c>
      <c r="E1191">
        <v>0.48828729999999998</v>
      </c>
      <c r="F1191" t="s">
        <v>58</v>
      </c>
      <c r="G1191">
        <v>-309.73140000000001</v>
      </c>
      <c r="H1191" s="1">
        <v>2.5114970000000001E-6</v>
      </c>
      <c r="I1191">
        <v>281.49250000000001</v>
      </c>
      <c r="J1191">
        <v>-286.37200000000001</v>
      </c>
      <c r="K1191">
        <v>1.111081</v>
      </c>
      <c r="L1191">
        <v>283.495</v>
      </c>
      <c r="M1191">
        <v>-0.99980040000000003</v>
      </c>
      <c r="N1191">
        <v>0</v>
      </c>
      <c r="O1191">
        <v>-1.483983E-2</v>
      </c>
      <c r="P1191">
        <v>-0.98648990000000003</v>
      </c>
      <c r="Q1191">
        <v>0.15336129999999901</v>
      </c>
      <c r="R1191">
        <v>-5.7604669999999997E-2</v>
      </c>
      <c r="S1191">
        <v>-3.04834</v>
      </c>
      <c r="T1191">
        <v>-0.1439416</v>
      </c>
      <c r="U1191">
        <v>-0.25979609999999997</v>
      </c>
      <c r="V1191">
        <v>-4.3153740000000003E-2</v>
      </c>
      <c r="W1191">
        <v>0.1665151</v>
      </c>
      <c r="X1191">
        <v>0.98509409999999997</v>
      </c>
      <c r="Y1191">
        <v>-7.0059650000000001E-2</v>
      </c>
      <c r="Z1191">
        <v>-9.5118009999999996E-4</v>
      </c>
      <c r="AA1191">
        <v>0.99754229999999999</v>
      </c>
      <c r="AB1191">
        <v>26</v>
      </c>
      <c r="AC1191">
        <v>-23.359399999999901</v>
      </c>
      <c r="AD1191">
        <v>-1.1110784885030001</v>
      </c>
      <c r="AE1191">
        <v>-2.0024999999999902</v>
      </c>
      <c r="AF1191">
        <v>-1.6518889674088799</v>
      </c>
      <c r="AG1191">
        <v>-1.1110784885030001</v>
      </c>
      <c r="AH1191">
        <v>23.334141067881799</v>
      </c>
      <c r="AI1191">
        <v>92.719341458491201</v>
      </c>
      <c r="AJ1191">
        <v>94.049372512613104</v>
      </c>
      <c r="AK1191">
        <v>23.418910562707001</v>
      </c>
      <c r="AL1191">
        <v>80.414738537321597</v>
      </c>
      <c r="AM1191">
        <v>92.508336385360593</v>
      </c>
      <c r="AN1191">
        <v>0.99999995482940196</v>
      </c>
    </row>
    <row r="1192" spans="1:40" x14ac:dyDescent="0.3">
      <c r="A1192" t="str">
        <f>"20200111150746302"</f>
        <v>20200111150746302</v>
      </c>
      <c r="B1192" t="str">
        <f>"1578726466292775"</f>
        <v>1578726466292775</v>
      </c>
      <c r="C1192" t="s">
        <v>40</v>
      </c>
      <c r="D1192">
        <v>5.2839980000000004</v>
      </c>
      <c r="E1192">
        <v>0.48809160000000001</v>
      </c>
      <c r="F1192" t="s">
        <v>58</v>
      </c>
      <c r="G1192">
        <v>-310.1345</v>
      </c>
      <c r="H1192" s="1">
        <v>2.5520969999999998E-6</v>
      </c>
      <c r="I1192">
        <v>281.46550000000002</v>
      </c>
      <c r="J1192">
        <v>-286.60109999999997</v>
      </c>
      <c r="K1192">
        <v>1.111081</v>
      </c>
      <c r="L1192">
        <v>283.49090000000001</v>
      </c>
      <c r="M1192">
        <v>-0.99979119999999999</v>
      </c>
      <c r="N1192">
        <v>0</v>
      </c>
      <c r="O1192">
        <v>-1.544307E-2</v>
      </c>
      <c r="P1192">
        <v>-0.98650729999999998</v>
      </c>
      <c r="Q1192">
        <v>0.1532625</v>
      </c>
      <c r="R1192">
        <v>-5.7568040000000001E-2</v>
      </c>
      <c r="S1192">
        <v>-3.0480040000000002</v>
      </c>
      <c r="T1192">
        <v>-0.14251759999999999</v>
      </c>
      <c r="U1192">
        <v>-0.26031490000000002</v>
      </c>
      <c r="V1192">
        <v>-4.2519840000000003E-2</v>
      </c>
      <c r="W1192">
        <v>0.16641629999999999</v>
      </c>
      <c r="X1192">
        <v>0.98513839999999997</v>
      </c>
      <c r="Y1192">
        <v>-6.9637920000000006E-2</v>
      </c>
      <c r="Z1192">
        <v>-9.0390999999999996E-4</v>
      </c>
      <c r="AA1192">
        <v>0.99757189999999996</v>
      </c>
      <c r="AB1192">
        <v>26</v>
      </c>
      <c r="AC1192">
        <v>-23.5334</v>
      </c>
      <c r="AD1192">
        <v>-1.111078447903</v>
      </c>
      <c r="AE1192">
        <v>-2.0253999999999901</v>
      </c>
      <c r="AF1192">
        <v>-1.6580292798527601</v>
      </c>
      <c r="AG1192">
        <v>-1.111078447903</v>
      </c>
      <c r="AH1192">
        <v>23.5098549430991</v>
      </c>
      <c r="AI1192">
        <v>92.699097796954604</v>
      </c>
      <c r="AJ1192">
        <v>94.034097595752698</v>
      </c>
      <c r="AK1192">
        <v>23.594423829706201</v>
      </c>
      <c r="AL1192">
        <v>80.420479845219006</v>
      </c>
      <c r="AM1192">
        <v>92.471425604194494</v>
      </c>
      <c r="AN1192">
        <v>0.99999999442693699</v>
      </c>
    </row>
    <row r="1193" spans="1:40" x14ac:dyDescent="0.3">
      <c r="A1193" t="str">
        <f>"20200111150746315"</f>
        <v>20200111150746315</v>
      </c>
      <c r="B1193" t="str">
        <f>"1578726466312295"</f>
        <v>1578726466312295</v>
      </c>
      <c r="C1193" t="s">
        <v>40</v>
      </c>
      <c r="D1193">
        <v>5.2774489999999998</v>
      </c>
      <c r="E1193">
        <v>0.48780220000000002</v>
      </c>
      <c r="F1193" t="s">
        <v>58</v>
      </c>
      <c r="G1193">
        <v>-311.49669999999998</v>
      </c>
      <c r="H1193" s="1">
        <v>3.1658039999999999E-6</v>
      </c>
      <c r="I1193">
        <v>281.35520000000002</v>
      </c>
      <c r="J1193">
        <v>-286.76029999999997</v>
      </c>
      <c r="K1193">
        <v>1.1110770000000001</v>
      </c>
      <c r="L1193">
        <v>283.48790000000002</v>
      </c>
      <c r="M1193">
        <v>-0.99978460000000002</v>
      </c>
      <c r="N1193">
        <v>0</v>
      </c>
      <c r="O1193">
        <v>-1.5856990000000001E-2</v>
      </c>
      <c r="P1193">
        <v>-0.98647569999999996</v>
      </c>
      <c r="Q1193">
        <v>0.1533514</v>
      </c>
      <c r="R1193">
        <v>-5.7871850000000002E-2</v>
      </c>
      <c r="S1193">
        <v>-3.0469059999999999</v>
      </c>
      <c r="T1193">
        <v>-0.13598209999999999</v>
      </c>
      <c r="U1193">
        <v>-0.26138309999999998</v>
      </c>
      <c r="V1193">
        <v>-4.2414439999999998E-2</v>
      </c>
      <c r="W1193">
        <v>0.16650519999999999</v>
      </c>
      <c r="X1193">
        <v>0.98512789999999995</v>
      </c>
      <c r="Y1193">
        <v>-6.9608260000000005E-2</v>
      </c>
      <c r="Z1193">
        <v>-8.4371399999999997E-4</v>
      </c>
      <c r="AA1193">
        <v>0.99757399999999996</v>
      </c>
      <c r="AB1193">
        <v>26</v>
      </c>
      <c r="AC1193">
        <v>-24.7364</v>
      </c>
      <c r="AD1193">
        <v>-1.111073834196</v>
      </c>
      <c r="AE1193">
        <v>-2.1326999999999998</v>
      </c>
      <c r="AF1193">
        <v>-1.7366739072406101</v>
      </c>
      <c r="AG1193">
        <v>-1.111073834196</v>
      </c>
      <c r="AH1193">
        <v>24.7176108207202</v>
      </c>
      <c r="AI1193">
        <v>92.567431851886397</v>
      </c>
      <c r="AJ1193">
        <v>94.019030545498197</v>
      </c>
      <c r="AK1193">
        <v>24.8034434304939</v>
      </c>
      <c r="AL1193">
        <v>80.415313970710201</v>
      </c>
      <c r="AM1193">
        <v>92.465333140644205</v>
      </c>
      <c r="AN1193">
        <v>0.99999997285298103</v>
      </c>
    </row>
    <row r="1194" spans="1:40" x14ac:dyDescent="0.3">
      <c r="A1194" t="str">
        <f>"20200111150746335"</f>
        <v>20200111150746335</v>
      </c>
      <c r="B1194" t="str">
        <f>"1578726466332791"</f>
        <v>1578726466332791</v>
      </c>
      <c r="C1194" t="s">
        <v>40</v>
      </c>
      <c r="D1194">
        <v>5.3272729999999999</v>
      </c>
      <c r="E1194">
        <v>0.48755599999999999</v>
      </c>
      <c r="F1194" t="s">
        <v>58</v>
      </c>
      <c r="G1194">
        <v>-311.4923</v>
      </c>
      <c r="H1194" s="1">
        <v>3.1649899999999999E-6</v>
      </c>
      <c r="I1194">
        <v>281.34249999999997</v>
      </c>
      <c r="J1194">
        <v>-286.98540000000003</v>
      </c>
      <c r="K1194">
        <v>1.1110690000000001</v>
      </c>
      <c r="L1194">
        <v>283.4837</v>
      </c>
      <c r="M1194">
        <v>-0.99977550000000004</v>
      </c>
      <c r="N1194">
        <v>0</v>
      </c>
      <c r="O1194">
        <v>-1.643054E-2</v>
      </c>
      <c r="P1194">
        <v>-0.98640399999999995</v>
      </c>
      <c r="Q1194">
        <v>0.15355920000000001</v>
      </c>
      <c r="R1194">
        <v>-5.853974E-2</v>
      </c>
      <c r="S1194">
        <v>-3.0469059999999999</v>
      </c>
      <c r="T1194">
        <v>-0.13688049999999999</v>
      </c>
      <c r="U1194">
        <v>-0.26431270000000001</v>
      </c>
      <c r="V1194">
        <v>-4.2512990000000001E-2</v>
      </c>
      <c r="W1194">
        <v>0.1667121</v>
      </c>
      <c r="X1194">
        <v>0.98508870000000004</v>
      </c>
      <c r="Y1194">
        <v>-6.9987579999999994E-2</v>
      </c>
      <c r="Z1194">
        <v>-8.3205339999999897E-4</v>
      </c>
      <c r="AA1194">
        <v>0.99754750000000003</v>
      </c>
      <c r="AB1194">
        <v>26</v>
      </c>
      <c r="AC1194">
        <v>-24.506899999999899</v>
      </c>
      <c r="AD1194">
        <v>-1.11106583501</v>
      </c>
      <c r="AE1194">
        <v>-2.14120000000002</v>
      </c>
      <c r="AF1194">
        <v>-1.7346747738260799</v>
      </c>
      <c r="AG1194">
        <v>-1.11106583501</v>
      </c>
      <c r="AH1194">
        <v>24.488821691181698</v>
      </c>
      <c r="AI1194">
        <v>92.5912627344415</v>
      </c>
      <c r="AJ1194">
        <v>94.051800013922403</v>
      </c>
      <c r="AK1194">
        <v>24.5753118328774</v>
      </c>
      <c r="AL1194">
        <v>80.4032918222006</v>
      </c>
      <c r="AM1194">
        <v>92.471152462486501</v>
      </c>
      <c r="AN1194">
        <v>1.0000000127364199</v>
      </c>
    </row>
    <row r="1195" spans="1:40" x14ac:dyDescent="0.3">
      <c r="A1195" t="str">
        <f>"20200111150746350"</f>
        <v>20200111150746350</v>
      </c>
      <c r="B1195" t="str">
        <f>"1578726466342552"</f>
        <v>1578726466342552</v>
      </c>
      <c r="C1195" t="s">
        <v>40</v>
      </c>
      <c r="D1195">
        <v>5.3093050000000002</v>
      </c>
      <c r="E1195">
        <v>0.48746070000000002</v>
      </c>
      <c r="F1195" t="s">
        <v>58</v>
      </c>
      <c r="G1195">
        <v>-312.21069999999997</v>
      </c>
      <c r="H1195" s="1">
        <v>3.4901720000000001E-6</v>
      </c>
      <c r="I1195">
        <v>281.26679999999999</v>
      </c>
      <c r="J1195">
        <v>-287.16210000000001</v>
      </c>
      <c r="K1195">
        <v>1.1110549999999999</v>
      </c>
      <c r="L1195">
        <v>283.4803</v>
      </c>
      <c r="M1195">
        <v>-0.99976830000000005</v>
      </c>
      <c r="N1195">
        <v>0</v>
      </c>
      <c r="O1195">
        <v>-1.68582E-2</v>
      </c>
      <c r="P1195">
        <v>-0.98633789999999999</v>
      </c>
      <c r="Q1195">
        <v>0.15361859999999999</v>
      </c>
      <c r="R1195">
        <v>-5.9488930000000002E-2</v>
      </c>
      <c r="S1195">
        <v>-3.0463559999999998</v>
      </c>
      <c r="T1195">
        <v>-0.13417850000000001</v>
      </c>
      <c r="U1195">
        <v>-0.26773069999999999</v>
      </c>
      <c r="V1195">
        <v>-4.3034889999999999E-2</v>
      </c>
      <c r="W1195">
        <v>0.1667708</v>
      </c>
      <c r="X1195">
        <v>0.98505609999999999</v>
      </c>
      <c r="Y1195">
        <v>-7.0688920000000002E-2</v>
      </c>
      <c r="Z1195">
        <v>-8.1237740000000001E-4</v>
      </c>
      <c r="AA1195">
        <v>0.99749810000000005</v>
      </c>
      <c r="AB1195">
        <v>26</v>
      </c>
      <c r="AC1195">
        <v>-25.048599999999901</v>
      </c>
      <c r="AD1195">
        <v>-1.1110515098279901</v>
      </c>
      <c r="AE1195">
        <v>-2.21350000000001</v>
      </c>
      <c r="AF1195">
        <v>-1.7873839233480799</v>
      </c>
      <c r="AG1195">
        <v>-1.1110515098279901</v>
      </c>
      <c r="AH1195">
        <v>25.033488426718801</v>
      </c>
      <c r="AI1195">
        <v>92.534823900344307</v>
      </c>
      <c r="AJ1195">
        <v>94.083971781757398</v>
      </c>
      <c r="AK1195">
        <v>25.121797697569299</v>
      </c>
      <c r="AL1195">
        <v>80.399880789431805</v>
      </c>
      <c r="AM1195">
        <v>92.501533320657103</v>
      </c>
      <c r="AN1195">
        <v>1.00000001081858</v>
      </c>
    </row>
    <row r="1196" spans="1:40" x14ac:dyDescent="0.3">
      <c r="A1196" t="str">
        <f>"20200111150746370"</f>
        <v>20200111150746370</v>
      </c>
      <c r="B1196" t="str">
        <f>"1578726466362071"</f>
        <v>1578726466362071</v>
      </c>
      <c r="C1196" t="s">
        <v>40</v>
      </c>
      <c r="D1196">
        <v>6.8654549999999999</v>
      </c>
      <c r="E1196">
        <v>0.4873865</v>
      </c>
      <c r="F1196" t="s">
        <v>58</v>
      </c>
      <c r="G1196">
        <v>-312.0222</v>
      </c>
      <c r="H1196" s="1">
        <v>3.406389E-6</v>
      </c>
      <c r="I1196">
        <v>281.26909999999998</v>
      </c>
      <c r="J1196">
        <v>-287.3981</v>
      </c>
      <c r="K1196">
        <v>1.1110199999999999</v>
      </c>
      <c r="L1196">
        <v>283.47570000000002</v>
      </c>
      <c r="M1196">
        <v>-0.99975930000000002</v>
      </c>
      <c r="N1196">
        <v>0</v>
      </c>
      <c r="O1196">
        <v>-1.738841E-2</v>
      </c>
      <c r="P1196">
        <v>-0.98618070000000002</v>
      </c>
      <c r="Q1196">
        <v>0.1539509</v>
      </c>
      <c r="R1196">
        <v>-6.12141E-2</v>
      </c>
      <c r="S1196">
        <v>-3.0463870000000002</v>
      </c>
      <c r="T1196">
        <v>-0.1361493</v>
      </c>
      <c r="U1196">
        <v>-0.27096559999999997</v>
      </c>
      <c r="V1196">
        <v>-4.4225880000000002E-2</v>
      </c>
      <c r="W1196">
        <v>0.167102799999999</v>
      </c>
      <c r="X1196">
        <v>0.98494709999999996</v>
      </c>
      <c r="Y1196">
        <v>-7.1208530000000006E-2</v>
      </c>
      <c r="Z1196">
        <v>-8.1220679999999897E-4</v>
      </c>
      <c r="AA1196">
        <v>0.99746109999999999</v>
      </c>
      <c r="AB1196">
        <v>26</v>
      </c>
      <c r="AC1196">
        <v>-24.624099999999999</v>
      </c>
      <c r="AD1196">
        <v>-1.1110165936109999</v>
      </c>
      <c r="AE1196">
        <v>-2.2066000000000301</v>
      </c>
      <c r="AF1196">
        <v>-1.77447048701185</v>
      </c>
      <c r="AG1196">
        <v>-1.1110165936109999</v>
      </c>
      <c r="AH1196">
        <v>24.609050803311099</v>
      </c>
      <c r="AI1196">
        <v>92.578273231245205</v>
      </c>
      <c r="AJ1196">
        <v>94.124255475690802</v>
      </c>
      <c r="AK1196">
        <v>24.697944951361901</v>
      </c>
      <c r="AL1196">
        <v>80.380588070501602</v>
      </c>
      <c r="AM1196">
        <v>92.570955703243001</v>
      </c>
      <c r="AN1196">
        <v>1.0000000320140101</v>
      </c>
    </row>
    <row r="1197" spans="1:40" x14ac:dyDescent="0.3">
      <c r="A1197" t="str">
        <f>"20200111150746392"</f>
        <v>20200111150746392</v>
      </c>
      <c r="B1197" t="str">
        <f>"1578726466382097"</f>
        <v>1578726466382097</v>
      </c>
      <c r="C1197" t="s">
        <v>40</v>
      </c>
      <c r="D1197">
        <v>5.2789299999999999</v>
      </c>
      <c r="E1197">
        <v>0.38086579999999998</v>
      </c>
      <c r="F1197" t="s">
        <v>58</v>
      </c>
      <c r="G1197">
        <v>-312.22059999999999</v>
      </c>
      <c r="H1197" s="1">
        <v>3.4979929999999998E-6</v>
      </c>
      <c r="I1197">
        <v>281.22770000000003</v>
      </c>
      <c r="J1197">
        <v>-287.65649999999999</v>
      </c>
      <c r="K1197">
        <v>1.110959</v>
      </c>
      <c r="L1197">
        <v>283.47059999999999</v>
      </c>
      <c r="M1197">
        <v>-0.99975029999999998</v>
      </c>
      <c r="N1197">
        <v>0</v>
      </c>
      <c r="O1197">
        <v>-1.7895620000000001E-2</v>
      </c>
      <c r="P1197">
        <v>-0.98593940000000002</v>
      </c>
      <c r="Q1197">
        <v>0.15450329999999901</v>
      </c>
      <c r="R1197">
        <v>-6.3656740000000003E-2</v>
      </c>
      <c r="S1197">
        <v>-3.0462039999999999</v>
      </c>
      <c r="T1197">
        <v>-0.13634299999999999</v>
      </c>
      <c r="U1197">
        <v>-0.27587889999999998</v>
      </c>
      <c r="V1197">
        <v>-4.6149820000000001E-2</v>
      </c>
      <c r="W1197">
        <v>0.16765469999999999</v>
      </c>
      <c r="X1197">
        <v>0.984765</v>
      </c>
      <c r="Y1197">
        <v>-7.2302969999999994E-2</v>
      </c>
      <c r="Z1197">
        <v>-8.1515009999999998E-4</v>
      </c>
      <c r="AA1197">
        <v>0.9973824</v>
      </c>
      <c r="AB1197">
        <v>26</v>
      </c>
      <c r="AC1197">
        <v>-24.5641</v>
      </c>
      <c r="AD1197">
        <v>-1.1109555020070001</v>
      </c>
      <c r="AE1197">
        <v>-2.2428999999999601</v>
      </c>
      <c r="AF1197">
        <v>-1.79926169917987</v>
      </c>
      <c r="AG1197">
        <v>-1.1109555020070001</v>
      </c>
      <c r="AH1197">
        <v>24.550505352946502</v>
      </c>
      <c r="AI1197">
        <v>92.584050841585594</v>
      </c>
      <c r="AJ1197">
        <v>94.191609160258693</v>
      </c>
      <c r="AK1197">
        <v>24.641405760926698</v>
      </c>
      <c r="AL1197">
        <v>80.348513786121998</v>
      </c>
      <c r="AM1197">
        <v>92.683134272371703</v>
      </c>
      <c r="AN1197">
        <v>1.00000000477156</v>
      </c>
    </row>
    <row r="1198" spans="1:40" x14ac:dyDescent="0.3">
      <c r="A1198" t="str">
        <f>"20200111150746406"</f>
        <v>20200111150746406</v>
      </c>
      <c r="B1198" t="str">
        <f>"1578726466402593"</f>
        <v>1578726466402593</v>
      </c>
      <c r="C1198" t="s">
        <v>40</v>
      </c>
      <c r="D1198">
        <v>5.3861109999999996</v>
      </c>
      <c r="E1198">
        <v>0.44374469999999999</v>
      </c>
      <c r="F1198" t="s">
        <v>56</v>
      </c>
      <c r="G1198">
        <v>-352.55</v>
      </c>
      <c r="H1198">
        <v>16.268360000000001</v>
      </c>
      <c r="I1198">
        <v>257.5804</v>
      </c>
      <c r="J1198">
        <v>-287.81639999999999</v>
      </c>
      <c r="K1198">
        <v>1.1109169999999999</v>
      </c>
      <c r="L1198">
        <v>283.46730000000002</v>
      </c>
      <c r="M1198">
        <v>-0.99974569999999996</v>
      </c>
      <c r="N1198">
        <v>0</v>
      </c>
      <c r="O1198">
        <v>-1.8162020000000001E-2</v>
      </c>
      <c r="P1198">
        <v>-0.98585579999999995</v>
      </c>
      <c r="Q1198">
        <v>0.15441679999999999</v>
      </c>
      <c r="R1198">
        <v>-6.5147529999999995E-2</v>
      </c>
      <c r="S1198">
        <v>-2.864166</v>
      </c>
      <c r="T1198">
        <v>0.66899649999999999</v>
      </c>
      <c r="U1198">
        <v>-1.1427</v>
      </c>
      <c r="V1198">
        <v>-4.7361500000000001E-2</v>
      </c>
      <c r="W1198">
        <v>0.167571</v>
      </c>
      <c r="X1198">
        <v>0.98472170000000003</v>
      </c>
      <c r="Y1198">
        <v>-0.34601690000000002</v>
      </c>
      <c r="Z1198">
        <v>3.4421420000000001E-2</v>
      </c>
      <c r="AA1198">
        <v>0.9375966</v>
      </c>
      <c r="AB1198">
        <v>26</v>
      </c>
      <c r="AC1198">
        <v>-64.733599999999996</v>
      </c>
      <c r="AD1198">
        <v>15.157442999999899</v>
      </c>
      <c r="AE1198">
        <v>-25.886900000000001</v>
      </c>
      <c r="AF1198">
        <v>-23.591705312904701</v>
      </c>
      <c r="AG1198">
        <v>15.157442999999899</v>
      </c>
      <c r="AH1198">
        <v>62.250673843102</v>
      </c>
      <c r="AI1198">
        <v>77.173114309884099</v>
      </c>
      <c r="AJ1198">
        <v>110.755661869043</v>
      </c>
      <c r="AK1198">
        <v>68.274907775766707</v>
      </c>
      <c r="AL1198">
        <v>80.353378108330105</v>
      </c>
      <c r="AM1198">
        <v>92.753594779041805</v>
      </c>
      <c r="AN1198">
        <v>0.99999998908707</v>
      </c>
    </row>
    <row r="1199" spans="1:40" x14ac:dyDescent="0.3">
      <c r="A1199" t="str">
        <f>"20200111150746426"</f>
        <v>20200111150746426</v>
      </c>
      <c r="B1199" t="str">
        <f>"1578726466422113"</f>
        <v>1578726466422113</v>
      </c>
      <c r="C1199" t="s">
        <v>40</v>
      </c>
      <c r="D1199">
        <v>5.3461990000000004</v>
      </c>
      <c r="E1199">
        <v>0.44296659999999999</v>
      </c>
      <c r="F1199" t="s">
        <v>58</v>
      </c>
      <c r="G1199">
        <v>-301.92720000000003</v>
      </c>
      <c r="H1199" s="1">
        <v>3.9795549999999901E-6</v>
      </c>
      <c r="I1199">
        <v>280.53489999999999</v>
      </c>
      <c r="J1199">
        <v>-288.03919999999999</v>
      </c>
      <c r="K1199">
        <v>1.1108559999999901</v>
      </c>
      <c r="L1199">
        <v>283.46289999999999</v>
      </c>
      <c r="M1199">
        <v>-0.99974010000000002</v>
      </c>
      <c r="N1199">
        <v>0</v>
      </c>
      <c r="O1199">
        <v>-1.8460649999999999E-2</v>
      </c>
      <c r="P1199">
        <v>-0.98567890000000002</v>
      </c>
      <c r="Q1199">
        <v>0.1545532</v>
      </c>
      <c r="R1199">
        <v>-6.7458050000000006E-2</v>
      </c>
      <c r="S1199">
        <v>-3.0387879999999998</v>
      </c>
      <c r="T1199">
        <v>-0.23923800000000001</v>
      </c>
      <c r="U1199">
        <v>-0.63150019999999996</v>
      </c>
      <c r="V1199">
        <v>-4.9352989999999999E-2</v>
      </c>
      <c r="W1199">
        <v>0.16771059999999999</v>
      </c>
      <c r="X1199">
        <v>0.98460009999999998</v>
      </c>
      <c r="Y1199">
        <v>-0.18486230000000001</v>
      </c>
      <c r="Z1199">
        <v>-5.7539929999999998E-3</v>
      </c>
      <c r="AA1199">
        <v>0.98274760000000005</v>
      </c>
      <c r="AB1199">
        <v>26</v>
      </c>
      <c r="AC1199">
        <v>-13.888</v>
      </c>
      <c r="AD1199">
        <v>-1.1108520204450001</v>
      </c>
      <c r="AE1199">
        <v>-2.9279999999999902</v>
      </c>
      <c r="AF1199">
        <v>-2.6548341516385001</v>
      </c>
      <c r="AG1199">
        <v>-1.1108520204450001</v>
      </c>
      <c r="AH1199">
        <v>13.854821979342301</v>
      </c>
      <c r="AI1199">
        <v>94.502486517438996</v>
      </c>
      <c r="AJ1199">
        <v>100.84741850082899</v>
      </c>
      <c r="AK1199">
        <v>14.150555772240899</v>
      </c>
      <c r="AL1199">
        <v>80.345264514992905</v>
      </c>
      <c r="AM1199">
        <v>92.8695440688209</v>
      </c>
      <c r="AN1199">
        <v>0.99999995994715396</v>
      </c>
    </row>
    <row r="1200" spans="1:40" x14ac:dyDescent="0.3">
      <c r="A1200" t="str">
        <f>"20200111150746440"</f>
        <v>20200111150746440</v>
      </c>
      <c r="B1200" t="str">
        <f>"1578726466432850"</f>
        <v>1578726466432850</v>
      </c>
      <c r="C1200" t="s">
        <v>40</v>
      </c>
      <c r="D1200">
        <v>5.3902190000000001</v>
      </c>
      <c r="E1200">
        <v>0.44241849999999999</v>
      </c>
      <c r="F1200" t="s">
        <v>58</v>
      </c>
      <c r="G1200">
        <v>-299.67829999999998</v>
      </c>
      <c r="H1200" s="1">
        <v>4.2379009999999999E-6</v>
      </c>
      <c r="I1200">
        <v>281.00880000000001</v>
      </c>
      <c r="J1200">
        <v>-288.22289999999998</v>
      </c>
      <c r="K1200">
        <v>1.1107940000000001</v>
      </c>
      <c r="L1200">
        <v>283.45929999999998</v>
      </c>
      <c r="M1200">
        <v>-0.99973679999999998</v>
      </c>
      <c r="N1200">
        <v>0</v>
      </c>
      <c r="O1200">
        <v>-1.8642550000000001E-2</v>
      </c>
      <c r="P1200">
        <v>-0.9855642</v>
      </c>
      <c r="Q1200">
        <v>0.15492330000000001</v>
      </c>
      <c r="R1200">
        <v>-6.8282040000000002E-2</v>
      </c>
      <c r="S1200">
        <v>-3.0452270000000001</v>
      </c>
      <c r="T1200">
        <v>-0.29064040000000002</v>
      </c>
      <c r="U1200">
        <v>-0.64208980000000004</v>
      </c>
      <c r="V1200">
        <v>-4.9973700000000003E-2</v>
      </c>
      <c r="W1200">
        <v>0.16808519999999999</v>
      </c>
      <c r="X1200">
        <v>0.98450490000000002</v>
      </c>
      <c r="Y1200">
        <v>-0.18730279999999999</v>
      </c>
      <c r="Z1200">
        <v>-7.0663219999999999E-3</v>
      </c>
      <c r="AA1200">
        <v>0.98227679999999995</v>
      </c>
      <c r="AB1200">
        <v>26</v>
      </c>
      <c r="AC1200">
        <v>-11.4553999999999</v>
      </c>
      <c r="AD1200">
        <v>-1.1107897620989999</v>
      </c>
      <c r="AE1200">
        <v>-2.4504999999999701</v>
      </c>
      <c r="AF1200">
        <v>-2.2165677954005298</v>
      </c>
      <c r="AG1200">
        <v>-1.1107897620989999</v>
      </c>
      <c r="AH1200">
        <v>11.3966286797701</v>
      </c>
      <c r="AI1200">
        <v>95.465068530534595</v>
      </c>
      <c r="AJ1200">
        <v>101.00623745780899</v>
      </c>
      <c r="AK1200">
        <v>11.663197329709799</v>
      </c>
      <c r="AL1200">
        <v>80.3234923659939</v>
      </c>
      <c r="AM1200">
        <v>92.905853198426499</v>
      </c>
      <c r="AN1200">
        <v>0.99999995163736799</v>
      </c>
    </row>
    <row r="1201" spans="1:40" x14ac:dyDescent="0.3">
      <c r="A1201" t="str">
        <f>"20200111150746459"</f>
        <v>20200111150746459</v>
      </c>
      <c r="B1201" t="str">
        <f>"1578726466452369"</f>
        <v>1578726466452369</v>
      </c>
      <c r="C1201" t="s">
        <v>40</v>
      </c>
      <c r="D1201">
        <v>5.3274970000000001</v>
      </c>
      <c r="E1201">
        <v>0.44217329999999999</v>
      </c>
      <c r="F1201" t="s">
        <v>58</v>
      </c>
      <c r="G1201">
        <v>-300.09820000000002</v>
      </c>
      <c r="H1201" s="1">
        <v>4.2695060000000001E-6</v>
      </c>
      <c r="I1201">
        <v>280.92930000000001</v>
      </c>
      <c r="J1201">
        <v>-288.43729999999999</v>
      </c>
      <c r="K1201">
        <v>1.110725</v>
      </c>
      <c r="L1201">
        <v>283.45499999999998</v>
      </c>
      <c r="M1201">
        <v>-0.99973440000000002</v>
      </c>
      <c r="N1201">
        <v>0</v>
      </c>
      <c r="O1201">
        <v>-1.876895E-2</v>
      </c>
      <c r="P1201">
        <v>-0.98554830000000004</v>
      </c>
      <c r="Q1201">
        <v>0.15447569999999999</v>
      </c>
      <c r="R1201">
        <v>-6.9509870000000001E-2</v>
      </c>
      <c r="S1201">
        <v>-3.0437620000000001</v>
      </c>
      <c r="T1201">
        <v>-0.28470499999999999</v>
      </c>
      <c r="U1201">
        <v>-0.64846800000000004</v>
      </c>
      <c r="V1201">
        <v>-5.1046479999999998E-2</v>
      </c>
      <c r="W1201">
        <v>0.16764570000000001</v>
      </c>
      <c r="X1201">
        <v>0.98452479999999998</v>
      </c>
      <c r="Y1201">
        <v>-0.18926519999999999</v>
      </c>
      <c r="Z1201">
        <v>-7.0033179999999997E-3</v>
      </c>
      <c r="AA1201">
        <v>0.98190100000000002</v>
      </c>
      <c r="AB1201">
        <v>26</v>
      </c>
      <c r="AC1201">
        <v>-11.6609</v>
      </c>
      <c r="AD1201">
        <v>-1.1107207304940001</v>
      </c>
      <c r="AE1201">
        <v>-2.5256999999999699</v>
      </c>
      <c r="AF1201">
        <v>-2.2865565566603201</v>
      </c>
      <c r="AG1201">
        <v>-1.1107207304940001</v>
      </c>
      <c r="AH1201">
        <v>11.605676008245499</v>
      </c>
      <c r="AI1201">
        <v>95.364335809883102</v>
      </c>
      <c r="AJ1201">
        <v>101.14569413568501</v>
      </c>
      <c r="AK1201">
        <v>11.880814662148399</v>
      </c>
      <c r="AL1201">
        <v>80.349036345252401</v>
      </c>
      <c r="AM1201">
        <v>92.968062574404897</v>
      </c>
      <c r="AN1201">
        <v>0.99999995283195897</v>
      </c>
    </row>
    <row r="1202" spans="1:40" x14ac:dyDescent="0.3">
      <c r="A1202" t="str">
        <f>"20200111150746482"</f>
        <v>20200111150746482</v>
      </c>
      <c r="B1202" t="str">
        <f>"1578726466472397"</f>
        <v>1578726466472397</v>
      </c>
      <c r="C1202" t="s">
        <v>40</v>
      </c>
      <c r="D1202">
        <v>5.309234</v>
      </c>
      <c r="E1202">
        <v>0.44238480000000002</v>
      </c>
      <c r="F1202" t="s">
        <v>58</v>
      </c>
      <c r="G1202">
        <v>-300.11590000000001</v>
      </c>
      <c r="H1202" s="1">
        <v>4.2648549999999998E-6</v>
      </c>
      <c r="I1202">
        <v>280.94659999999999</v>
      </c>
      <c r="J1202">
        <v>-288.70609999999999</v>
      </c>
      <c r="K1202">
        <v>1.110641</v>
      </c>
      <c r="L1202">
        <v>283.44990000000001</v>
      </c>
      <c r="M1202">
        <v>-0.9997336</v>
      </c>
      <c r="N1202">
        <v>0</v>
      </c>
      <c r="O1202">
        <v>-1.8814480000000001E-2</v>
      </c>
      <c r="P1202">
        <v>-0.98577650000000006</v>
      </c>
      <c r="Q1202">
        <v>0.15339410000000001</v>
      </c>
      <c r="R1202">
        <v>-6.8667259999999994E-2</v>
      </c>
      <c r="S1202">
        <v>-3.0432429999999999</v>
      </c>
      <c r="T1202">
        <v>-0.28943550000000001</v>
      </c>
      <c r="U1202">
        <v>-0.65365600000000001</v>
      </c>
      <c r="V1202">
        <v>-5.01191E-2</v>
      </c>
      <c r="W1202">
        <v>0.16657669999999999</v>
      </c>
      <c r="X1202">
        <v>0.98475389999999996</v>
      </c>
      <c r="Y1202">
        <v>-0.19082470000000001</v>
      </c>
      <c r="Z1202">
        <v>-7.188023E-3</v>
      </c>
      <c r="AA1202">
        <v>0.98159779999999996</v>
      </c>
      <c r="AB1202">
        <v>26</v>
      </c>
      <c r="AC1202">
        <v>-11.409800000000001</v>
      </c>
      <c r="AD1202">
        <v>-1.1106367351449999</v>
      </c>
      <c r="AE1202">
        <v>-2.5033000000000198</v>
      </c>
      <c r="AF1202">
        <v>-2.26766836077043</v>
      </c>
      <c r="AG1202">
        <v>-1.1106367351449999</v>
      </c>
      <c r="AH1202">
        <v>11.352257641289199</v>
      </c>
      <c r="AI1202">
        <v>95.480107257787097</v>
      </c>
      <c r="AJ1202">
        <v>101.296425226304</v>
      </c>
      <c r="AK1202">
        <v>11.6296856065029</v>
      </c>
      <c r="AL1202">
        <v>80.411159392558702</v>
      </c>
      <c r="AM1202">
        <v>92.913557689030895</v>
      </c>
      <c r="AN1202">
        <v>0.99999998236645404</v>
      </c>
    </row>
    <row r="1203" spans="1:40" x14ac:dyDescent="0.3">
      <c r="A1203" t="str">
        <f>"20200111150746504"</f>
        <v>20200111150746504</v>
      </c>
      <c r="B1203" t="str">
        <f>"1578726466491917"</f>
        <v>1578726466491917</v>
      </c>
      <c r="C1203" t="s">
        <v>40</v>
      </c>
      <c r="D1203">
        <v>5.3719780000000004</v>
      </c>
      <c r="E1203">
        <v>0.44202649999999999</v>
      </c>
      <c r="F1203" t="s">
        <v>58</v>
      </c>
      <c r="G1203">
        <v>-300.27190000000002</v>
      </c>
      <c r="H1203" s="1">
        <v>4.2343950000000001E-6</v>
      </c>
      <c r="I1203">
        <v>280.97859999999997</v>
      </c>
      <c r="J1203">
        <v>-288.96080000000001</v>
      </c>
      <c r="K1203">
        <v>1.1105640000000001</v>
      </c>
      <c r="L1203">
        <v>283.44510000000002</v>
      </c>
      <c r="M1203">
        <v>-0.99973520000000005</v>
      </c>
      <c r="N1203">
        <v>0</v>
      </c>
      <c r="O1203">
        <v>-1.8735209999999999E-2</v>
      </c>
      <c r="P1203">
        <v>-0.98594859999999895</v>
      </c>
      <c r="Q1203">
        <v>0.15351600000000001</v>
      </c>
      <c r="R1203">
        <v>-6.5868029999999994E-2</v>
      </c>
      <c r="S1203">
        <v>-3.0434570000000001</v>
      </c>
      <c r="T1203">
        <v>-0.29225770000000001</v>
      </c>
      <c r="U1203">
        <v>-0.65029910000000002</v>
      </c>
      <c r="V1203">
        <v>-4.7362889999999998E-2</v>
      </c>
      <c r="W1203">
        <v>0.16670739999999901</v>
      </c>
      <c r="X1203">
        <v>0.98486819999999997</v>
      </c>
      <c r="Y1203">
        <v>-0.18984239999999999</v>
      </c>
      <c r="Z1203">
        <v>-7.219095E-3</v>
      </c>
      <c r="AA1203">
        <v>0.98178799999999999</v>
      </c>
      <c r="AB1203">
        <v>26</v>
      </c>
      <c r="AC1203">
        <v>-11.3111</v>
      </c>
      <c r="AD1203">
        <v>-1.1105597656049999</v>
      </c>
      <c r="AE1203">
        <v>-2.4665000000000501</v>
      </c>
      <c r="AF1203">
        <v>-2.23357805702905</v>
      </c>
      <c r="AG1203">
        <v>-1.1105597656049999</v>
      </c>
      <c r="AH1203">
        <v>11.251785837052701</v>
      </c>
      <c r="AI1203">
        <v>95.529670163908406</v>
      </c>
      <c r="AJ1203">
        <v>101.227753439907</v>
      </c>
      <c r="AK1203">
        <v>11.524968479467599</v>
      </c>
      <c r="AL1203">
        <v>80.403564674972799</v>
      </c>
      <c r="AM1203">
        <v>92.7532664878796</v>
      </c>
      <c r="AN1203">
        <v>0.999999985967575</v>
      </c>
    </row>
    <row r="1204" spans="1:40" x14ac:dyDescent="0.3">
      <c r="A1204" t="str">
        <f>"20200111150746526"</f>
        <v>20200111150746526</v>
      </c>
      <c r="B1204" t="str">
        <f>"1578726466522173"</f>
        <v>1578726466522173</v>
      </c>
      <c r="C1204" t="s">
        <v>40</v>
      </c>
      <c r="D1204">
        <v>5.3492689999999996</v>
      </c>
      <c r="E1204">
        <v>0.44226359999999998</v>
      </c>
      <c r="F1204" t="s">
        <v>58</v>
      </c>
      <c r="G1204">
        <v>-300.37549999999999</v>
      </c>
      <c r="H1204" s="1">
        <v>4.2118879999999999E-6</v>
      </c>
      <c r="I1204">
        <v>281.02569999999997</v>
      </c>
      <c r="J1204">
        <v>-289.21230000000003</v>
      </c>
      <c r="K1204">
        <v>1.1104909999999999</v>
      </c>
      <c r="L1204">
        <v>283.44049999999999</v>
      </c>
      <c r="M1204">
        <v>-0.99973829999999997</v>
      </c>
      <c r="N1204">
        <v>0</v>
      </c>
      <c r="O1204">
        <v>-1.855917E-2</v>
      </c>
      <c r="P1204">
        <v>-0.98610149999999996</v>
      </c>
      <c r="Q1204">
        <v>0.15378929999999999</v>
      </c>
      <c r="R1204">
        <v>-6.2870060000000005E-2</v>
      </c>
      <c r="S1204">
        <v>-3.0457459999999998</v>
      </c>
      <c r="T1204">
        <v>-0.29632509999999901</v>
      </c>
      <c r="U1204">
        <v>-0.64553830000000001</v>
      </c>
      <c r="V1204">
        <v>-4.4507129999999999E-2</v>
      </c>
      <c r="W1204">
        <v>0.16698850000000001</v>
      </c>
      <c r="X1204">
        <v>0.98495379999999999</v>
      </c>
      <c r="Y1204">
        <v>-0.18838170000000001</v>
      </c>
      <c r="Z1204">
        <v>-7.2616829999999997E-3</v>
      </c>
      <c r="AA1204">
        <v>0.98206899999999997</v>
      </c>
      <c r="AB1204">
        <v>26</v>
      </c>
      <c r="AC1204">
        <v>-11.1631999999999</v>
      </c>
      <c r="AD1204">
        <v>-1.110486788112</v>
      </c>
      <c r="AE1204">
        <v>-2.4148000000000098</v>
      </c>
      <c r="AF1204">
        <v>-2.18651572474863</v>
      </c>
      <c r="AG1204">
        <v>-1.110486788112</v>
      </c>
      <c r="AH1204">
        <v>11.101153906978899</v>
      </c>
      <c r="AI1204">
        <v>95.605500240270402</v>
      </c>
      <c r="AJ1204">
        <v>101.142516246217</v>
      </c>
      <c r="AK1204">
        <v>11.368801607362901</v>
      </c>
      <c r="AL1204">
        <v>80.387230150927394</v>
      </c>
      <c r="AM1204">
        <v>92.587265712758494</v>
      </c>
      <c r="AN1204">
        <v>1.0000000159437601</v>
      </c>
    </row>
    <row r="1205" spans="1:40" x14ac:dyDescent="0.3">
      <c r="A1205" t="str">
        <f>"20200111150746541"</f>
        <v>20200111150746541</v>
      </c>
      <c r="B1205" t="str">
        <f>"1578726466531933"</f>
        <v>1578726466531933</v>
      </c>
      <c r="C1205" t="s">
        <v>40</v>
      </c>
      <c r="D1205">
        <v>5.3393550000000003</v>
      </c>
      <c r="E1205">
        <v>0.44229930000000001</v>
      </c>
      <c r="F1205" t="s">
        <v>58</v>
      </c>
      <c r="G1205">
        <v>-300.52569999999997</v>
      </c>
      <c r="H1205" s="1">
        <v>4.1799399999999998E-6</v>
      </c>
      <c r="I1205">
        <v>281.08659999999998</v>
      </c>
      <c r="J1205">
        <v>-289.39789999999999</v>
      </c>
      <c r="K1205">
        <v>1.1104400000000001</v>
      </c>
      <c r="L1205">
        <v>283.43709999999999</v>
      </c>
      <c r="M1205">
        <v>-0.99974189999999996</v>
      </c>
      <c r="N1205">
        <v>0</v>
      </c>
      <c r="O1205">
        <v>-1.8380009999999999E-2</v>
      </c>
      <c r="P1205">
        <v>-0.98622379999999998</v>
      </c>
      <c r="Q1205">
        <v>0.15369349999999901</v>
      </c>
      <c r="R1205">
        <v>-6.1165129999999998E-2</v>
      </c>
      <c r="S1205">
        <v>-3.048492</v>
      </c>
      <c r="T1205">
        <v>-0.29923090000000002</v>
      </c>
      <c r="U1205">
        <v>-0.63427730000000004</v>
      </c>
      <c r="V1205">
        <v>-4.2955510000000002E-2</v>
      </c>
      <c r="W1205">
        <v>0.16689780000000001</v>
      </c>
      <c r="X1205">
        <v>0.98503799999999997</v>
      </c>
      <c r="Y1205">
        <v>-0.18490319999999999</v>
      </c>
      <c r="Z1205">
        <v>-7.1776670000000004E-3</v>
      </c>
      <c r="AA1205">
        <v>0.98273049999999995</v>
      </c>
      <c r="AB1205">
        <v>26</v>
      </c>
      <c r="AC1205">
        <v>-11.127799999999899</v>
      </c>
      <c r="AD1205">
        <v>-1.11043582006</v>
      </c>
      <c r="AE1205">
        <v>-2.35050000000001</v>
      </c>
      <c r="AF1205">
        <v>-2.1252959687146298</v>
      </c>
      <c r="AG1205">
        <v>-1.11043582006</v>
      </c>
      <c r="AH1205">
        <v>11.0636605516932</v>
      </c>
      <c r="AI1205">
        <v>95.629217362667305</v>
      </c>
      <c r="AJ1205">
        <v>100.873885178669</v>
      </c>
      <c r="AK1205">
        <v>11.320536006223399</v>
      </c>
      <c r="AL1205">
        <v>80.392500267330504</v>
      </c>
      <c r="AM1205">
        <v>92.496970785775503</v>
      </c>
      <c r="AN1205">
        <v>0.999999956464099</v>
      </c>
    </row>
    <row r="1206" spans="1:40" x14ac:dyDescent="0.3">
      <c r="A1206" t="str">
        <f>"20200111150746559"</f>
        <v>20200111150746559</v>
      </c>
      <c r="B1206" t="str">
        <f>"1578726466552430"</f>
        <v>1578726466552430</v>
      </c>
      <c r="C1206" t="s">
        <v>40</v>
      </c>
      <c r="D1206">
        <v>5.0599689999999997</v>
      </c>
      <c r="E1206">
        <v>0.4423299</v>
      </c>
      <c r="F1206" t="s">
        <v>58</v>
      </c>
      <c r="G1206">
        <v>-300.66269999999997</v>
      </c>
      <c r="H1206" s="1">
        <v>4.153227E-6</v>
      </c>
      <c r="I1206">
        <v>281.11399999999998</v>
      </c>
      <c r="J1206">
        <v>-289.60570000000001</v>
      </c>
      <c r="K1206">
        <v>1.110382</v>
      </c>
      <c r="L1206">
        <v>283.43349999999998</v>
      </c>
      <c r="M1206">
        <v>-0.99974629999999998</v>
      </c>
      <c r="N1206">
        <v>0</v>
      </c>
      <c r="O1206">
        <v>-1.8128539999999999E-2</v>
      </c>
      <c r="P1206">
        <v>-0.9865872</v>
      </c>
      <c r="Q1206">
        <v>0.15293519999999999</v>
      </c>
      <c r="R1206">
        <v>-5.7063929999999999E-2</v>
      </c>
      <c r="S1206">
        <v>-3.049744</v>
      </c>
      <c r="T1206">
        <v>-0.3006296</v>
      </c>
      <c r="U1206">
        <v>-0.62893679999999996</v>
      </c>
      <c r="V1206">
        <v>-3.9074360000000002E-2</v>
      </c>
      <c r="W1206">
        <v>0.16614599999999999</v>
      </c>
      <c r="X1206">
        <v>0.9853267</v>
      </c>
      <c r="Y1206">
        <v>-0.18341840000000001</v>
      </c>
      <c r="Z1206">
        <v>-7.1616269999999899E-3</v>
      </c>
      <c r="AA1206">
        <v>0.98300889999999996</v>
      </c>
      <c r="AB1206">
        <v>26</v>
      </c>
      <c r="AC1206">
        <v>-11.056999999999899</v>
      </c>
      <c r="AD1206">
        <v>-1.1103778467730001</v>
      </c>
      <c r="AE1206">
        <v>-2.3194999999999402</v>
      </c>
      <c r="AF1206">
        <v>-2.0983838085885602</v>
      </c>
      <c r="AG1206">
        <v>-1.1103778467730001</v>
      </c>
      <c r="AH1206">
        <v>10.9910650761533</v>
      </c>
      <c r="AI1206">
        <v>95.667089943996999</v>
      </c>
      <c r="AJ1206">
        <v>100.80868142741301</v>
      </c>
      <c r="AK1206">
        <v>11.2445393448993</v>
      </c>
      <c r="AL1206">
        <v>80.436185619547004</v>
      </c>
      <c r="AM1206">
        <v>92.270945698559601</v>
      </c>
      <c r="AN1206">
        <v>1.00000000232914</v>
      </c>
    </row>
    <row r="1207" spans="1:40" x14ac:dyDescent="0.3">
      <c r="A1207" t="str">
        <f>"20200111150746582"</f>
        <v>20200111150746582</v>
      </c>
      <c r="B1207" t="str">
        <f>"1578726466571949"</f>
        <v>1578726466571949</v>
      </c>
      <c r="C1207" t="s">
        <v>40</v>
      </c>
      <c r="D1207">
        <v>5.3263569999999998</v>
      </c>
      <c r="E1207">
        <v>0.4609318</v>
      </c>
      <c r="F1207" t="s">
        <v>58</v>
      </c>
      <c r="G1207">
        <v>-300.65969999999999</v>
      </c>
      <c r="H1207" s="1">
        <v>4.146199E-6</v>
      </c>
      <c r="I1207">
        <v>281.20049999999998</v>
      </c>
      <c r="J1207">
        <v>-289.87709999999998</v>
      </c>
      <c r="K1207">
        <v>1.110306</v>
      </c>
      <c r="L1207">
        <v>283.42899999999997</v>
      </c>
      <c r="M1207">
        <v>-0.99975360000000002</v>
      </c>
      <c r="N1207">
        <v>0</v>
      </c>
      <c r="O1207">
        <v>-1.772576E-2</v>
      </c>
      <c r="P1207">
        <v>-0.98692429999999998</v>
      </c>
      <c r="Q1207">
        <v>0.15199570000000001</v>
      </c>
      <c r="R1207">
        <v>-5.3647319999999998E-2</v>
      </c>
      <c r="S1207">
        <v>-3.0525820000000001</v>
      </c>
      <c r="T1207">
        <v>-0.30663309999999999</v>
      </c>
      <c r="U1207">
        <v>-0.61663819999999903</v>
      </c>
      <c r="V1207">
        <v>-3.602313E-2</v>
      </c>
      <c r="W1207">
        <v>0.16521250000000001</v>
      </c>
      <c r="X1207">
        <v>0.98559989999999997</v>
      </c>
      <c r="Y1207">
        <v>-0.17981529999999901</v>
      </c>
      <c r="Z1207">
        <v>-7.1614089999999997E-3</v>
      </c>
      <c r="AA1207">
        <v>0.9836743</v>
      </c>
      <c r="AB1207">
        <v>26</v>
      </c>
      <c r="AC1207">
        <v>-10.7826</v>
      </c>
      <c r="AD1207">
        <v>-1.1103018538009899</v>
      </c>
      <c r="AE1207">
        <v>-2.2285000000000501</v>
      </c>
      <c r="AF1207">
        <v>-2.0164976096437801</v>
      </c>
      <c r="AG1207">
        <v>-1.1103018538009899</v>
      </c>
      <c r="AH1207">
        <v>10.7114880323452</v>
      </c>
      <c r="AI1207">
        <v>95.816422185894197</v>
      </c>
      <c r="AJ1207">
        <v>100.661471935397</v>
      </c>
      <c r="AK1207">
        <v>10.9560489540403</v>
      </c>
      <c r="AL1207">
        <v>80.490420750842105</v>
      </c>
      <c r="AM1207">
        <v>92.093197238183194</v>
      </c>
      <c r="AN1207">
        <v>0.99999999946562801</v>
      </c>
    </row>
    <row r="1208" spans="1:40" x14ac:dyDescent="0.3">
      <c r="A1208" t="str">
        <f>"20200111150746598"</f>
        <v>20200111150746598</v>
      </c>
      <c r="B1208" t="str">
        <f>"1578726466592446"</f>
        <v>1578726466592446</v>
      </c>
      <c r="C1208" t="s">
        <v>40</v>
      </c>
      <c r="D1208">
        <v>5.2665949999999997</v>
      </c>
      <c r="E1208">
        <v>0.46701280000000001</v>
      </c>
      <c r="F1208" t="s">
        <v>56</v>
      </c>
      <c r="G1208">
        <v>-385.31319999999999</v>
      </c>
      <c r="H1208">
        <v>11.49441</v>
      </c>
      <c r="I1208">
        <v>268.30930000000001</v>
      </c>
      <c r="J1208">
        <v>-290.05880000000002</v>
      </c>
      <c r="K1208">
        <v>1.110268</v>
      </c>
      <c r="L1208">
        <v>283.42610000000002</v>
      </c>
      <c r="M1208">
        <v>-0.99975910000000001</v>
      </c>
      <c r="N1208">
        <v>0</v>
      </c>
      <c r="O1208">
        <v>-1.7415090000000001E-2</v>
      </c>
      <c r="P1208">
        <v>-0.98709270000000005</v>
      </c>
      <c r="Q1208">
        <v>0.15143529999999999</v>
      </c>
      <c r="R1208">
        <v>-5.211122E-2</v>
      </c>
      <c r="S1208">
        <v>-2.9645389999999998</v>
      </c>
      <c r="T1208">
        <v>0.32256469999999998</v>
      </c>
      <c r="U1208">
        <v>-0.46966550000000001</v>
      </c>
      <c r="V1208">
        <v>-3.4774850000000003E-2</v>
      </c>
      <c r="W1208">
        <v>0.16465569999999999</v>
      </c>
      <c r="X1208">
        <v>0.98573789999999994</v>
      </c>
      <c r="Y1208">
        <v>-0.1385535</v>
      </c>
      <c r="Z1208">
        <v>5.5923240000000001E-3</v>
      </c>
      <c r="AA1208">
        <v>0.99033919999999998</v>
      </c>
      <c r="AB1208">
        <v>26</v>
      </c>
      <c r="AC1208">
        <v>-95.254399999999904</v>
      </c>
      <c r="AD1208">
        <v>10.384142000000001</v>
      </c>
      <c r="AE1208">
        <v>-15.1168</v>
      </c>
      <c r="AF1208">
        <v>-13.301302706282501</v>
      </c>
      <c r="AG1208">
        <v>10.384142000000001</v>
      </c>
      <c r="AH1208">
        <v>94.408822491326006</v>
      </c>
      <c r="AI1208">
        <v>83.784100687451101</v>
      </c>
      <c r="AJ1208">
        <v>98.019643267881904</v>
      </c>
      <c r="AK1208">
        <v>95.905061508551398</v>
      </c>
      <c r="AL1208">
        <v>80.522766015014497</v>
      </c>
      <c r="AM1208">
        <v>92.020441940085206</v>
      </c>
      <c r="AN1208">
        <v>0.99999999861571098</v>
      </c>
    </row>
    <row r="1209" spans="1:40" x14ac:dyDescent="0.3">
      <c r="A1209" t="str">
        <f>"20200111150746614"</f>
        <v>20200111150746614</v>
      </c>
      <c r="B1209" t="str">
        <f>"1578726466611966"</f>
        <v>1578726466611966</v>
      </c>
      <c r="C1209" t="s">
        <v>40</v>
      </c>
      <c r="D1209">
        <v>5.2493410000000003</v>
      </c>
      <c r="E1209">
        <v>0.52225290000000002</v>
      </c>
      <c r="F1209" t="s">
        <v>67</v>
      </c>
      <c r="G1209">
        <v>-458.45</v>
      </c>
      <c r="H1209">
        <v>24.053920000000002</v>
      </c>
      <c r="I1209">
        <v>259.59550000000002</v>
      </c>
      <c r="J1209">
        <v>-290.2525</v>
      </c>
      <c r="K1209">
        <v>1.1102270000000001</v>
      </c>
      <c r="L1209">
        <v>283.42309999999998</v>
      </c>
      <c r="M1209">
        <v>-0.99976540000000003</v>
      </c>
      <c r="N1209">
        <v>0</v>
      </c>
      <c r="O1209">
        <v>-1.7048359999999999E-2</v>
      </c>
      <c r="P1209">
        <v>-0.98726910000000001</v>
      </c>
      <c r="Q1209">
        <v>0.15081910000000001</v>
      </c>
      <c r="R1209">
        <v>-5.0530930000000002E-2</v>
      </c>
      <c r="S1209">
        <v>-2.9553829999999999</v>
      </c>
      <c r="T1209">
        <v>0.40267849999999999</v>
      </c>
      <c r="U1209">
        <v>-0.41824339999999999</v>
      </c>
      <c r="V1209">
        <v>-3.3541639999999998E-2</v>
      </c>
      <c r="W1209">
        <v>0.16404189999999999</v>
      </c>
      <c r="X1209">
        <v>0.98588290000000001</v>
      </c>
      <c r="Y1209">
        <v>-0.1222683</v>
      </c>
      <c r="Z1209">
        <v>5.9505060000000004E-3</v>
      </c>
      <c r="AA1209">
        <v>0.99247929999999995</v>
      </c>
      <c r="AB1209">
        <v>26</v>
      </c>
      <c r="AC1209">
        <v>-168.19749999999999</v>
      </c>
      <c r="AD1209">
        <v>22.943693</v>
      </c>
      <c r="AE1209">
        <v>-23.827599999999901</v>
      </c>
      <c r="AF1209">
        <v>-20.580963404610301</v>
      </c>
      <c r="AG1209">
        <v>22.943693</v>
      </c>
      <c r="AH1209">
        <v>165.559276050102</v>
      </c>
      <c r="AI1209">
        <v>82.169550635884505</v>
      </c>
      <c r="AJ1209">
        <v>97.0861859434048</v>
      </c>
      <c r="AK1209">
        <v>168.40386868885801</v>
      </c>
      <c r="AL1209">
        <v>80.558418400842498</v>
      </c>
      <c r="AM1209">
        <v>91.948561474590505</v>
      </c>
      <c r="AN1209">
        <v>0.99999993954095301</v>
      </c>
    </row>
    <row r="1210" spans="1:40" x14ac:dyDescent="0.3">
      <c r="A1210" t="str">
        <f>"20200111150746629"</f>
        <v>20200111150746629</v>
      </c>
      <c r="B1210" t="str">
        <f>"1578726466622701"</f>
        <v>1578726466622701</v>
      </c>
      <c r="C1210" t="s">
        <v>40</v>
      </c>
      <c r="D1210">
        <v>5.9888459999999997</v>
      </c>
      <c r="E1210">
        <v>0.52225290000000002</v>
      </c>
      <c r="F1210" t="s">
        <v>58</v>
      </c>
      <c r="G1210">
        <v>-305.22980000000001</v>
      </c>
      <c r="H1210" s="1">
        <v>3.1245139999999999E-6</v>
      </c>
      <c r="I1210">
        <v>283.61430000000001</v>
      </c>
      <c r="J1210">
        <v>-290.42689999999999</v>
      </c>
      <c r="K1210">
        <v>1.1101989999999999</v>
      </c>
      <c r="L1210">
        <v>283.4205</v>
      </c>
      <c r="M1210">
        <v>-0.99977139999999998</v>
      </c>
      <c r="N1210">
        <v>0</v>
      </c>
      <c r="O1210">
        <v>-1.6694179999999999E-2</v>
      </c>
      <c r="P1210">
        <v>-0.98732759999999997</v>
      </c>
      <c r="Q1210">
        <v>0.150691299999999</v>
      </c>
      <c r="R1210">
        <v>-4.9762380000000002E-2</v>
      </c>
      <c r="S1210">
        <v>-3.0755620000000001</v>
      </c>
      <c r="T1210">
        <v>-0.2279824</v>
      </c>
      <c r="U1210">
        <v>3.9276119999999998E-2</v>
      </c>
      <c r="V1210">
        <v>-3.311219E-2</v>
      </c>
      <c r="W1210">
        <v>0.16391539999999999</v>
      </c>
      <c r="X1210">
        <v>0.98591850000000003</v>
      </c>
      <c r="Y1210">
        <v>2.93356E-2</v>
      </c>
      <c r="Z1210">
        <v>2.3215929999999998E-3</v>
      </c>
      <c r="AA1210">
        <v>0.99956690000000004</v>
      </c>
      <c r="AB1210">
        <v>26</v>
      </c>
      <c r="AC1210">
        <v>-14.802899999999999</v>
      </c>
      <c r="AD1210">
        <v>-1.110195875486</v>
      </c>
      <c r="AE1210">
        <v>0.19380000000000999</v>
      </c>
      <c r="AF1210">
        <v>0.43845154627004101</v>
      </c>
      <c r="AG1210">
        <v>-1.110195875486</v>
      </c>
      <c r="AH1210">
        <v>14.7148475065511</v>
      </c>
      <c r="AI1210">
        <v>94.312732080709495</v>
      </c>
      <c r="AJ1210">
        <v>88.293288970929694</v>
      </c>
      <c r="AK1210">
        <v>14.7631809506429</v>
      </c>
      <c r="AL1210">
        <v>80.565766177076995</v>
      </c>
      <c r="AM1210">
        <v>91.923562548022005</v>
      </c>
      <c r="AN1210">
        <v>0.999999982063003</v>
      </c>
    </row>
    <row r="1211" spans="1:40" x14ac:dyDescent="0.3">
      <c r="A1211" t="str">
        <f>"20200111150746648"</f>
        <v>20200111150746648</v>
      </c>
      <c r="B1211" t="str">
        <f>"1578726466642222"</f>
        <v>1578726466642222</v>
      </c>
      <c r="C1211" t="s">
        <v>40</v>
      </c>
      <c r="D1211">
        <v>6.4641489999999999</v>
      </c>
      <c r="E1211">
        <v>0.52634360000000002</v>
      </c>
      <c r="F1211" t="s">
        <v>41</v>
      </c>
      <c r="G1211">
        <v>-291.27800000000002</v>
      </c>
      <c r="H1211">
        <v>1.047026</v>
      </c>
      <c r="I1211">
        <v>283.4323</v>
      </c>
      <c r="J1211">
        <v>-290.6318</v>
      </c>
      <c r="K1211">
        <v>1.110174</v>
      </c>
      <c r="L1211">
        <v>283.41750000000002</v>
      </c>
      <c r="M1211">
        <v>-0.99977870000000002</v>
      </c>
      <c r="N1211">
        <v>0</v>
      </c>
      <c r="O1211">
        <v>-1.6254919999999999E-2</v>
      </c>
      <c r="P1211">
        <v>-0.98727819999999999</v>
      </c>
      <c r="Q1211">
        <v>0.15117549999999999</v>
      </c>
      <c r="R1211">
        <v>-4.9277370000000001E-2</v>
      </c>
      <c r="S1211">
        <v>-3.0754700000000001</v>
      </c>
      <c r="T1211">
        <v>-0.22835900000000001</v>
      </c>
      <c r="U1211">
        <v>4.1656489999999997E-2</v>
      </c>
      <c r="V1211">
        <v>-3.3052610000000003E-2</v>
      </c>
      <c r="W1211">
        <v>0.1643993</v>
      </c>
      <c r="X1211">
        <v>0.98584000000000005</v>
      </c>
      <c r="Y1211">
        <v>2.9670189999999999E-2</v>
      </c>
      <c r="Z1211">
        <v>2.3053100000000001E-3</v>
      </c>
      <c r="AA1211">
        <v>0.99955709999999998</v>
      </c>
      <c r="AB1211">
        <v>26</v>
      </c>
      <c r="AC1211">
        <v>-0.64620000000002098</v>
      </c>
      <c r="AD1211">
        <v>-6.3147999999999899E-2</v>
      </c>
      <c r="AE1211">
        <v>1.4799999999979699E-2</v>
      </c>
      <c r="AF1211">
        <v>2.50636875137338E-2</v>
      </c>
      <c r="AG1211">
        <v>-6.3147999999999899E-2</v>
      </c>
      <c r="AH1211">
        <v>0.63976769056979399</v>
      </c>
      <c r="AI1211">
        <v>95.632803346082795</v>
      </c>
      <c r="AJ1211">
        <v>87.756514526145295</v>
      </c>
      <c r="AK1211">
        <v>0.64336502565246201</v>
      </c>
      <c r="AL1211">
        <v>80.537660156208801</v>
      </c>
      <c r="AM1211">
        <v>91.920256781901799</v>
      </c>
      <c r="AN1211">
        <v>1.0000000552341399</v>
      </c>
    </row>
    <row r="1212" spans="1:40" x14ac:dyDescent="0.3">
      <c r="A1212" t="str">
        <f>"20200111150746670"</f>
        <v>20200111150746670</v>
      </c>
      <c r="B1212" t="str">
        <f>"1578726466662717"</f>
        <v>1578726466662717</v>
      </c>
      <c r="C1212" t="s">
        <v>40</v>
      </c>
      <c r="D1212">
        <v>5.2854640000000002</v>
      </c>
      <c r="E1212">
        <v>0.54907479999999997</v>
      </c>
      <c r="F1212" t="s">
        <v>49</v>
      </c>
      <c r="G1212">
        <v>0</v>
      </c>
      <c r="H1212">
        <v>0</v>
      </c>
      <c r="I1212">
        <v>0</v>
      </c>
      <c r="J1212">
        <v>-290.90519999999998</v>
      </c>
      <c r="K1212">
        <v>1.110158</v>
      </c>
      <c r="L1212">
        <v>283.41379999999998</v>
      </c>
      <c r="M1212">
        <v>-0.99978840000000002</v>
      </c>
      <c r="N1212">
        <v>0</v>
      </c>
      <c r="O1212">
        <v>-1.5639759999999999E-2</v>
      </c>
      <c r="P1212">
        <v>-0.98717469999999996</v>
      </c>
      <c r="Q1212">
        <v>0.1519065</v>
      </c>
      <c r="R1212">
        <v>-4.9096830000000001E-2</v>
      </c>
      <c r="S1212">
        <v>-2.9559329999999999</v>
      </c>
      <c r="T1212">
        <v>0.55994650000000001</v>
      </c>
      <c r="U1212">
        <v>5.9814449999999998E-2</v>
      </c>
      <c r="V1212">
        <v>-3.3472960000000003E-2</v>
      </c>
      <c r="W1212">
        <v>0.16512979999999899</v>
      </c>
      <c r="X1212">
        <v>0.98570360000000001</v>
      </c>
      <c r="Y1212">
        <v>3.4967030000000003E-2</v>
      </c>
      <c r="Z1212">
        <v>-6.218955E-3</v>
      </c>
      <c r="AA1212">
        <v>0.99936910000000001</v>
      </c>
      <c r="AB1212">
        <v>26</v>
      </c>
      <c r="AC1212">
        <v>-2.9559329999999999</v>
      </c>
      <c r="AD1212">
        <v>0.55994650000000001</v>
      </c>
      <c r="AE1212">
        <v>5.9814449999999998E-2</v>
      </c>
      <c r="AF1212">
        <v>0.10236939768854</v>
      </c>
      <c r="AG1212">
        <v>0.55994650000000001</v>
      </c>
      <c r="AH1212">
        <v>2.8523242057589502</v>
      </c>
      <c r="AI1212">
        <v>78.900339284242804</v>
      </c>
      <c r="AJ1212">
        <v>87.944547105356307</v>
      </c>
      <c r="AK1212">
        <v>2.9085688836958599</v>
      </c>
      <c r="AL1212">
        <v>80.495224514865299</v>
      </c>
      <c r="AM1212">
        <v>91.944928105931595</v>
      </c>
      <c r="AN1212">
        <v>0.99999993847607804</v>
      </c>
    </row>
    <row r="1213" spans="1:40" x14ac:dyDescent="0.3">
      <c r="A1213" t="str">
        <f>"20200111150746684"</f>
        <v>20200111150746684</v>
      </c>
      <c r="B1213" t="str">
        <f>"1578726466672377"</f>
        <v>1578726466672377</v>
      </c>
      <c r="C1213" t="s">
        <v>40</v>
      </c>
      <c r="D1213">
        <v>5.3030439999999999</v>
      </c>
      <c r="E1213">
        <v>0.54015669999999905</v>
      </c>
      <c r="F1213" t="s">
        <v>41</v>
      </c>
      <c r="G1213">
        <v>-291.72489999999999</v>
      </c>
      <c r="H1213">
        <v>1.0173410000000001</v>
      </c>
      <c r="I1213">
        <v>283.48270000000002</v>
      </c>
      <c r="J1213">
        <v>-291.0566</v>
      </c>
      <c r="K1213">
        <v>1.1101540000000001</v>
      </c>
      <c r="L1213">
        <v>283.41180000000003</v>
      </c>
      <c r="M1213">
        <v>-0.99979390000000001</v>
      </c>
      <c r="N1213">
        <v>0</v>
      </c>
      <c r="O1213">
        <v>-1.529194E-2</v>
      </c>
      <c r="P1213">
        <v>-0.98720350000000001</v>
      </c>
      <c r="Q1213">
        <v>0.151805299999999</v>
      </c>
      <c r="R1213">
        <v>-4.8829650000000002E-2</v>
      </c>
      <c r="S1213">
        <v>-3.105988</v>
      </c>
      <c r="T1213">
        <v>-0.35195110000000002</v>
      </c>
      <c r="U1213">
        <v>0.2592468</v>
      </c>
      <c r="V1213">
        <v>-3.3546380000000001E-2</v>
      </c>
      <c r="W1213">
        <v>0.16502820000000001</v>
      </c>
      <c r="X1213">
        <v>0.98571819999999999</v>
      </c>
      <c r="Y1213">
        <v>9.7689869999999998E-2</v>
      </c>
      <c r="Z1213">
        <v>7.2323309999999998E-3</v>
      </c>
      <c r="AA1213">
        <v>0.99519060000000004</v>
      </c>
      <c r="AB1213">
        <v>26</v>
      </c>
      <c r="AC1213">
        <v>-0.66829999999998702</v>
      </c>
      <c r="AD1213">
        <v>-9.2813000000000007E-2</v>
      </c>
      <c r="AE1213">
        <v>7.0899999999994606E-2</v>
      </c>
      <c r="AF1213">
        <v>7.9594141604044502E-2</v>
      </c>
      <c r="AG1213">
        <v>-9.2813000000000007E-2</v>
      </c>
      <c r="AH1213">
        <v>0.65465152378477298</v>
      </c>
      <c r="AI1213">
        <v>98.011092412588795</v>
      </c>
      <c r="AJ1213">
        <v>83.067862293618106</v>
      </c>
      <c r="AK1213">
        <v>0.66597154439240802</v>
      </c>
      <c r="AL1213">
        <v>80.501127506381707</v>
      </c>
      <c r="AM1213">
        <v>91.949161999637795</v>
      </c>
      <c r="AN1213">
        <v>1.00000001810879</v>
      </c>
    </row>
    <row r="1214" spans="1:40" x14ac:dyDescent="0.3">
      <c r="A1214" t="str">
        <f>"20200111150746696"</f>
        <v>20200111150746696</v>
      </c>
      <c r="B1214" t="str">
        <f>"1578726466691898"</f>
        <v>1578726466691898</v>
      </c>
      <c r="C1214" t="s">
        <v>40</v>
      </c>
      <c r="D1214">
        <v>5.3231020000000004</v>
      </c>
      <c r="E1214">
        <v>0.52411540000000001</v>
      </c>
      <c r="F1214" t="s">
        <v>41</v>
      </c>
      <c r="G1214">
        <v>-291.95870000000002</v>
      </c>
      <c r="H1214">
        <v>1.021749</v>
      </c>
      <c r="I1214">
        <v>283.4667</v>
      </c>
      <c r="J1214">
        <v>-291.20960000000002</v>
      </c>
      <c r="K1214">
        <v>1.110152</v>
      </c>
      <c r="L1214">
        <v>283.40989999999999</v>
      </c>
      <c r="M1214">
        <v>-0.99979929999999995</v>
      </c>
      <c r="N1214">
        <v>0</v>
      </c>
      <c r="O1214">
        <v>-1.493713E-2</v>
      </c>
      <c r="P1214">
        <v>-0.98718839999999997</v>
      </c>
      <c r="Q1214">
        <v>0.15187639999999999</v>
      </c>
      <c r="R1214">
        <v>-4.8916029999999999E-2</v>
      </c>
      <c r="S1214">
        <v>-3.0948180000000001</v>
      </c>
      <c r="T1214">
        <v>-0.30345220000000001</v>
      </c>
      <c r="U1214">
        <v>0.18756100000000001</v>
      </c>
      <c r="V1214">
        <v>-3.3981690000000002E-2</v>
      </c>
      <c r="W1214">
        <v>0.1650992</v>
      </c>
      <c r="X1214">
        <v>0.9856914</v>
      </c>
      <c r="Y1214">
        <v>7.4968560000000004E-2</v>
      </c>
      <c r="Z1214">
        <v>5.1233019999999997E-3</v>
      </c>
      <c r="AA1214">
        <v>0.99717270000000002</v>
      </c>
      <c r="AB1214">
        <v>26</v>
      </c>
      <c r="AC1214">
        <v>-0.74909999999999799</v>
      </c>
      <c r="AD1214">
        <v>-8.8402999999999995E-2</v>
      </c>
      <c r="AE1214">
        <v>5.6800000000009697E-2</v>
      </c>
      <c r="AF1214">
        <v>6.7055526346687905E-2</v>
      </c>
      <c r="AG1214">
        <v>-8.8402999999999995E-2</v>
      </c>
      <c r="AH1214">
        <v>0.73794931188308299</v>
      </c>
      <c r="AI1214">
        <v>96.803456371937401</v>
      </c>
      <c r="AJ1214">
        <v>84.807940924348401</v>
      </c>
      <c r="AK1214">
        <v>0.74624441098834904</v>
      </c>
      <c r="AL1214">
        <v>80.497002933277798</v>
      </c>
      <c r="AM1214">
        <v>91.974488782396307</v>
      </c>
      <c r="AN1214">
        <v>1.00000001856492</v>
      </c>
    </row>
    <row r="1215" spans="1:40" x14ac:dyDescent="0.3">
      <c r="A1215" t="str">
        <f>"20200111150746714"</f>
        <v>20200111150746714</v>
      </c>
      <c r="B1215" t="str">
        <f>"1578726466712393"</f>
        <v>1578726466712393</v>
      </c>
      <c r="C1215" t="s">
        <v>40</v>
      </c>
      <c r="D1215">
        <v>5.3255839999999903</v>
      </c>
      <c r="E1215">
        <v>0.51567169999999996</v>
      </c>
      <c r="F1215" t="s">
        <v>49</v>
      </c>
      <c r="G1215">
        <v>0</v>
      </c>
      <c r="H1215">
        <v>0</v>
      </c>
      <c r="I1215">
        <v>0</v>
      </c>
      <c r="J1215">
        <v>-291.40820000000002</v>
      </c>
      <c r="K1215">
        <v>1.110152</v>
      </c>
      <c r="L1215">
        <v>283.4074</v>
      </c>
      <c r="M1215">
        <v>-0.99980590000000003</v>
      </c>
      <c r="N1215">
        <v>0</v>
      </c>
      <c r="O1215">
        <v>-1.4476869999999999E-2</v>
      </c>
      <c r="P1215">
        <v>-0.98709440000000004</v>
      </c>
      <c r="Q1215">
        <v>0.15256320000000001</v>
      </c>
      <c r="R1215">
        <v>-4.8672880000000002E-2</v>
      </c>
      <c r="S1215">
        <v>-2.9841920000000002</v>
      </c>
      <c r="T1215">
        <v>0.37098100000000001</v>
      </c>
      <c r="U1215">
        <v>4.705811E-2</v>
      </c>
      <c r="V1215">
        <v>-3.4193910000000001E-2</v>
      </c>
      <c r="W1215">
        <v>0.165783399999999</v>
      </c>
      <c r="X1215">
        <v>0.98556920000000003</v>
      </c>
      <c r="Y1215">
        <v>2.9900349999999999E-2</v>
      </c>
      <c r="Z1215">
        <v>-3.6441490000000002E-3</v>
      </c>
      <c r="AA1215">
        <v>0.99954620000000005</v>
      </c>
      <c r="AB1215">
        <v>26</v>
      </c>
      <c r="AC1215">
        <v>-2.9841920000000002</v>
      </c>
      <c r="AD1215">
        <v>0.37098100000000001</v>
      </c>
      <c r="AE1215">
        <v>4.705811E-2</v>
      </c>
      <c r="AF1215">
        <v>8.8885472585994205E-2</v>
      </c>
      <c r="AG1215">
        <v>0.37098100000000001</v>
      </c>
      <c r="AH1215">
        <v>2.9378073806487399</v>
      </c>
      <c r="AI1215">
        <v>82.806144196448102</v>
      </c>
      <c r="AJ1215">
        <v>88.267003704971501</v>
      </c>
      <c r="AK1215">
        <v>2.9624718961354</v>
      </c>
      <c r="AL1215">
        <v>80.457253253668796</v>
      </c>
      <c r="AM1215">
        <v>91.987056011098204</v>
      </c>
      <c r="AN1215">
        <v>1.00000000359264</v>
      </c>
    </row>
    <row r="1216" spans="1:40" x14ac:dyDescent="0.3">
      <c r="A1216" t="str">
        <f>"20200111150746728"</f>
        <v>20200111150746728</v>
      </c>
      <c r="B1216" t="str">
        <f>"1578726466722153"</f>
        <v>1578726466722153</v>
      </c>
      <c r="C1216" t="s">
        <v>40</v>
      </c>
      <c r="D1216">
        <v>4.621467</v>
      </c>
      <c r="E1216">
        <v>0.50764699999999996</v>
      </c>
      <c r="F1216" t="s">
        <v>41</v>
      </c>
      <c r="G1216">
        <v>-292.19909999999999</v>
      </c>
      <c r="H1216">
        <v>1.037922</v>
      </c>
      <c r="I1216">
        <v>283.40589999999997</v>
      </c>
      <c r="J1216">
        <v>-291.56990000000002</v>
      </c>
      <c r="K1216">
        <v>1.1101540000000001</v>
      </c>
      <c r="L1216">
        <v>283.40550000000002</v>
      </c>
      <c r="M1216">
        <v>-0.99981140000000002</v>
      </c>
      <c r="N1216">
        <v>0</v>
      </c>
      <c r="O1216">
        <v>-1.410378E-2</v>
      </c>
      <c r="P1216">
        <v>-0.98709559999999996</v>
      </c>
      <c r="Q1216">
        <v>0.15269079999999999</v>
      </c>
      <c r="R1216">
        <v>-4.8249800000000002E-2</v>
      </c>
      <c r="S1216">
        <v>-3.0823670000000001</v>
      </c>
      <c r="T1216">
        <v>-0.28175630000000002</v>
      </c>
      <c r="U1216">
        <v>-7.2021480000000002E-3</v>
      </c>
      <c r="V1216">
        <v>-3.4139599999999999E-2</v>
      </c>
      <c r="W1216">
        <v>0.16590940000000001</v>
      </c>
      <c r="X1216">
        <v>0.98554989999999998</v>
      </c>
      <c r="Y1216">
        <v>1.166125E-2</v>
      </c>
      <c r="Z1216">
        <v>1.81847E-3</v>
      </c>
      <c r="AA1216">
        <v>0.99993030000000005</v>
      </c>
      <c r="AB1216">
        <v>26</v>
      </c>
      <c r="AC1216">
        <v>-0.62919999999996801</v>
      </c>
      <c r="AD1216">
        <v>-7.2232000000000005E-2</v>
      </c>
      <c r="AE1216">
        <v>3.9999999995643499E-4</v>
      </c>
      <c r="AF1216">
        <v>9.1542065130769193E-3</v>
      </c>
      <c r="AG1216">
        <v>-7.2232000000000005E-2</v>
      </c>
      <c r="AH1216">
        <v>0.62094830160622205</v>
      </c>
      <c r="AI1216">
        <v>96.634413813037796</v>
      </c>
      <c r="AJ1216">
        <v>89.155389580260703</v>
      </c>
      <c r="AK1216">
        <v>0.62520241089469297</v>
      </c>
      <c r="AL1216">
        <v>80.449932796578693</v>
      </c>
      <c r="AM1216">
        <v>91.983941324566402</v>
      </c>
      <c r="AN1216">
        <v>1.00000002334326</v>
      </c>
    </row>
    <row r="1217" spans="1:40" x14ac:dyDescent="0.3">
      <c r="A1217" t="str">
        <f>"20200111150746742"</f>
        <v>20200111150746742</v>
      </c>
      <c r="B1217" t="str">
        <f>"1578726466731913"</f>
        <v>1578726466731913</v>
      </c>
      <c r="C1217" t="s">
        <v>40</v>
      </c>
      <c r="D1217">
        <v>5.0215649999999998</v>
      </c>
      <c r="E1217">
        <v>0.50941259999999999</v>
      </c>
      <c r="F1217" t="s">
        <v>41</v>
      </c>
      <c r="G1217">
        <v>-292.42520000000002</v>
      </c>
      <c r="H1217">
        <v>1.0282519999999999</v>
      </c>
      <c r="I1217">
        <v>283.38630000000001</v>
      </c>
      <c r="J1217">
        <v>-291.73169999999999</v>
      </c>
      <c r="K1217">
        <v>1.1101589999999999</v>
      </c>
      <c r="L1217">
        <v>283.40359999999998</v>
      </c>
      <c r="M1217">
        <v>-0.99981660000000006</v>
      </c>
      <c r="N1217">
        <v>0</v>
      </c>
      <c r="O1217">
        <v>-1.3732370000000001E-2</v>
      </c>
      <c r="P1217">
        <v>-0.98711059999999995</v>
      </c>
      <c r="Q1217">
        <v>0.152778</v>
      </c>
      <c r="R1217">
        <v>-4.7664869999999998E-2</v>
      </c>
      <c r="S1217">
        <v>-3.0814819999999998</v>
      </c>
      <c r="T1217">
        <v>-0.29528749999999998</v>
      </c>
      <c r="U1217">
        <v>-6.9885249999999996E-2</v>
      </c>
      <c r="V1217">
        <v>-3.3922460000000002E-2</v>
      </c>
      <c r="W1217">
        <v>0.16599549999999999</v>
      </c>
      <c r="X1217">
        <v>0.9855429</v>
      </c>
      <c r="Y1217">
        <v>-8.9629089999999998E-3</v>
      </c>
      <c r="Z1217">
        <v>8.8437909999999995E-4</v>
      </c>
      <c r="AA1217">
        <v>0.9999595</v>
      </c>
      <c r="AB1217">
        <v>26</v>
      </c>
      <c r="AC1217">
        <v>-0.69350000000002798</v>
      </c>
      <c r="AD1217">
        <v>-8.1907000000000105E-2</v>
      </c>
      <c r="AE1217">
        <v>-1.7299999999977399E-2</v>
      </c>
      <c r="AF1217">
        <v>-7.6672359986624502E-3</v>
      </c>
      <c r="AG1217">
        <v>-8.1907000000000105E-2</v>
      </c>
      <c r="AH1217">
        <v>0.68413499044279402</v>
      </c>
      <c r="AI1217">
        <v>96.826727913067202</v>
      </c>
      <c r="AJ1217">
        <v>90.642098238727698</v>
      </c>
      <c r="AK1217">
        <v>0.68906329774921304</v>
      </c>
      <c r="AL1217">
        <v>80.444930265505107</v>
      </c>
      <c r="AM1217">
        <v>91.971346730687898</v>
      </c>
      <c r="AN1217">
        <v>1.00000002352655</v>
      </c>
    </row>
    <row r="1218" spans="1:40" x14ac:dyDescent="0.3">
      <c r="A1218" t="str">
        <f>"20200111150746760"</f>
        <v>20200111150746760</v>
      </c>
      <c r="B1218" t="str">
        <f>"1578726466752409"</f>
        <v>1578726466752409</v>
      </c>
      <c r="C1218" t="s">
        <v>40</v>
      </c>
      <c r="D1218">
        <v>6.0106260000000002</v>
      </c>
      <c r="E1218">
        <v>0.51102720000000001</v>
      </c>
      <c r="F1218" t="s">
        <v>41</v>
      </c>
      <c r="G1218">
        <v>-292.65300000000002</v>
      </c>
      <c r="H1218">
        <v>1.022357</v>
      </c>
      <c r="I1218">
        <v>283.3877</v>
      </c>
      <c r="J1218">
        <v>-291.9366</v>
      </c>
      <c r="K1218">
        <v>1.110169</v>
      </c>
      <c r="L1218">
        <v>283.40120000000002</v>
      </c>
      <c r="M1218">
        <v>-0.99982289999999996</v>
      </c>
      <c r="N1218">
        <v>0</v>
      </c>
      <c r="O1218">
        <v>-1.3265870000000001E-2</v>
      </c>
      <c r="P1218">
        <v>-0.98709930000000001</v>
      </c>
      <c r="Q1218">
        <v>0.153054</v>
      </c>
      <c r="R1218">
        <v>-4.7007899999999998E-2</v>
      </c>
      <c r="S1218">
        <v>-3.0820620000000001</v>
      </c>
      <c r="T1218">
        <v>-0.29391220000000001</v>
      </c>
      <c r="U1218">
        <v>-5.4199219999999999E-2</v>
      </c>
      <c r="V1218">
        <v>-3.3728210000000002E-2</v>
      </c>
      <c r="W1218">
        <v>0.16626869999999999</v>
      </c>
      <c r="X1218">
        <v>0.98550349999999998</v>
      </c>
      <c r="Y1218">
        <v>-4.3565169999999999E-3</v>
      </c>
      <c r="Z1218">
        <v>1.054913E-3</v>
      </c>
      <c r="AA1218">
        <v>0.99998989999999999</v>
      </c>
      <c r="AB1218">
        <v>26</v>
      </c>
      <c r="AC1218">
        <v>-0.71640000000002102</v>
      </c>
      <c r="AD1218">
        <v>-8.7812000000000001E-2</v>
      </c>
      <c r="AE1218">
        <v>-1.35000000000218E-2</v>
      </c>
      <c r="AF1218">
        <v>-3.93519291111927E-3</v>
      </c>
      <c r="AG1218">
        <v>-8.7812000000000001E-2</v>
      </c>
      <c r="AH1218">
        <v>0.70591389959264805</v>
      </c>
      <c r="AI1218">
        <v>97.0907613496897</v>
      </c>
      <c r="AJ1218">
        <v>90.319398173012104</v>
      </c>
      <c r="AK1218">
        <v>0.71136549447196695</v>
      </c>
      <c r="AL1218">
        <v>80.429056344166895</v>
      </c>
      <c r="AM1218">
        <v>91.960145350566407</v>
      </c>
      <c r="AN1218">
        <v>1.00000001063087</v>
      </c>
    </row>
    <row r="1219" spans="1:40" x14ac:dyDescent="0.3">
      <c r="A1219" t="str">
        <f>"20200111150746772"</f>
        <v>20200111150746772</v>
      </c>
      <c r="B1219" t="str">
        <f>"1578726466762169"</f>
        <v>1578726466762169</v>
      </c>
      <c r="C1219" t="s">
        <v>40</v>
      </c>
      <c r="D1219">
        <v>5.3302800000000001</v>
      </c>
      <c r="E1219">
        <v>0.51145629999999997</v>
      </c>
      <c r="F1219" t="s">
        <v>58</v>
      </c>
      <c r="G1219">
        <v>-308.03570000000002</v>
      </c>
      <c r="H1219" s="1">
        <v>2.6640529999999998E-6</v>
      </c>
      <c r="I1219">
        <v>283.18819999999999</v>
      </c>
      <c r="J1219">
        <v>-292.09289999999999</v>
      </c>
      <c r="K1219">
        <v>1.1101700000000001</v>
      </c>
      <c r="L1219">
        <v>283.39960000000002</v>
      </c>
      <c r="M1219">
        <v>-0.99982749999999998</v>
      </c>
      <c r="N1219">
        <v>0</v>
      </c>
      <c r="O1219">
        <v>-1.2913559999999999E-2</v>
      </c>
      <c r="P1219">
        <v>-0.98709380000000002</v>
      </c>
      <c r="Q1219">
        <v>0.15323020000000001</v>
      </c>
      <c r="R1219">
        <v>-4.6547619999999998E-2</v>
      </c>
      <c r="S1219">
        <v>-3.0700989999999999</v>
      </c>
      <c r="T1219">
        <v>-0.2117088</v>
      </c>
      <c r="U1219">
        <v>-4.0618899999999999E-2</v>
      </c>
      <c r="V1219">
        <v>-3.3617710000000002E-2</v>
      </c>
      <c r="W1219">
        <v>0.1664436</v>
      </c>
      <c r="X1219">
        <v>0.98547770000000001</v>
      </c>
      <c r="Y1219">
        <v>-3.444842E-4</v>
      </c>
      <c r="Z1219">
        <v>8.7758140000000003E-4</v>
      </c>
      <c r="AA1219">
        <v>0.99999959999999999</v>
      </c>
      <c r="AB1219">
        <v>26</v>
      </c>
      <c r="AC1219">
        <v>-15.9428</v>
      </c>
      <c r="AD1219">
        <v>-1.1101673359469999</v>
      </c>
      <c r="AE1219">
        <v>-0.21140000000002601</v>
      </c>
      <c r="AF1219">
        <v>-5.4592509785221198E-3</v>
      </c>
      <c r="AG1219">
        <v>-1.1101673359469999</v>
      </c>
      <c r="AH1219">
        <v>15.8672744736091</v>
      </c>
      <c r="AI1219">
        <v>94.002225554782797</v>
      </c>
      <c r="AJ1219">
        <v>90.019713028129004</v>
      </c>
      <c r="AK1219">
        <v>15.906064897958601</v>
      </c>
      <c r="AL1219">
        <v>80.418893211896602</v>
      </c>
      <c r="AM1219">
        <v>91.953779637685798</v>
      </c>
      <c r="AN1219">
        <v>0.999999959801946</v>
      </c>
    </row>
    <row r="1220" spans="1:40" x14ac:dyDescent="0.3">
      <c r="A1220" t="str">
        <f>"20200111150746786"</f>
        <v>20200111150746786</v>
      </c>
      <c r="B1220" t="str">
        <f>"1578726466782665"</f>
        <v>1578726466782665</v>
      </c>
      <c r="C1220" t="s">
        <v>40</v>
      </c>
      <c r="D1220">
        <v>5.326651</v>
      </c>
      <c r="E1220">
        <v>0.49901669999999998</v>
      </c>
      <c r="F1220" t="s">
        <v>58</v>
      </c>
      <c r="G1220">
        <v>-307.11219999999997</v>
      </c>
      <c r="H1220" s="1">
        <v>2.8244800000000001E-6</v>
      </c>
      <c r="I1220">
        <v>283.2269</v>
      </c>
      <c r="J1220">
        <v>-292.24630000000002</v>
      </c>
      <c r="K1220">
        <v>1.1101730000000001</v>
      </c>
      <c r="L1220">
        <v>283.39800000000002</v>
      </c>
      <c r="M1220">
        <v>-0.9998319</v>
      </c>
      <c r="N1220">
        <v>0</v>
      </c>
      <c r="O1220">
        <v>-1.256971E-2</v>
      </c>
      <c r="P1220">
        <v>-0.98714860000000004</v>
      </c>
      <c r="Q1220">
        <v>0.15300439999999901</v>
      </c>
      <c r="R1220">
        <v>-4.6119889999999997E-2</v>
      </c>
      <c r="S1220">
        <v>-3.072845</v>
      </c>
      <c r="T1220">
        <v>-0.22713149999999999</v>
      </c>
      <c r="U1220">
        <v>-3.533936E-2</v>
      </c>
      <c r="V1220">
        <v>-3.3530659999999997E-2</v>
      </c>
      <c r="W1220">
        <v>0.166217</v>
      </c>
      <c r="X1220">
        <v>0.98551889999999998</v>
      </c>
      <c r="Y1220">
        <v>1.034033E-3</v>
      </c>
      <c r="Z1220">
        <v>9.6601290000000002E-4</v>
      </c>
      <c r="AA1220">
        <v>0.99999899999999997</v>
      </c>
      <c r="AB1220">
        <v>26</v>
      </c>
      <c r="AC1220">
        <v>-14.8658999999999</v>
      </c>
      <c r="AD1220">
        <v>-1.11017017551999</v>
      </c>
      <c r="AE1220">
        <v>-0.171099999999967</v>
      </c>
      <c r="AF1220">
        <v>1.5702659230694398E-2</v>
      </c>
      <c r="AG1220">
        <v>-1.11017017551999</v>
      </c>
      <c r="AH1220">
        <v>14.7844351007107</v>
      </c>
      <c r="AI1220">
        <v>94.294305416951701</v>
      </c>
      <c r="AJ1220">
        <v>89.939145746413999</v>
      </c>
      <c r="AK1220">
        <v>14.8260664250248</v>
      </c>
      <c r="AL1220">
        <v>80.432059744192301</v>
      </c>
      <c r="AM1220">
        <v>91.948643004519894</v>
      </c>
      <c r="AN1220">
        <v>0.99999994925312097</v>
      </c>
    </row>
    <row r="1221" spans="1:40" x14ac:dyDescent="0.3">
      <c r="A1221" t="str">
        <f>"20200111150746804"</f>
        <v>20200111150746804</v>
      </c>
      <c r="B1221" t="str">
        <f>"1578726466792425"</f>
        <v>1578726466792425</v>
      </c>
      <c r="C1221" t="s">
        <v>40</v>
      </c>
      <c r="D1221">
        <v>5.3193099999999998</v>
      </c>
      <c r="E1221">
        <v>0.50402079999999905</v>
      </c>
      <c r="F1221" t="s">
        <v>57</v>
      </c>
      <c r="G1221">
        <v>-512.83989999999994</v>
      </c>
      <c r="H1221">
        <v>44.428240000000002</v>
      </c>
      <c r="I1221">
        <v>272.26780000000002</v>
      </c>
      <c r="J1221">
        <v>-292.44549999999998</v>
      </c>
      <c r="K1221">
        <v>1.1101780000000001</v>
      </c>
      <c r="L1221">
        <v>283.39600000000002</v>
      </c>
      <c r="M1221">
        <v>-0.99983730000000004</v>
      </c>
      <c r="N1221">
        <v>0</v>
      </c>
      <c r="O1221">
        <v>-1.212587E-2</v>
      </c>
      <c r="P1221">
        <v>-0.98726219999999998</v>
      </c>
      <c r="Q1221">
        <v>0.1524085</v>
      </c>
      <c r="R1221">
        <v>-4.5662349999999997E-2</v>
      </c>
      <c r="S1221">
        <v>-2.9425349999999999</v>
      </c>
      <c r="T1221">
        <v>0.57782749999999905</v>
      </c>
      <c r="U1221">
        <v>-0.14846799999999999</v>
      </c>
      <c r="V1221">
        <v>-3.3512930000000003E-2</v>
      </c>
      <c r="W1221">
        <v>0.16562070000000001</v>
      </c>
      <c r="X1221">
        <v>0.98562000000000005</v>
      </c>
      <c r="Y1221">
        <v>-3.7787689999999999E-2</v>
      </c>
      <c r="Z1221">
        <v>1.3156610000000001E-3</v>
      </c>
      <c r="AA1221">
        <v>0.99928490000000003</v>
      </c>
      <c r="AB1221">
        <v>26</v>
      </c>
      <c r="AC1221">
        <v>-220.39439999999999</v>
      </c>
      <c r="AD1221">
        <v>43.318061999999998</v>
      </c>
      <c r="AE1221">
        <v>-11.1281999999999</v>
      </c>
      <c r="AF1221">
        <v>-8.1409745796328998</v>
      </c>
      <c r="AG1221">
        <v>43.318061999999998</v>
      </c>
      <c r="AH1221">
        <v>212.33141049544599</v>
      </c>
      <c r="AI1221">
        <v>78.477473226281901</v>
      </c>
      <c r="AJ1221">
        <v>92.195695511341398</v>
      </c>
      <c r="AK1221">
        <v>216.85792087338601</v>
      </c>
      <c r="AL1221">
        <v>80.466706481418299</v>
      </c>
      <c r="AM1221">
        <v>91.947413792047101</v>
      </c>
      <c r="AN1221">
        <v>1.0000000585728299</v>
      </c>
    </row>
    <row r="1222" spans="1:40" x14ac:dyDescent="0.3">
      <c r="A1222" t="str">
        <f>"20200111150746818"</f>
        <v>20200111150746818</v>
      </c>
      <c r="B1222" t="str">
        <f>"1578726466811945"</f>
        <v>1578726466811945</v>
      </c>
      <c r="C1222" t="s">
        <v>40</v>
      </c>
      <c r="D1222">
        <v>5.3339400000000001</v>
      </c>
      <c r="E1222">
        <v>0.50371769999999905</v>
      </c>
      <c r="F1222" t="s">
        <v>57</v>
      </c>
      <c r="G1222">
        <v>-511.97120000000001</v>
      </c>
      <c r="H1222">
        <v>37.94426</v>
      </c>
      <c r="I1222">
        <v>275.54640000000001</v>
      </c>
      <c r="J1222">
        <v>-292.61309999999997</v>
      </c>
      <c r="K1222">
        <v>1.110182</v>
      </c>
      <c r="L1222">
        <v>283.39440000000002</v>
      </c>
      <c r="M1222">
        <v>-0.99984170000000006</v>
      </c>
      <c r="N1222">
        <v>0</v>
      </c>
      <c r="O1222">
        <v>-1.17546E-2</v>
      </c>
      <c r="P1222">
        <v>-0.98731530000000001</v>
      </c>
      <c r="Q1222">
        <v>0.15219679999999999</v>
      </c>
      <c r="R1222">
        <v>-4.5219750000000003E-2</v>
      </c>
      <c r="S1222">
        <v>-2.9572449999999999</v>
      </c>
      <c r="T1222">
        <v>0.49619479999999999</v>
      </c>
      <c r="U1222">
        <v>-0.1057434</v>
      </c>
      <c r="V1222">
        <v>-3.3438000000000002E-2</v>
      </c>
      <c r="W1222">
        <v>0.16540869999999999</v>
      </c>
      <c r="X1222">
        <v>0.98565809999999998</v>
      </c>
      <c r="Y1222">
        <v>-2.3815599999999999E-2</v>
      </c>
      <c r="Z1222" s="1">
        <v>2.5480169999999998E-5</v>
      </c>
      <c r="AA1222">
        <v>0.9997163</v>
      </c>
      <c r="AB1222">
        <v>26</v>
      </c>
      <c r="AC1222">
        <v>-219.35810000000001</v>
      </c>
      <c r="AD1222">
        <v>36.834077999999998</v>
      </c>
      <c r="AE1222">
        <v>-7.8480000000000096</v>
      </c>
      <c r="AF1222">
        <v>-5.1244549440522897</v>
      </c>
      <c r="AG1222">
        <v>36.834077999999998</v>
      </c>
      <c r="AH1222">
        <v>213.42509381820199</v>
      </c>
      <c r="AI1222">
        <v>80.210805541110105</v>
      </c>
      <c r="AJ1222">
        <v>91.375439186694194</v>
      </c>
      <c r="AK1222">
        <v>216.640901059546</v>
      </c>
      <c r="AL1222">
        <v>80.479022636176495</v>
      </c>
      <c r="AM1222">
        <v>91.9429879512615</v>
      </c>
      <c r="AN1222">
        <v>1.0000000139876499</v>
      </c>
    </row>
    <row r="1223" spans="1:40" x14ac:dyDescent="0.3">
      <c r="A1223" t="str">
        <f>"20200111150746838"</f>
        <v>20200111150746838</v>
      </c>
      <c r="B1223" t="str">
        <f>"1578726466832441"</f>
        <v>1578726466832441</v>
      </c>
      <c r="C1223" t="s">
        <v>40</v>
      </c>
      <c r="D1223">
        <v>4.8586010000000002</v>
      </c>
      <c r="E1223">
        <v>0.50618790000000002</v>
      </c>
      <c r="F1223" t="s">
        <v>41</v>
      </c>
      <c r="G1223">
        <v>-293.3535</v>
      </c>
      <c r="H1223">
        <v>1.0326169999999999</v>
      </c>
      <c r="I1223">
        <v>283.37270000000001</v>
      </c>
      <c r="J1223">
        <v>-292.82810000000001</v>
      </c>
      <c r="K1223">
        <v>1.1101810000000001</v>
      </c>
      <c r="L1223">
        <v>283.39240000000001</v>
      </c>
      <c r="M1223">
        <v>-0.99984740000000005</v>
      </c>
      <c r="N1223">
        <v>0</v>
      </c>
      <c r="O1223">
        <v>-1.128082E-2</v>
      </c>
      <c r="P1223">
        <v>-0.98742580000000002</v>
      </c>
      <c r="Q1223">
        <v>0.15164659999999999</v>
      </c>
      <c r="R1223">
        <v>-4.4650280000000001E-2</v>
      </c>
      <c r="S1223">
        <v>-3.0841980000000002</v>
      </c>
      <c r="T1223">
        <v>-0.32314389999999998</v>
      </c>
      <c r="U1223">
        <v>-9.1003420000000002E-2</v>
      </c>
      <c r="V1223">
        <v>-3.3338189999999997E-2</v>
      </c>
      <c r="W1223">
        <v>0.1648579</v>
      </c>
      <c r="X1223">
        <v>0.98575369999999995</v>
      </c>
      <c r="Y1223">
        <v>-1.817701E-2</v>
      </c>
      <c r="Z1223">
        <v>2.2905899999999999E-4</v>
      </c>
      <c r="AA1223">
        <v>0.99983480000000002</v>
      </c>
      <c r="AB1223">
        <v>26</v>
      </c>
      <c r="AC1223">
        <v>-0.52539999999998999</v>
      </c>
      <c r="AD1223">
        <v>-7.7563999999999703E-2</v>
      </c>
      <c r="AE1223">
        <v>-1.97000000000002E-2</v>
      </c>
      <c r="AF1223">
        <v>-1.3477947850604501E-2</v>
      </c>
      <c r="AG1223">
        <v>-7.7563999999999703E-2</v>
      </c>
      <c r="AH1223">
        <v>0.514393770240541</v>
      </c>
      <c r="AI1223">
        <v>98.571973449897598</v>
      </c>
      <c r="AJ1223">
        <v>91.500898586948196</v>
      </c>
      <c r="AK1223">
        <v>0.52038330107387398</v>
      </c>
      <c r="AL1223">
        <v>80.511019920145898</v>
      </c>
      <c r="AM1223">
        <v>91.937004969947793</v>
      </c>
      <c r="AN1223">
        <v>0.999999959584287</v>
      </c>
    </row>
    <row r="1224" spans="1:40" x14ac:dyDescent="0.3">
      <c r="A1224" t="str">
        <f>"20200111150746851"</f>
        <v>20200111150746851</v>
      </c>
      <c r="B1224" t="str">
        <f>"1578726466842201"</f>
        <v>1578726466842201</v>
      </c>
      <c r="C1224" t="s">
        <v>40</v>
      </c>
      <c r="D1224">
        <v>6.0041469999999997</v>
      </c>
      <c r="E1224">
        <v>0.50618790000000002</v>
      </c>
      <c r="F1224" t="s">
        <v>41</v>
      </c>
      <c r="G1224">
        <v>-293.5795</v>
      </c>
      <c r="H1224">
        <v>1.0284819999999999</v>
      </c>
      <c r="I1224">
        <v>283.37580000000003</v>
      </c>
      <c r="J1224">
        <v>-292.99259999999998</v>
      </c>
      <c r="K1224">
        <v>1.1101840000000001</v>
      </c>
      <c r="L1224">
        <v>283.39100000000002</v>
      </c>
      <c r="M1224">
        <v>-0.9998513</v>
      </c>
      <c r="N1224">
        <v>0</v>
      </c>
      <c r="O1224">
        <v>-1.0918600000000001E-2</v>
      </c>
      <c r="P1224">
        <v>-0.98746970000000001</v>
      </c>
      <c r="Q1224">
        <v>0.15141489999999999</v>
      </c>
      <c r="R1224">
        <v>-4.4465360000000002E-2</v>
      </c>
      <c r="S1224">
        <v>-3.0866090000000002</v>
      </c>
      <c r="T1224">
        <v>-0.33573720000000001</v>
      </c>
      <c r="U1224">
        <v>-6.9488530000000007E-2</v>
      </c>
      <c r="V1224">
        <v>-3.3512010000000002E-2</v>
      </c>
      <c r="W1224">
        <v>0.16462560000000001</v>
      </c>
      <c r="X1224">
        <v>0.98578670000000002</v>
      </c>
      <c r="Y1224">
        <v>-1.1585130000000001E-2</v>
      </c>
      <c r="Z1224">
        <v>5.5591229999999998E-4</v>
      </c>
      <c r="AA1224">
        <v>0.99993270000000001</v>
      </c>
      <c r="AB1224">
        <v>26</v>
      </c>
      <c r="AC1224">
        <v>-0.58690000000001397</v>
      </c>
      <c r="AD1224">
        <v>-8.1702000000000094E-2</v>
      </c>
      <c r="AE1224">
        <v>-1.51999999999361E-2</v>
      </c>
      <c r="AF1224">
        <v>-8.6233935559948491E-3</v>
      </c>
      <c r="AG1224">
        <v>-8.1702000000000094E-2</v>
      </c>
      <c r="AH1224">
        <v>0.575878371092162</v>
      </c>
      <c r="AI1224">
        <v>98.073981818752998</v>
      </c>
      <c r="AJ1224">
        <v>90.857901869593405</v>
      </c>
      <c r="AK1224">
        <v>0.58170910085040195</v>
      </c>
      <c r="AL1224">
        <v>80.524514782540805</v>
      </c>
      <c r="AM1224">
        <v>91.947031320617398</v>
      </c>
      <c r="AN1224">
        <v>1.0000000304432399</v>
      </c>
    </row>
    <row r="1225" spans="1:40" x14ac:dyDescent="0.3">
      <c r="A1225" t="str">
        <f>"20200111150746865"</f>
        <v>20200111150746865</v>
      </c>
      <c r="B1225" t="str">
        <f>"1578726466862697"</f>
        <v>1578726466862697</v>
      </c>
      <c r="C1225" t="s">
        <v>40</v>
      </c>
      <c r="D1225">
        <v>5.1268560000000001</v>
      </c>
      <c r="E1225">
        <v>0.51687879999999997</v>
      </c>
      <c r="F1225" t="s">
        <v>41</v>
      </c>
      <c r="G1225">
        <v>-293.80579999999998</v>
      </c>
      <c r="H1225">
        <v>1.021574</v>
      </c>
      <c r="I1225">
        <v>283.37299999999999</v>
      </c>
      <c r="J1225">
        <v>-293.15159999999997</v>
      </c>
      <c r="K1225">
        <v>1.110182</v>
      </c>
      <c r="L1225">
        <v>283.38959999999997</v>
      </c>
      <c r="M1225">
        <v>-0.99985500000000005</v>
      </c>
      <c r="N1225">
        <v>0</v>
      </c>
      <c r="O1225">
        <v>-1.056841E-2</v>
      </c>
      <c r="P1225">
        <v>-0.98753089999999999</v>
      </c>
      <c r="Q1225">
        <v>0.1511458</v>
      </c>
      <c r="R1225">
        <v>-4.4017800000000003E-2</v>
      </c>
      <c r="S1225">
        <v>-3.0865480000000001</v>
      </c>
      <c r="T1225">
        <v>-0.33645770000000003</v>
      </c>
      <c r="U1225">
        <v>-6.9061280000000003E-2</v>
      </c>
      <c r="V1225">
        <v>-3.3411049999999998E-2</v>
      </c>
      <c r="W1225">
        <v>0.16435559999999999</v>
      </c>
      <c r="X1225">
        <v>0.98583509999999996</v>
      </c>
      <c r="Y1225">
        <v>-1.179412E-2</v>
      </c>
      <c r="Z1225">
        <v>5.0769910000000005E-4</v>
      </c>
      <c r="AA1225">
        <v>0.99993030000000005</v>
      </c>
      <c r="AB1225">
        <v>26</v>
      </c>
      <c r="AC1225">
        <v>-0.654200000000002</v>
      </c>
      <c r="AD1225">
        <v>-8.8608000000000006E-2</v>
      </c>
      <c r="AE1225">
        <v>-1.6599999999982601E-2</v>
      </c>
      <c r="AF1225">
        <v>-9.5102464879753094E-3</v>
      </c>
      <c r="AG1225">
        <v>-8.8608000000000006E-2</v>
      </c>
      <c r="AH1225">
        <v>0.64255856559676405</v>
      </c>
      <c r="AI1225">
        <v>97.850646950497506</v>
      </c>
      <c r="AJ1225">
        <v>90.847949482535199</v>
      </c>
      <c r="AK1225">
        <v>0.64870897378873504</v>
      </c>
      <c r="AL1225">
        <v>80.540197533098905</v>
      </c>
      <c r="AM1225">
        <v>91.941074858886594</v>
      </c>
      <c r="AN1225">
        <v>0.99999995295273503</v>
      </c>
    </row>
    <row r="1226" spans="1:40" x14ac:dyDescent="0.3">
      <c r="A1226" t="str">
        <f>"20200111150746883"</f>
        <v>20200111150746883</v>
      </c>
      <c r="B1226" t="str">
        <f>"1578726466872456"</f>
        <v>1578726466872456</v>
      </c>
      <c r="C1226" t="s">
        <v>40</v>
      </c>
      <c r="D1226">
        <v>5.5643859999999998</v>
      </c>
      <c r="E1226">
        <v>0.51871610000000001</v>
      </c>
      <c r="F1226" t="s">
        <v>49</v>
      </c>
      <c r="G1226">
        <v>0</v>
      </c>
      <c r="H1226">
        <v>0</v>
      </c>
      <c r="I1226">
        <v>0</v>
      </c>
      <c r="J1226">
        <v>-293.35640000000001</v>
      </c>
      <c r="K1226">
        <v>1.1101829999999999</v>
      </c>
      <c r="L1226">
        <v>283.38799999999998</v>
      </c>
      <c r="M1226">
        <v>-0.99985979999999997</v>
      </c>
      <c r="N1226">
        <v>0</v>
      </c>
      <c r="O1226">
        <v>-1.011856E-2</v>
      </c>
      <c r="P1226">
        <v>-0.98759909999999995</v>
      </c>
      <c r="Q1226">
        <v>0.1508187</v>
      </c>
      <c r="R1226">
        <v>-4.3608859999999999E-2</v>
      </c>
      <c r="S1226">
        <v>-2.9813540000000001</v>
      </c>
      <c r="T1226">
        <v>0.37052629999999998</v>
      </c>
      <c r="U1226">
        <v>4.0283200000000002E-3</v>
      </c>
      <c r="V1226">
        <v>-3.344722E-2</v>
      </c>
      <c r="W1226">
        <v>0.16402820000000001</v>
      </c>
      <c r="X1226">
        <v>0.9858884</v>
      </c>
      <c r="Y1226">
        <v>1.130572E-2</v>
      </c>
      <c r="Z1226">
        <v>-1.952678E-3</v>
      </c>
      <c r="AA1226">
        <v>0.9999342</v>
      </c>
      <c r="AB1226">
        <v>26</v>
      </c>
      <c r="AC1226">
        <v>-2.9813540000000001</v>
      </c>
      <c r="AD1226">
        <v>0.37052629999999998</v>
      </c>
      <c r="AE1226">
        <v>4.0283200000000002E-3</v>
      </c>
      <c r="AF1226">
        <v>3.3677630526039899E-2</v>
      </c>
      <c r="AG1226">
        <v>0.37052629999999998</v>
      </c>
      <c r="AH1226">
        <v>2.9358145982956798</v>
      </c>
      <c r="AI1226">
        <v>82.807255764407898</v>
      </c>
      <c r="AJ1226">
        <v>89.342771351331706</v>
      </c>
      <c r="AK1226">
        <v>2.9592957400968798</v>
      </c>
      <c r="AL1226">
        <v>80.559214251168797</v>
      </c>
      <c r="AM1226">
        <v>91.943069636639905</v>
      </c>
      <c r="AN1226">
        <v>0.99999995208776304</v>
      </c>
    </row>
    <row r="1227" spans="1:40" x14ac:dyDescent="0.3">
      <c r="A1227" t="str">
        <f>"20200111150746898"</f>
        <v>20200111150746898</v>
      </c>
      <c r="B1227" t="str">
        <f>"1578726466891977"</f>
        <v>1578726466891977</v>
      </c>
      <c r="C1227" t="s">
        <v>40</v>
      </c>
      <c r="D1227">
        <v>5.3951669999999998</v>
      </c>
      <c r="E1227">
        <v>0.51289989999999996</v>
      </c>
      <c r="F1227" t="s">
        <v>49</v>
      </c>
      <c r="G1227">
        <v>0</v>
      </c>
      <c r="H1227">
        <v>0</v>
      </c>
      <c r="I1227">
        <v>0</v>
      </c>
      <c r="J1227">
        <v>-293.52940000000001</v>
      </c>
      <c r="K1227">
        <v>1.1101909999999999</v>
      </c>
      <c r="L1227">
        <v>283.38670000000002</v>
      </c>
      <c r="M1227">
        <v>-0.99986359999999996</v>
      </c>
      <c r="N1227">
        <v>0</v>
      </c>
      <c r="O1227">
        <v>-9.7376019999999997E-3</v>
      </c>
      <c r="P1227">
        <v>-0.98764470000000004</v>
      </c>
      <c r="Q1227">
        <v>0.150621799999999</v>
      </c>
      <c r="R1227">
        <v>-4.3255689999999999E-2</v>
      </c>
      <c r="S1227">
        <v>-2.9587400000000001</v>
      </c>
      <c r="T1227">
        <v>0.5217811</v>
      </c>
      <c r="U1227">
        <v>1.6815190000000001E-2</v>
      </c>
      <c r="V1227">
        <v>-3.347137E-2</v>
      </c>
      <c r="W1227">
        <v>0.1638307</v>
      </c>
      <c r="X1227">
        <v>0.98592049999999998</v>
      </c>
      <c r="Y1227">
        <v>1.5038849999999999E-2</v>
      </c>
      <c r="Z1227">
        <v>-3.020137E-3</v>
      </c>
      <c r="AA1227">
        <v>0.9998823</v>
      </c>
      <c r="AB1227">
        <v>26</v>
      </c>
      <c r="AC1227">
        <v>-2.9587400000000001</v>
      </c>
      <c r="AD1227">
        <v>0.5217811</v>
      </c>
      <c r="AE1227">
        <v>1.6815190000000001E-2</v>
      </c>
      <c r="AF1227">
        <v>4.4251794236124797E-2</v>
      </c>
      <c r="AG1227">
        <v>0.5217811</v>
      </c>
      <c r="AH1227">
        <v>2.8692059655683</v>
      </c>
      <c r="AI1227">
        <v>79.694279010336302</v>
      </c>
      <c r="AJ1227">
        <v>89.116396637178099</v>
      </c>
      <c r="AK1227">
        <v>2.9166001800834902</v>
      </c>
      <c r="AL1227">
        <v>80.570686105009102</v>
      </c>
      <c r="AM1227">
        <v>91.944408260337198</v>
      </c>
      <c r="AN1227">
        <v>1.0000000315962001</v>
      </c>
    </row>
    <row r="1228" spans="1:40" x14ac:dyDescent="0.3">
      <c r="A1228" t="str">
        <f>"20200111150746916"</f>
        <v>20200111150746916</v>
      </c>
      <c r="B1228" t="str">
        <f>"1578726466912473"</f>
        <v>1578726466912473</v>
      </c>
      <c r="C1228" t="s">
        <v>40</v>
      </c>
      <c r="D1228">
        <v>4.8219539999999999</v>
      </c>
      <c r="E1228">
        <v>0.50628859999999998</v>
      </c>
      <c r="F1228" t="s">
        <v>49</v>
      </c>
      <c r="G1228">
        <v>0</v>
      </c>
      <c r="H1228">
        <v>0</v>
      </c>
      <c r="I1228">
        <v>0</v>
      </c>
      <c r="J1228">
        <v>-293.73009999999999</v>
      </c>
      <c r="K1228">
        <v>1.110195</v>
      </c>
      <c r="L1228">
        <v>283.3852</v>
      </c>
      <c r="M1228">
        <v>-0.99986790000000003</v>
      </c>
      <c r="N1228">
        <v>0</v>
      </c>
      <c r="O1228">
        <v>-9.2957290000000008E-3</v>
      </c>
      <c r="P1228">
        <v>-0.98763719999999999</v>
      </c>
      <c r="Q1228">
        <v>0.15090390000000001</v>
      </c>
      <c r="R1228">
        <v>-4.2441260000000001E-2</v>
      </c>
      <c r="S1228">
        <v>-2.9585569999999999</v>
      </c>
      <c r="T1228">
        <v>0.50996039999999998</v>
      </c>
      <c r="U1228">
        <v>-2.8137209999999999E-2</v>
      </c>
      <c r="V1228">
        <v>-3.3093240000000003E-2</v>
      </c>
      <c r="W1228">
        <v>0.16411099999999901</v>
      </c>
      <c r="X1228">
        <v>0.98588659999999995</v>
      </c>
      <c r="Y1228">
        <v>-3.4545270000000002E-4</v>
      </c>
      <c r="Z1228">
        <v>-1.561076E-3</v>
      </c>
      <c r="AA1228">
        <v>0.99999870000000002</v>
      </c>
      <c r="AB1228">
        <v>26</v>
      </c>
      <c r="AC1228">
        <v>-2.9585569999999999</v>
      </c>
      <c r="AD1228">
        <v>0.50996039999999998</v>
      </c>
      <c r="AE1228">
        <v>-2.8137209999999999E-2</v>
      </c>
      <c r="AF1228">
        <v>-6.1338272696161102E-4</v>
      </c>
      <c r="AG1228">
        <v>0.50996039999999998</v>
      </c>
      <c r="AH1228">
        <v>2.8733297823686899</v>
      </c>
      <c r="AI1228">
        <v>79.935906409305701</v>
      </c>
      <c r="AJ1228">
        <v>90.0122311894593</v>
      </c>
      <c r="AK1228">
        <v>2.9182330311428899</v>
      </c>
      <c r="AL1228">
        <v>80.554405307028702</v>
      </c>
      <c r="AM1228">
        <v>91.922524683436393</v>
      </c>
      <c r="AN1228">
        <v>0.99999998545712798</v>
      </c>
    </row>
    <row r="1229" spans="1:40" x14ac:dyDescent="0.3">
      <c r="A1229" t="str">
        <f>"20200111150746938"</f>
        <v>20200111150746938</v>
      </c>
      <c r="B1229" t="str">
        <f>"1578726466931993"</f>
        <v>1578726466931993</v>
      </c>
      <c r="C1229" t="s">
        <v>40</v>
      </c>
      <c r="D1229">
        <v>5.1395109999999997</v>
      </c>
      <c r="E1229">
        <v>0.50244889999999998</v>
      </c>
      <c r="F1229" t="s">
        <v>57</v>
      </c>
      <c r="G1229">
        <v>-511.97129999999999</v>
      </c>
      <c r="H1229">
        <v>38.271630000000002</v>
      </c>
      <c r="I1229">
        <v>277.61059999999998</v>
      </c>
      <c r="J1229">
        <v>-293.98590000000002</v>
      </c>
      <c r="K1229">
        <v>1.110198</v>
      </c>
      <c r="L1229">
        <v>283.38350000000003</v>
      </c>
      <c r="M1229">
        <v>-0.99987289999999995</v>
      </c>
      <c r="N1229">
        <v>0</v>
      </c>
      <c r="O1229">
        <v>-8.7319040000000004E-3</v>
      </c>
      <c r="P1229">
        <v>-0.98761560000000004</v>
      </c>
      <c r="Q1229">
        <v>0.15137879999999901</v>
      </c>
      <c r="R1229">
        <v>-4.1232209999999998E-2</v>
      </c>
      <c r="S1229">
        <v>-2.9572449999999999</v>
      </c>
      <c r="T1229">
        <v>0.50355099999999997</v>
      </c>
      <c r="U1229">
        <v>-7.8247070000000002E-2</v>
      </c>
      <c r="V1229">
        <v>-3.2441890000000001E-2</v>
      </c>
      <c r="W1229">
        <v>0.1645828</v>
      </c>
      <c r="X1229">
        <v>0.98582959999999997</v>
      </c>
      <c r="Y1229">
        <v>-1.7592139999999999E-2</v>
      </c>
      <c r="Z1229" s="1">
        <v>1.0770979999999999E-5</v>
      </c>
      <c r="AA1229">
        <v>0.99984530000000005</v>
      </c>
      <c r="AB1229">
        <v>26</v>
      </c>
      <c r="AC1229">
        <v>-217.9854</v>
      </c>
      <c r="AD1229">
        <v>37.161431999999998</v>
      </c>
      <c r="AE1229">
        <v>-5.7729000000000497</v>
      </c>
      <c r="AF1229">
        <v>-3.75988847594552</v>
      </c>
      <c r="AG1229">
        <v>37.161431999999998</v>
      </c>
      <c r="AH1229">
        <v>211.87426194878299</v>
      </c>
      <c r="AI1229">
        <v>80.053398084137299</v>
      </c>
      <c r="AJ1229">
        <v>91.016655490827603</v>
      </c>
      <c r="AK1229">
        <v>215.141375997235</v>
      </c>
      <c r="AL1229">
        <v>80.527000541102495</v>
      </c>
      <c r="AM1229">
        <v>91.884821496514903</v>
      </c>
      <c r="AN1229">
        <v>0.99999998725938499</v>
      </c>
    </row>
    <row r="1230" spans="1:40" x14ac:dyDescent="0.3">
      <c r="A1230" t="str">
        <f>"20200111150746951"</f>
        <v>20200111150746951</v>
      </c>
      <c r="B1230" t="str">
        <f>"1578726466942729"</f>
        <v>1578726466942729</v>
      </c>
      <c r="C1230" t="s">
        <v>40</v>
      </c>
      <c r="D1230">
        <v>5.2280059999999997</v>
      </c>
      <c r="E1230">
        <v>0.50244889999999998</v>
      </c>
      <c r="F1230" t="s">
        <v>57</v>
      </c>
      <c r="G1230">
        <v>-511.97149999999999</v>
      </c>
      <c r="H1230">
        <v>38.886560000000003</v>
      </c>
      <c r="I1230">
        <v>275.60930000000002</v>
      </c>
      <c r="J1230">
        <v>-294.14479999999998</v>
      </c>
      <c r="K1230">
        <v>1.1102019999999999</v>
      </c>
      <c r="L1230">
        <v>283.38249999999999</v>
      </c>
      <c r="M1230">
        <v>-0.99987599999999999</v>
      </c>
      <c r="N1230">
        <v>0</v>
      </c>
      <c r="O1230">
        <v>-8.38121E-3</v>
      </c>
      <c r="P1230">
        <v>-0.98761770000000004</v>
      </c>
      <c r="Q1230">
        <v>0.1515338</v>
      </c>
      <c r="R1230">
        <v>-4.0610880000000002E-2</v>
      </c>
      <c r="S1230">
        <v>-2.954742</v>
      </c>
      <c r="T1230">
        <v>0.51205020000000001</v>
      </c>
      <c r="U1230">
        <v>-0.1053772</v>
      </c>
      <c r="V1230">
        <v>-3.2167000000000001E-2</v>
      </c>
      <c r="W1230">
        <v>0.1647361</v>
      </c>
      <c r="X1230">
        <v>0.98581300000000005</v>
      </c>
      <c r="Y1230">
        <v>-2.6986280000000001E-2</v>
      </c>
      <c r="Z1230">
        <v>8.7899709999999999E-4</v>
      </c>
      <c r="AA1230">
        <v>0.99963539999999995</v>
      </c>
      <c r="AB1230">
        <v>26</v>
      </c>
      <c r="AC1230">
        <v>-217.82669999999999</v>
      </c>
      <c r="AD1230">
        <v>37.776358000000002</v>
      </c>
      <c r="AE1230">
        <v>-7.7731999999999699</v>
      </c>
      <c r="AF1230">
        <v>-5.7736856802874001</v>
      </c>
      <c r="AG1230">
        <v>37.776358000000002</v>
      </c>
      <c r="AH1230">
        <v>211.53033851210799</v>
      </c>
      <c r="AI1230">
        <v>79.878210731505106</v>
      </c>
      <c r="AJ1230">
        <v>91.563490652222796</v>
      </c>
      <c r="AK1230">
        <v>214.95458306611201</v>
      </c>
      <c r="AL1230">
        <v>80.518095525086906</v>
      </c>
      <c r="AM1230">
        <v>91.868893651637407</v>
      </c>
      <c r="AN1230">
        <v>0.99999998475060403</v>
      </c>
    </row>
    <row r="1231" spans="1:40" x14ac:dyDescent="0.3">
      <c r="A1231" t="str">
        <f>"20200111150746964"</f>
        <v>20200111150746964</v>
      </c>
      <c r="B1231" t="str">
        <f>"1578726466952489"</f>
        <v>1578726466952489</v>
      </c>
      <c r="C1231" t="s">
        <v>40</v>
      </c>
      <c r="D1231">
        <v>5.1490179999999999</v>
      </c>
      <c r="E1231">
        <v>0.50395699999999999</v>
      </c>
      <c r="F1231" t="s">
        <v>57</v>
      </c>
      <c r="G1231">
        <v>-511.97149999999999</v>
      </c>
      <c r="H1231">
        <v>38.892600000000002</v>
      </c>
      <c r="I1231">
        <v>275.75790000000001</v>
      </c>
      <c r="J1231">
        <v>-294.286</v>
      </c>
      <c r="K1231">
        <v>1.1102019999999999</v>
      </c>
      <c r="L1231">
        <v>283.38170000000002</v>
      </c>
      <c r="M1231">
        <v>-0.99987859999999995</v>
      </c>
      <c r="N1231">
        <v>0</v>
      </c>
      <c r="O1231">
        <v>-8.0692569999999998E-3</v>
      </c>
      <c r="P1231">
        <v>-0.98760870000000001</v>
      </c>
      <c r="Q1231">
        <v>0.15173329999999999</v>
      </c>
      <c r="R1231">
        <v>-4.0079410000000003E-2</v>
      </c>
      <c r="S1231">
        <v>-2.9547119999999998</v>
      </c>
      <c r="T1231">
        <v>0.51250030000000002</v>
      </c>
      <c r="U1231">
        <v>-0.1034241</v>
      </c>
      <c r="V1231">
        <v>-3.1944050000000002E-2</v>
      </c>
      <c r="W1231">
        <v>0.16493459999999999</v>
      </c>
      <c r="X1231">
        <v>0.98578710000000003</v>
      </c>
      <c r="Y1231">
        <v>-2.6638599999999998E-2</v>
      </c>
      <c r="Z1231">
        <v>9.0354750000000005E-4</v>
      </c>
      <c r="AA1231">
        <v>0.99964470000000005</v>
      </c>
      <c r="AB1231">
        <v>26</v>
      </c>
      <c r="AC1231">
        <v>-217.68549999999999</v>
      </c>
      <c r="AD1231">
        <v>37.782398000000001</v>
      </c>
      <c r="AE1231">
        <v>-7.6238000000000099</v>
      </c>
      <c r="AF1231">
        <v>-5.6954722925209698</v>
      </c>
      <c r="AG1231">
        <v>37.782398000000001</v>
      </c>
      <c r="AH1231">
        <v>211.38001613162101</v>
      </c>
      <c r="AI1231">
        <v>79.869481425769905</v>
      </c>
      <c r="AJ1231">
        <v>91.543417371872295</v>
      </c>
      <c r="AK1231">
        <v>214.80563126480101</v>
      </c>
      <c r="AL1231">
        <v>80.506564973081595</v>
      </c>
      <c r="AM1231">
        <v>91.855998138089006</v>
      </c>
      <c r="AN1231">
        <v>1.0000000255669801</v>
      </c>
    </row>
    <row r="1232" spans="1:40" x14ac:dyDescent="0.3">
      <c r="A1232" t="str">
        <f>"20200111150746982"</f>
        <v>20200111150746982</v>
      </c>
      <c r="B1232" t="str">
        <f>"1578726466972008"</f>
        <v>1578726466972008</v>
      </c>
      <c r="C1232" t="s">
        <v>40</v>
      </c>
      <c r="D1232">
        <v>5.2772009999999998</v>
      </c>
      <c r="E1232">
        <v>0.51770139999999998</v>
      </c>
      <c r="F1232" t="s">
        <v>57</v>
      </c>
      <c r="G1232">
        <v>-511.9717</v>
      </c>
      <c r="H1232">
        <v>39.565080000000002</v>
      </c>
      <c r="I1232">
        <v>276.75369999999998</v>
      </c>
      <c r="J1232">
        <v>-294.49900000000002</v>
      </c>
      <c r="K1232">
        <v>1.110206</v>
      </c>
      <c r="L1232">
        <v>283.38049999999998</v>
      </c>
      <c r="M1232">
        <v>-0.99988220000000005</v>
      </c>
      <c r="N1232">
        <v>0</v>
      </c>
      <c r="O1232">
        <v>-7.5978119999999998E-3</v>
      </c>
      <c r="P1232">
        <v>-0.98756739999999998</v>
      </c>
      <c r="Q1232">
        <v>0.15228820000000001</v>
      </c>
      <c r="R1232">
        <v>-3.8976749999999998E-2</v>
      </c>
      <c r="S1232">
        <v>-2.9537960000000001</v>
      </c>
      <c r="T1232">
        <v>0.52179809999999904</v>
      </c>
      <c r="U1232">
        <v>-8.9935299999999996E-2</v>
      </c>
      <c r="V1232">
        <v>-3.1307000000000001E-2</v>
      </c>
      <c r="W1232">
        <v>0.1654862</v>
      </c>
      <c r="X1232">
        <v>0.98571500000000001</v>
      </c>
      <c r="Y1232">
        <v>-2.2605279999999998E-2</v>
      </c>
      <c r="Z1232">
        <v>6.4922519999999998E-4</v>
      </c>
      <c r="AA1232">
        <v>0.99974419999999997</v>
      </c>
      <c r="AB1232">
        <v>26</v>
      </c>
      <c r="AC1232">
        <v>-217.4727</v>
      </c>
      <c r="AD1232">
        <v>38.454873999999997</v>
      </c>
      <c r="AE1232">
        <v>-6.6268000000000002</v>
      </c>
      <c r="AF1232">
        <v>-4.8234671462117804</v>
      </c>
      <c r="AG1232">
        <v>38.454873999999997</v>
      </c>
      <c r="AH1232">
        <v>210.927709443064</v>
      </c>
      <c r="AI1232">
        <v>79.6703517756183</v>
      </c>
      <c r="AJ1232">
        <v>91.310004038857201</v>
      </c>
      <c r="AK1232">
        <v>214.45871812673801</v>
      </c>
      <c r="AL1232">
        <v>80.474519412533098</v>
      </c>
      <c r="AM1232">
        <v>91.819142639844898</v>
      </c>
      <c r="AN1232">
        <v>0.99999993593221803</v>
      </c>
    </row>
    <row r="1233" spans="1:40" x14ac:dyDescent="0.3">
      <c r="A1233" t="str">
        <f>"20200111150746996"</f>
        <v>20200111150746996</v>
      </c>
      <c r="B1233" t="str">
        <f>"1578726466992505"</f>
        <v>1578726466992505</v>
      </c>
      <c r="C1233" t="s">
        <v>40</v>
      </c>
      <c r="D1233">
        <v>5.2579229999999999</v>
      </c>
      <c r="E1233">
        <v>0.51512910000000001</v>
      </c>
      <c r="F1233" t="s">
        <v>58</v>
      </c>
      <c r="G1233">
        <v>-317.22640000000001</v>
      </c>
      <c r="H1233" s="1">
        <v>5.5064990000000003E-6</v>
      </c>
      <c r="I1233">
        <v>283.64530000000002</v>
      </c>
      <c r="J1233">
        <v>-294.65140000000002</v>
      </c>
      <c r="K1233">
        <v>1.1102110000000001</v>
      </c>
      <c r="L1233">
        <v>283.37970000000001</v>
      </c>
      <c r="M1233">
        <v>-0.99988460000000001</v>
      </c>
      <c r="N1233">
        <v>0</v>
      </c>
      <c r="O1233">
        <v>-7.2604649999999998E-3</v>
      </c>
      <c r="P1233">
        <v>-0.98752609999999996</v>
      </c>
      <c r="Q1233">
        <v>0.15269469999999999</v>
      </c>
      <c r="R1233">
        <v>-3.8424769999999997E-2</v>
      </c>
      <c r="S1233">
        <v>-3.0622250000000002</v>
      </c>
      <c r="T1233">
        <v>-0.14958479999999999</v>
      </c>
      <c r="U1233">
        <v>3.567505E-2</v>
      </c>
      <c r="V1233">
        <v>-3.1088640000000001E-2</v>
      </c>
      <c r="W1233">
        <v>0.16589110000000001</v>
      </c>
      <c r="X1233">
        <v>0.98565389999999997</v>
      </c>
      <c r="Y1233">
        <v>1.88784E-2</v>
      </c>
      <c r="Z1233">
        <v>8.1527080000000005E-4</v>
      </c>
      <c r="AA1233">
        <v>0.99982150000000003</v>
      </c>
      <c r="AB1233">
        <v>26</v>
      </c>
      <c r="AC1233">
        <v>-22.5749999999999</v>
      </c>
      <c r="AD1233">
        <v>-1.110205493501</v>
      </c>
      <c r="AE1233">
        <v>0.265600000000006</v>
      </c>
      <c r="AF1233">
        <v>0.42847645186495598</v>
      </c>
      <c r="AG1233">
        <v>-1.110205493501</v>
      </c>
      <c r="AH1233">
        <v>22.518023375753799</v>
      </c>
      <c r="AI1233">
        <v>92.8220567025636</v>
      </c>
      <c r="AJ1233">
        <v>88.909898545967593</v>
      </c>
      <c r="AK1233">
        <v>22.549446225098301</v>
      </c>
      <c r="AL1233">
        <v>80.450995679343194</v>
      </c>
      <c r="AM1233">
        <v>91.806574830982598</v>
      </c>
      <c r="AN1233">
        <v>0.999999985590734</v>
      </c>
    </row>
    <row r="1234" spans="1:40" x14ac:dyDescent="0.3">
      <c r="A1234" t="str">
        <f>"20200111150747010"</f>
        <v>20200111150747010</v>
      </c>
      <c r="B1234" t="str">
        <f>"1578726467002264"</f>
        <v>1578726467002264</v>
      </c>
      <c r="C1234" t="s">
        <v>40</v>
      </c>
      <c r="D1234">
        <v>5.248259</v>
      </c>
      <c r="E1234">
        <v>0.51512910000000001</v>
      </c>
      <c r="F1234" t="s">
        <v>55</v>
      </c>
      <c r="G1234">
        <v>-333.67160000000001</v>
      </c>
      <c r="H1234" s="1">
        <v>4.6239819999999999E-7</v>
      </c>
      <c r="I1234">
        <v>283.57870000000003</v>
      </c>
      <c r="J1234">
        <v>-294.80829999999997</v>
      </c>
      <c r="K1234">
        <v>1.1102110000000001</v>
      </c>
      <c r="L1234">
        <v>283.37900000000002</v>
      </c>
      <c r="M1234">
        <v>-0.99988719999999998</v>
      </c>
      <c r="N1234">
        <v>0</v>
      </c>
      <c r="O1234">
        <v>-6.9134629999999999E-3</v>
      </c>
      <c r="P1234">
        <v>-0.98749319999999896</v>
      </c>
      <c r="Q1234">
        <v>0.15306129999999901</v>
      </c>
      <c r="R1234">
        <v>-3.7810299999999998E-2</v>
      </c>
      <c r="S1234">
        <v>-3.0519409999999998</v>
      </c>
      <c r="T1234">
        <v>-8.6834549999999996E-2</v>
      </c>
      <c r="U1234">
        <v>1.556396E-2</v>
      </c>
      <c r="V1234">
        <v>-3.0816949999999999E-2</v>
      </c>
      <c r="W1234">
        <v>0.16625599999999999</v>
      </c>
      <c r="X1234">
        <v>0.9856009</v>
      </c>
      <c r="Y1234">
        <v>1.200584E-2</v>
      </c>
      <c r="Z1234">
        <v>3.6744039999999999E-4</v>
      </c>
      <c r="AA1234">
        <v>0.99992789999999998</v>
      </c>
      <c r="AB1234">
        <v>26</v>
      </c>
      <c r="AC1234">
        <v>-38.863300000000002</v>
      </c>
      <c r="AD1234">
        <v>-1.1102105376018001</v>
      </c>
      <c r="AE1234">
        <v>0.19970000000000701</v>
      </c>
      <c r="AF1234">
        <v>0.46801717279920801</v>
      </c>
      <c r="AG1234">
        <v>-1.1102105376018001</v>
      </c>
      <c r="AH1234">
        <v>38.829303448323003</v>
      </c>
      <c r="AI1234">
        <v>91.6376404077226</v>
      </c>
      <c r="AJ1234">
        <v>89.309436227374107</v>
      </c>
      <c r="AK1234">
        <v>38.847991116578797</v>
      </c>
      <c r="AL1234">
        <v>80.429793569845401</v>
      </c>
      <c r="AM1234">
        <v>91.790893364648994</v>
      </c>
      <c r="AN1234">
        <v>0.999999938012054</v>
      </c>
    </row>
    <row r="1235" spans="1:40" x14ac:dyDescent="0.3">
      <c r="A1235" t="str">
        <f>"20200111150747027"</f>
        <v>20200111150747027</v>
      </c>
      <c r="B1235" t="str">
        <f>"1578726467022760"</f>
        <v>1578726467022760</v>
      </c>
      <c r="C1235" t="s">
        <v>40</v>
      </c>
      <c r="D1235">
        <v>5.3038819999999998</v>
      </c>
      <c r="E1235">
        <v>0.54817609999999894</v>
      </c>
      <c r="F1235" t="s">
        <v>55</v>
      </c>
      <c r="G1235">
        <v>-334.3295</v>
      </c>
      <c r="H1235" s="1">
        <v>8.1135830000000001E-7</v>
      </c>
      <c r="I1235">
        <v>283.60539999999997</v>
      </c>
      <c r="J1235">
        <v>-295.00979999999998</v>
      </c>
      <c r="K1235">
        <v>1.1102129999999999</v>
      </c>
      <c r="L1235">
        <v>283.37810000000002</v>
      </c>
      <c r="M1235">
        <v>-0.99988999999999995</v>
      </c>
      <c r="N1235">
        <v>0</v>
      </c>
      <c r="O1235">
        <v>-6.4669250000000001E-3</v>
      </c>
      <c r="P1235">
        <v>-0.98749629999999999</v>
      </c>
      <c r="Q1235">
        <v>0.1532704</v>
      </c>
      <c r="R1235">
        <v>-3.6872790000000003E-2</v>
      </c>
      <c r="S1235">
        <v>-3.051971</v>
      </c>
      <c r="T1235">
        <v>-8.5734370000000004E-2</v>
      </c>
      <c r="U1235">
        <v>1.748657E-2</v>
      </c>
      <c r="V1235">
        <v>-3.032052E-2</v>
      </c>
      <c r="W1235">
        <v>0.16646340000000001</v>
      </c>
      <c r="X1235">
        <v>0.98558129999999999</v>
      </c>
      <c r="Y1235">
        <v>1.2189419999999999E-2</v>
      </c>
      <c r="Z1235">
        <v>3.5281839999999902E-4</v>
      </c>
      <c r="AA1235">
        <v>0.99992570000000003</v>
      </c>
      <c r="AB1235">
        <v>26</v>
      </c>
      <c r="AC1235">
        <v>-39.319699999999997</v>
      </c>
      <c r="AD1235">
        <v>-1.11021218864169</v>
      </c>
      <c r="AE1235">
        <v>0.22729999999995601</v>
      </c>
      <c r="AF1235">
        <v>0.48121182127948298</v>
      </c>
      <c r="AG1235">
        <v>-1.11021218864169</v>
      </c>
      <c r="AH1235">
        <v>39.286088009734101</v>
      </c>
      <c r="AI1235">
        <v>91.618608092984601</v>
      </c>
      <c r="AJ1235">
        <v>89.2982241543437</v>
      </c>
      <c r="AK1235">
        <v>39.304717872404602</v>
      </c>
      <c r="AL1235">
        <v>80.417742592738904</v>
      </c>
      <c r="AM1235">
        <v>91.762097233175197</v>
      </c>
      <c r="AN1235">
        <v>0.99999994819115801</v>
      </c>
    </row>
    <row r="1236" spans="1:40" x14ac:dyDescent="0.3">
      <c r="A1236" t="str">
        <f>"20200111150747041"</f>
        <v>20200111150747041</v>
      </c>
      <c r="B1236" t="str">
        <f>"1578726467032521"</f>
        <v>1578726467032521</v>
      </c>
      <c r="C1236" t="s">
        <v>40</v>
      </c>
      <c r="D1236">
        <v>5.2621120000000001</v>
      </c>
      <c r="E1236">
        <v>0.54696449999999996</v>
      </c>
      <c r="F1236" t="s">
        <v>41</v>
      </c>
      <c r="G1236">
        <v>-295.82619999999997</v>
      </c>
      <c r="H1236">
        <v>0.93618579999999996</v>
      </c>
      <c r="I1236">
        <v>283.4545</v>
      </c>
      <c r="J1236">
        <v>-295.16579999999999</v>
      </c>
      <c r="K1236">
        <v>1.110214</v>
      </c>
      <c r="L1236">
        <v>283.3775</v>
      </c>
      <c r="M1236">
        <v>-0.99989240000000001</v>
      </c>
      <c r="N1236">
        <v>0</v>
      </c>
      <c r="O1236">
        <v>-6.1215899999999997E-3</v>
      </c>
      <c r="P1236">
        <v>-0.98752530000000005</v>
      </c>
      <c r="Q1236">
        <v>0.15321799999999999</v>
      </c>
      <c r="R1236">
        <v>-3.6306140000000001E-2</v>
      </c>
      <c r="S1236">
        <v>-3.1532900000000001</v>
      </c>
      <c r="T1236">
        <v>-0.6721878</v>
      </c>
      <c r="U1236">
        <v>0.29394530000000002</v>
      </c>
      <c r="V1236">
        <v>-3.0094739999999998E-2</v>
      </c>
      <c r="W1236">
        <v>0.1664098</v>
      </c>
      <c r="X1236">
        <v>0.98559730000000001</v>
      </c>
      <c r="Y1236">
        <v>9.6621059999999995E-2</v>
      </c>
      <c r="Z1236">
        <v>1.14506E-2</v>
      </c>
      <c r="AA1236">
        <v>0.99525540000000001</v>
      </c>
      <c r="AB1236">
        <v>26</v>
      </c>
      <c r="AC1236">
        <v>-0.660399999999981</v>
      </c>
      <c r="AD1236">
        <v>-0.17402819999999899</v>
      </c>
      <c r="AE1236">
        <v>7.6999999999998098E-2</v>
      </c>
      <c r="AF1236">
        <v>7.5845366181596194E-2</v>
      </c>
      <c r="AG1236">
        <v>-0.17402819999999899</v>
      </c>
      <c r="AH1236">
        <v>0.61760353311371496</v>
      </c>
      <c r="AI1236">
        <v>105.625176034768</v>
      </c>
      <c r="AJ1236">
        <v>82.998794749056401</v>
      </c>
      <c r="AK1236">
        <v>0.64612108623771403</v>
      </c>
      <c r="AL1236">
        <v>80.420857359338797</v>
      </c>
      <c r="AM1236">
        <v>91.748955682991905</v>
      </c>
      <c r="AN1236">
        <v>0.999999976339498</v>
      </c>
    </row>
    <row r="1237" spans="1:40" x14ac:dyDescent="0.3">
      <c r="A1237" t="str">
        <f>"20200111150747053"</f>
        <v>20200111150747053</v>
      </c>
      <c r="B1237" t="str">
        <f>"1578726467042281"</f>
        <v>1578726467042281</v>
      </c>
      <c r="C1237" t="s">
        <v>40</v>
      </c>
      <c r="D1237">
        <v>5.2502500000000003</v>
      </c>
      <c r="E1237">
        <v>0.54892280000000004</v>
      </c>
      <c r="F1237" t="s">
        <v>41</v>
      </c>
      <c r="G1237">
        <v>-296.04430000000002</v>
      </c>
      <c r="H1237">
        <v>0.91497289999999998</v>
      </c>
      <c r="I1237">
        <v>283.45740000000001</v>
      </c>
      <c r="J1237">
        <v>-295.31459999999998</v>
      </c>
      <c r="K1237">
        <v>1.110215</v>
      </c>
      <c r="L1237">
        <v>283.37689999999998</v>
      </c>
      <c r="M1237">
        <v>-0.99989430000000001</v>
      </c>
      <c r="N1237">
        <v>0</v>
      </c>
      <c r="O1237">
        <v>-5.7923459999999899E-3</v>
      </c>
      <c r="P1237">
        <v>-0.98755559999999998</v>
      </c>
      <c r="Q1237">
        <v>0.15314369999999999</v>
      </c>
      <c r="R1237">
        <v>-3.5796269999999998E-2</v>
      </c>
      <c r="S1237">
        <v>-3.1572879999999999</v>
      </c>
      <c r="T1237">
        <v>-0.70166189999999995</v>
      </c>
      <c r="U1237">
        <v>0.28646850000000001</v>
      </c>
      <c r="V1237">
        <v>-2.9910429999999998E-2</v>
      </c>
      <c r="W1237">
        <v>0.1663345</v>
      </c>
      <c r="X1237">
        <v>0.98561569999999998</v>
      </c>
      <c r="Y1237">
        <v>9.3720410000000004E-2</v>
      </c>
      <c r="Z1237">
        <v>1.153759E-2</v>
      </c>
      <c r="AA1237">
        <v>0.99553170000000002</v>
      </c>
      <c r="AB1237">
        <v>26</v>
      </c>
      <c r="AC1237">
        <v>-0.72970000000003599</v>
      </c>
      <c r="AD1237">
        <v>-0.1952421</v>
      </c>
      <c r="AE1237">
        <v>8.0500000000029104E-2</v>
      </c>
      <c r="AF1237">
        <v>7.9128900333616498E-2</v>
      </c>
      <c r="AG1237">
        <v>-0.1952421</v>
      </c>
      <c r="AH1237">
        <v>0.681050612818353</v>
      </c>
      <c r="AI1237">
        <v>105.89495025764001</v>
      </c>
      <c r="AJ1237">
        <v>83.372717436960201</v>
      </c>
      <c r="AK1237">
        <v>0.71288905006366199</v>
      </c>
      <c r="AL1237">
        <v>80.4252334603772</v>
      </c>
      <c r="AM1237">
        <v>91.738218668900103</v>
      </c>
      <c r="AN1237">
        <v>1.00000005389976</v>
      </c>
    </row>
    <row r="1238" spans="1:40" x14ac:dyDescent="0.3">
      <c r="A1238" t="str">
        <f>"20200111150747072"</f>
        <v>20200111150747072</v>
      </c>
      <c r="B1238" t="str">
        <f>"1578726467061803"</f>
        <v>1578726467061803</v>
      </c>
      <c r="C1238" t="s">
        <v>40</v>
      </c>
      <c r="D1238">
        <v>5.2980679999999998</v>
      </c>
      <c r="E1238">
        <v>0.55039119999999997</v>
      </c>
      <c r="F1238" t="s">
        <v>41</v>
      </c>
      <c r="G1238">
        <v>-296.05810000000002</v>
      </c>
      <c r="H1238">
        <v>0.94385790000000003</v>
      </c>
      <c r="I1238">
        <v>283.44850000000002</v>
      </c>
      <c r="J1238">
        <v>-295.52249999999998</v>
      </c>
      <c r="K1238">
        <v>1.1102160000000001</v>
      </c>
      <c r="L1238">
        <v>283.37630000000001</v>
      </c>
      <c r="M1238">
        <v>-0.99989700000000004</v>
      </c>
      <c r="N1238">
        <v>0</v>
      </c>
      <c r="O1238">
        <v>-5.3325739999999996E-3</v>
      </c>
      <c r="P1238">
        <v>-0.98762169999999905</v>
      </c>
      <c r="Q1238">
        <v>0.15294929999999901</v>
      </c>
      <c r="R1238">
        <v>-3.4784420000000003E-2</v>
      </c>
      <c r="S1238">
        <v>-3.158417</v>
      </c>
      <c r="T1238">
        <v>-0.70679040000000004</v>
      </c>
      <c r="U1238">
        <v>0.3034058</v>
      </c>
      <c r="V1238">
        <v>-2.9353069999999998E-2</v>
      </c>
      <c r="W1238">
        <v>0.16613939999999999</v>
      </c>
      <c r="X1238">
        <v>0.98566529999999997</v>
      </c>
      <c r="Y1238">
        <v>9.8387219999999997E-2</v>
      </c>
      <c r="Z1238">
        <v>1.202631E-2</v>
      </c>
      <c r="AA1238">
        <v>0.9950755</v>
      </c>
      <c r="AB1238">
        <v>26</v>
      </c>
      <c r="AC1238">
        <v>-0.53560000000004404</v>
      </c>
      <c r="AD1238">
        <v>-0.16635810000000001</v>
      </c>
      <c r="AE1238">
        <v>7.2200000000009298E-2</v>
      </c>
      <c r="AF1238">
        <v>6.8559264903772593E-2</v>
      </c>
      <c r="AG1238">
        <v>-0.16635810000000001</v>
      </c>
      <c r="AH1238">
        <v>0.48888480187281902</v>
      </c>
      <c r="AI1238">
        <v>108.62295864438801</v>
      </c>
      <c r="AJ1238">
        <v>82.017126345108693</v>
      </c>
      <c r="AK1238">
        <v>0.52094504483868698</v>
      </c>
      <c r="AL1238">
        <v>80.436569014147395</v>
      </c>
      <c r="AM1238">
        <v>91.705761705606605</v>
      </c>
      <c r="AN1238">
        <v>0.99999999328743705</v>
      </c>
    </row>
    <row r="1239" spans="1:40" x14ac:dyDescent="0.3">
      <c r="A1239" t="str">
        <f>"20200111150747086"</f>
        <v>20200111150747086</v>
      </c>
      <c r="B1239" t="str">
        <f>"1578726467082297"</f>
        <v>1578726467082297</v>
      </c>
      <c r="C1239" t="s">
        <v>40</v>
      </c>
      <c r="D1239">
        <v>4.5227309999999896</v>
      </c>
      <c r="E1239">
        <v>0.55024090000000003</v>
      </c>
      <c r="F1239" t="s">
        <v>41</v>
      </c>
      <c r="G1239">
        <v>-296.2826</v>
      </c>
      <c r="H1239">
        <v>0.93672739999999999</v>
      </c>
      <c r="I1239">
        <v>283.45310000000001</v>
      </c>
      <c r="J1239">
        <v>-295.6771</v>
      </c>
      <c r="K1239">
        <v>1.110217</v>
      </c>
      <c r="L1239">
        <v>283.3759</v>
      </c>
      <c r="M1239">
        <v>-0.99989870000000003</v>
      </c>
      <c r="N1239">
        <v>0</v>
      </c>
      <c r="O1239">
        <v>-4.9903409999999997E-3</v>
      </c>
      <c r="P1239">
        <v>-0.98769499999999999</v>
      </c>
      <c r="Q1239">
        <v>0.15260219999999999</v>
      </c>
      <c r="R1239">
        <v>-3.4227210000000001E-2</v>
      </c>
      <c r="S1239">
        <v>-3.1605219999999998</v>
      </c>
      <c r="T1239">
        <v>-0.72139350000000002</v>
      </c>
      <c r="U1239">
        <v>0.31832890000000003</v>
      </c>
      <c r="V1239">
        <v>-2.913342E-2</v>
      </c>
      <c r="W1239">
        <v>0.16579189999999999</v>
      </c>
      <c r="X1239">
        <v>0.98573040000000001</v>
      </c>
      <c r="Y1239">
        <v>0.1024418</v>
      </c>
      <c r="Z1239">
        <v>1.263679E-2</v>
      </c>
      <c r="AA1239">
        <v>0.99465870000000001</v>
      </c>
      <c r="AB1239">
        <v>26</v>
      </c>
      <c r="AC1239">
        <v>-0.60550000000000603</v>
      </c>
      <c r="AD1239">
        <v>-0.17348959999999999</v>
      </c>
      <c r="AE1239">
        <v>7.7200000000004806E-2</v>
      </c>
      <c r="AF1239">
        <v>7.4224908292910605E-2</v>
      </c>
      <c r="AG1239">
        <v>-0.17348959999999999</v>
      </c>
      <c r="AH1239">
        <v>0.55987892780483195</v>
      </c>
      <c r="AI1239">
        <v>107.076023149492</v>
      </c>
      <c r="AJ1239">
        <v>82.448155872311602</v>
      </c>
      <c r="AK1239">
        <v>0.59082348643155602</v>
      </c>
      <c r="AL1239">
        <v>80.456760005350205</v>
      </c>
      <c r="AM1239">
        <v>91.692893145397093</v>
      </c>
      <c r="AN1239">
        <v>1.0000000658753301</v>
      </c>
    </row>
    <row r="1240" spans="1:40" x14ac:dyDescent="0.3">
      <c r="A1240" t="str">
        <f>"20200111150747099"</f>
        <v>20200111150747099</v>
      </c>
      <c r="B1240" t="str">
        <f>"1578726467092057"</f>
        <v>1578726467092057</v>
      </c>
      <c r="C1240" t="s">
        <v>40</v>
      </c>
      <c r="D1240">
        <v>5.3461559999999997</v>
      </c>
      <c r="E1240">
        <v>0.55058379999999996</v>
      </c>
      <c r="F1240" t="s">
        <v>41</v>
      </c>
      <c r="G1240">
        <v>-296.5027</v>
      </c>
      <c r="H1240">
        <v>0.92023529999999998</v>
      </c>
      <c r="I1240">
        <v>283.45920000000001</v>
      </c>
      <c r="J1240">
        <v>-295.8383</v>
      </c>
      <c r="K1240">
        <v>1.110214</v>
      </c>
      <c r="L1240">
        <v>283.37540000000001</v>
      </c>
      <c r="M1240">
        <v>-0.99990049999999997</v>
      </c>
      <c r="N1240">
        <v>0</v>
      </c>
      <c r="O1240">
        <v>-4.6334459999999899E-3</v>
      </c>
      <c r="P1240">
        <v>-0.98776019999999998</v>
      </c>
      <c r="Q1240">
        <v>0.15232490000000001</v>
      </c>
      <c r="R1240">
        <v>-3.3578030000000002E-2</v>
      </c>
      <c r="S1240">
        <v>-3.1607970000000001</v>
      </c>
      <c r="T1240">
        <v>-0.72733289999999995</v>
      </c>
      <c r="U1240">
        <v>0.3187256</v>
      </c>
      <c r="V1240">
        <v>-2.883726E-2</v>
      </c>
      <c r="W1240">
        <v>0.16551389999999999</v>
      </c>
      <c r="X1240">
        <v>0.98578569999999999</v>
      </c>
      <c r="Y1240">
        <v>0.1021738</v>
      </c>
      <c r="Z1240">
        <v>1.2625819999999999E-2</v>
      </c>
      <c r="AA1240">
        <v>0.99468639999999997</v>
      </c>
      <c r="AB1240">
        <v>25</v>
      </c>
      <c r="AC1240">
        <v>-0.66439999999999999</v>
      </c>
      <c r="AD1240">
        <v>-0.189978699999999</v>
      </c>
      <c r="AE1240">
        <v>8.3799999999996502E-2</v>
      </c>
      <c r="AF1240">
        <v>8.04065929819444E-2</v>
      </c>
      <c r="AG1240">
        <v>-0.189978699999999</v>
      </c>
      <c r="AH1240">
        <v>0.61454505042682395</v>
      </c>
      <c r="AI1240">
        <v>107.041590173895</v>
      </c>
      <c r="AJ1240">
        <v>82.5458084910222</v>
      </c>
      <c r="AK1240">
        <v>0.64824589906358998</v>
      </c>
      <c r="AL1240">
        <v>80.472910190004697</v>
      </c>
      <c r="AM1240">
        <v>91.675599708532701</v>
      </c>
      <c r="AN1240">
        <v>0.99999994249100199</v>
      </c>
    </row>
    <row r="1241" spans="1:40" x14ac:dyDescent="0.3">
      <c r="A1241" t="str">
        <f>"20200111150747116"</f>
        <v>20200111150747116</v>
      </c>
      <c r="B1241" t="str">
        <f>"1578726467112553"</f>
        <v>1578726467112553</v>
      </c>
      <c r="C1241" t="s">
        <v>40</v>
      </c>
      <c r="D1241">
        <v>5.1031219999999999</v>
      </c>
      <c r="E1241">
        <v>0.55084069999999996</v>
      </c>
      <c r="F1241" t="s">
        <v>41</v>
      </c>
      <c r="G1241">
        <v>-296.72340000000003</v>
      </c>
      <c r="H1241">
        <v>0.90503679999999997</v>
      </c>
      <c r="I1241">
        <v>283.4665</v>
      </c>
      <c r="J1241">
        <v>-296.02600000000001</v>
      </c>
      <c r="K1241">
        <v>1.110209</v>
      </c>
      <c r="L1241">
        <v>283.375</v>
      </c>
      <c r="M1241">
        <v>-0.99990210000000002</v>
      </c>
      <c r="N1241">
        <v>0</v>
      </c>
      <c r="O1241">
        <v>-4.2178980000000003E-3</v>
      </c>
      <c r="P1241">
        <v>-0.98780659999999998</v>
      </c>
      <c r="Q1241">
        <v>0.15210670000000001</v>
      </c>
      <c r="R1241">
        <v>-3.3189330000000003E-2</v>
      </c>
      <c r="S1241">
        <v>-3.1611630000000002</v>
      </c>
      <c r="T1241">
        <v>-0.73280579999999995</v>
      </c>
      <c r="U1241">
        <v>0.32336429999999999</v>
      </c>
      <c r="V1241">
        <v>-2.885948E-2</v>
      </c>
      <c r="W1241">
        <v>0.16529579999999999</v>
      </c>
      <c r="X1241">
        <v>0.98582170000000002</v>
      </c>
      <c r="Y1241">
        <v>0.1031392</v>
      </c>
      <c r="Z1241">
        <v>1.2731360000000001E-2</v>
      </c>
      <c r="AA1241">
        <v>0.99458550000000001</v>
      </c>
      <c r="AB1241">
        <v>25</v>
      </c>
      <c r="AC1241">
        <v>-0.69740000000001501</v>
      </c>
      <c r="AD1241">
        <v>-0.205172199999999</v>
      </c>
      <c r="AE1241">
        <v>9.1499999999996307E-2</v>
      </c>
      <c r="AF1241">
        <v>8.7035463213712805E-2</v>
      </c>
      <c r="AG1241">
        <v>-0.205172199999999</v>
      </c>
      <c r="AH1241">
        <v>0.64235228816846601</v>
      </c>
      <c r="AI1241">
        <v>107.56338021889199</v>
      </c>
      <c r="AJ1241">
        <v>82.283705545993698</v>
      </c>
      <c r="AK1241">
        <v>0.679917102024158</v>
      </c>
      <c r="AL1241">
        <v>80.485581459750406</v>
      </c>
      <c r="AM1241">
        <v>91.676828871710896</v>
      </c>
      <c r="AN1241">
        <v>0.99999999763720004</v>
      </c>
    </row>
    <row r="1242" spans="1:40" x14ac:dyDescent="0.3">
      <c r="A1242" t="str">
        <f>"20200111150747139"</f>
        <v>20200111150747139</v>
      </c>
      <c r="B1242" t="str">
        <f>"1578726467132073"</f>
        <v>1578726467132073</v>
      </c>
      <c r="C1242" t="s">
        <v>40</v>
      </c>
      <c r="D1242">
        <v>5.0299019999999999</v>
      </c>
      <c r="E1242">
        <v>0.53923739999999998</v>
      </c>
      <c r="F1242" t="s">
        <v>41</v>
      </c>
      <c r="G1242">
        <v>-296.74110000000002</v>
      </c>
      <c r="H1242">
        <v>0.94319280000000005</v>
      </c>
      <c r="I1242">
        <v>283.4495</v>
      </c>
      <c r="J1242">
        <v>-296.28359999999998</v>
      </c>
      <c r="K1242">
        <v>1.110209</v>
      </c>
      <c r="L1242">
        <v>283.37459999999999</v>
      </c>
      <c r="M1242">
        <v>-0.99990460000000003</v>
      </c>
      <c r="N1242">
        <v>0</v>
      </c>
      <c r="O1242">
        <v>-3.6476270000000001E-3</v>
      </c>
      <c r="P1242">
        <v>-0.98785310000000004</v>
      </c>
      <c r="Q1242">
        <v>0.15184790000000001</v>
      </c>
      <c r="R1242">
        <v>-3.2995499999999997E-2</v>
      </c>
      <c r="S1242">
        <v>-3.161743</v>
      </c>
      <c r="T1242">
        <v>-0.73849160000000003</v>
      </c>
      <c r="U1242">
        <v>0.32711790000000002</v>
      </c>
      <c r="V1242">
        <v>-2.9229310000000001E-2</v>
      </c>
      <c r="W1242">
        <v>0.16503619999999999</v>
      </c>
      <c r="X1242">
        <v>0.98585429999999996</v>
      </c>
      <c r="Y1242">
        <v>0.10368090000000001</v>
      </c>
      <c r="Z1242">
        <v>1.275571E-2</v>
      </c>
      <c r="AA1242">
        <v>0.99452879999999999</v>
      </c>
      <c r="AB1242">
        <v>25</v>
      </c>
      <c r="AC1242">
        <v>-0.45750000000003799</v>
      </c>
      <c r="AD1242">
        <v>-0.1670162</v>
      </c>
      <c r="AE1242">
        <v>7.4900000000013706E-2</v>
      </c>
      <c r="AF1242">
        <v>6.7772155534109896E-2</v>
      </c>
      <c r="AG1242">
        <v>-0.1670162</v>
      </c>
      <c r="AH1242">
        <v>0.40469725814233098</v>
      </c>
      <c r="AI1242">
        <v>112.147615140746</v>
      </c>
      <c r="AJ1242">
        <v>80.493243514094004</v>
      </c>
      <c r="AK1242">
        <v>0.44302070705114899</v>
      </c>
      <c r="AL1242">
        <v>80.5006625974912</v>
      </c>
      <c r="AM1242">
        <v>91.698248556786695</v>
      </c>
      <c r="AN1242">
        <v>1.0000000003509999</v>
      </c>
    </row>
    <row r="1243" spans="1:40" x14ac:dyDescent="0.3">
      <c r="A1243" t="str">
        <f>"20200111150747152"</f>
        <v>20200111150747152</v>
      </c>
      <c r="B1243" t="str">
        <f>"1578726467141833"</f>
        <v>1578726467141833</v>
      </c>
      <c r="C1243" t="s">
        <v>40</v>
      </c>
      <c r="D1243">
        <v>5.0637470000000002</v>
      </c>
      <c r="E1243">
        <v>0.53853819999999997</v>
      </c>
      <c r="F1243" t="s">
        <v>55</v>
      </c>
      <c r="G1243">
        <v>-330.9708</v>
      </c>
      <c r="H1243" s="1">
        <v>-1.076855E-6</v>
      </c>
      <c r="I1243">
        <v>285.9126</v>
      </c>
      <c r="J1243">
        <v>-296.43509999999998</v>
      </c>
      <c r="K1243">
        <v>1.1102110000000001</v>
      </c>
      <c r="L1243">
        <v>283.37450000000001</v>
      </c>
      <c r="M1243">
        <v>-0.99990559999999995</v>
      </c>
      <c r="N1243">
        <v>0</v>
      </c>
      <c r="O1243">
        <v>-3.3119489999999998E-3</v>
      </c>
      <c r="P1243">
        <v>-0.98790500000000003</v>
      </c>
      <c r="Q1243">
        <v>0.1516255</v>
      </c>
      <c r="R1243">
        <v>-3.2457270000000003E-2</v>
      </c>
      <c r="S1243">
        <v>-3.0593870000000001</v>
      </c>
      <c r="T1243">
        <v>-9.7919820000000005E-2</v>
      </c>
      <c r="U1243">
        <v>0.2238464</v>
      </c>
      <c r="V1243">
        <v>-2.9023090000000001E-2</v>
      </c>
      <c r="W1243">
        <v>0.16481319999999999</v>
      </c>
      <c r="X1243">
        <v>0.98589769999999999</v>
      </c>
      <c r="Y1243">
        <v>7.6234499999999997E-2</v>
      </c>
      <c r="Z1243">
        <v>1.323903E-3</v>
      </c>
      <c r="AA1243">
        <v>0.997089</v>
      </c>
      <c r="AB1243">
        <v>25</v>
      </c>
      <c r="AC1243">
        <v>-34.535699999999999</v>
      </c>
      <c r="AD1243">
        <v>-1.1102120768549999</v>
      </c>
      <c r="AE1243">
        <v>2.53809999999998</v>
      </c>
      <c r="AF1243">
        <v>2.6497531372526799</v>
      </c>
      <c r="AG1243">
        <v>-1.1102120768549999</v>
      </c>
      <c r="AH1243">
        <v>34.491650993349801</v>
      </c>
      <c r="AI1243">
        <v>91.838178874303694</v>
      </c>
      <c r="AJ1243">
        <v>85.606993238719497</v>
      </c>
      <c r="AK1243">
        <v>34.611092886400201</v>
      </c>
      <c r="AL1243">
        <v>80.513616974209398</v>
      </c>
      <c r="AM1243">
        <v>91.686199747779497</v>
      </c>
      <c r="AN1243">
        <v>1.0000000027563301</v>
      </c>
    </row>
    <row r="1244" spans="1:40" x14ac:dyDescent="0.3">
      <c r="A1244" t="str">
        <f>"20200111150747165"</f>
        <v>20200111150747165</v>
      </c>
      <c r="B1244" t="str">
        <f>"1578726467162329"</f>
        <v>1578726467162329</v>
      </c>
      <c r="C1244" t="s">
        <v>40</v>
      </c>
      <c r="D1244">
        <v>5.8841260000000002</v>
      </c>
      <c r="E1244">
        <v>0.5426877</v>
      </c>
      <c r="F1244" t="s">
        <v>55</v>
      </c>
      <c r="G1244">
        <v>-345.84789999999998</v>
      </c>
      <c r="H1244" s="1">
        <v>1.575187E-6</v>
      </c>
      <c r="I1244">
        <v>286.91320000000002</v>
      </c>
      <c r="J1244">
        <v>-296.57859999999999</v>
      </c>
      <c r="K1244">
        <v>1.1102099999999999</v>
      </c>
      <c r="L1244">
        <v>283.37430000000001</v>
      </c>
      <c r="M1244">
        <v>-0.99990670000000004</v>
      </c>
      <c r="N1244">
        <v>0</v>
      </c>
      <c r="O1244">
        <v>-2.9945089999999998E-3</v>
      </c>
      <c r="P1244">
        <v>-0.98794800000000005</v>
      </c>
      <c r="Q1244">
        <v>0.15149849999999901</v>
      </c>
      <c r="R1244">
        <v>-3.1730069999999999E-2</v>
      </c>
      <c r="S1244">
        <v>-3.054443</v>
      </c>
      <c r="T1244">
        <v>-6.8627359999999998E-2</v>
      </c>
      <c r="U1244">
        <v>0.21875</v>
      </c>
      <c r="V1244">
        <v>-2.8609539999999999E-2</v>
      </c>
      <c r="W1244">
        <v>0.16468579999999999</v>
      </c>
      <c r="X1244">
        <v>0.98593109999999995</v>
      </c>
      <c r="Y1244">
        <v>7.4401389999999998E-2</v>
      </c>
      <c r="Z1244">
        <v>9.0184680000000004E-4</v>
      </c>
      <c r="AA1244">
        <v>0.997228</v>
      </c>
      <c r="AB1244">
        <v>25</v>
      </c>
      <c r="AC1244">
        <v>-49.269299999999902</v>
      </c>
      <c r="AD1244">
        <v>-1.110208424813</v>
      </c>
      <c r="AE1244">
        <v>3.5389000000000101</v>
      </c>
      <c r="AF1244">
        <v>3.6845733308013902</v>
      </c>
      <c r="AG1244">
        <v>-1.110208424813</v>
      </c>
      <c r="AH1244">
        <v>49.233610432419702</v>
      </c>
      <c r="AI1244">
        <v>91.288188661872198</v>
      </c>
      <c r="AJ1244">
        <v>85.720043921447001</v>
      </c>
      <c r="AK1244">
        <v>49.383773039206297</v>
      </c>
      <c r="AL1244">
        <v>80.521017807054093</v>
      </c>
      <c r="AM1244">
        <v>91.662130386346405</v>
      </c>
      <c r="AN1244">
        <v>1.0000000262239299</v>
      </c>
    </row>
    <row r="1245" spans="1:40" x14ac:dyDescent="0.3">
      <c r="A1245" t="str">
        <f>"20200111150747183"</f>
        <v>20200111150747183</v>
      </c>
      <c r="B1245" t="str">
        <f>"1578726467171828"</f>
        <v>1578726467171828</v>
      </c>
      <c r="C1245" t="s">
        <v>40</v>
      </c>
      <c r="D1245">
        <v>5.1226149999999997</v>
      </c>
      <c r="E1245">
        <v>0.54418769999999905</v>
      </c>
      <c r="F1245" t="s">
        <v>58</v>
      </c>
      <c r="G1245">
        <v>-434.26389999999998</v>
      </c>
      <c r="H1245">
        <v>7.9999509999999996E-2</v>
      </c>
      <c r="I1245">
        <v>294.79480000000001</v>
      </c>
      <c r="J1245">
        <v>-296.78429999999997</v>
      </c>
      <c r="K1245">
        <v>1.1102110000000001</v>
      </c>
      <c r="L1245">
        <v>283.37430000000001</v>
      </c>
      <c r="M1245">
        <v>-0.99990800000000002</v>
      </c>
      <c r="N1245">
        <v>0</v>
      </c>
      <c r="O1245">
        <v>-2.5391490000000001E-3</v>
      </c>
      <c r="P1245">
        <v>-0.98793509999999995</v>
      </c>
      <c r="Q1245">
        <v>0.1518941</v>
      </c>
      <c r="R1245">
        <v>-3.020774E-2</v>
      </c>
      <c r="S1245">
        <v>-3.0482179999999999</v>
      </c>
      <c r="T1245">
        <v>-2.2807839999999999E-2</v>
      </c>
      <c r="U1245">
        <v>0.25283810000000001</v>
      </c>
      <c r="V1245">
        <v>-2.7537200000000001E-2</v>
      </c>
      <c r="W1245">
        <v>0.16507849999999999</v>
      </c>
      <c r="X1245">
        <v>0.98589590000000005</v>
      </c>
      <c r="Y1245">
        <v>8.5190340000000003E-2</v>
      </c>
      <c r="Z1245">
        <v>3.371294E-4</v>
      </c>
      <c r="AA1245">
        <v>0.99636469999999999</v>
      </c>
      <c r="AB1245">
        <v>25</v>
      </c>
      <c r="AC1245">
        <v>-137.4796</v>
      </c>
      <c r="AD1245">
        <v>-1.0302114899999999</v>
      </c>
      <c r="AE1245">
        <v>11.420500000000001</v>
      </c>
      <c r="AF1245">
        <v>11.7689190235628</v>
      </c>
      <c r="AG1245">
        <v>-1.0302114899999999</v>
      </c>
      <c r="AH1245">
        <v>137.44249083726899</v>
      </c>
      <c r="AI1245">
        <v>90.427891425488696</v>
      </c>
      <c r="AJ1245">
        <v>85.105818056363702</v>
      </c>
      <c r="AK1245">
        <v>137.94929169173</v>
      </c>
      <c r="AL1245">
        <v>80.498204962444603</v>
      </c>
      <c r="AM1245">
        <v>91.599920675518305</v>
      </c>
      <c r="AN1245">
        <v>0.999999967091449</v>
      </c>
    </row>
    <row r="1246" spans="1:40" x14ac:dyDescent="0.3">
      <c r="A1246" t="str">
        <f>"20200111150747198"</f>
        <v>20200111150747198</v>
      </c>
      <c r="B1246" t="str">
        <f>"1578726467192323"</f>
        <v>1578726467192323</v>
      </c>
      <c r="C1246" t="s">
        <v>40</v>
      </c>
      <c r="D1246">
        <v>5.5459290000000001</v>
      </c>
      <c r="E1246">
        <v>0.54397369999999901</v>
      </c>
      <c r="F1246" t="s">
        <v>44</v>
      </c>
      <c r="G1246">
        <v>-487.60899999999998</v>
      </c>
      <c r="H1246">
        <v>-0.05</v>
      </c>
      <c r="I1246">
        <v>300.20850000000002</v>
      </c>
      <c r="J1246">
        <v>-296.95080000000002</v>
      </c>
      <c r="K1246">
        <v>1.110215</v>
      </c>
      <c r="L1246">
        <v>283.37419999999997</v>
      </c>
      <c r="M1246">
        <v>-0.99990889999999999</v>
      </c>
      <c r="N1246">
        <v>0</v>
      </c>
      <c r="O1246">
        <v>-2.1702169999999999E-3</v>
      </c>
      <c r="P1246">
        <v>-0.98795379999999999</v>
      </c>
      <c r="Q1246">
        <v>0.151953</v>
      </c>
      <c r="R1246">
        <v>-2.9288000000000002E-2</v>
      </c>
      <c r="S1246">
        <v>-3.0476679999999998</v>
      </c>
      <c r="T1246">
        <v>-1.8529770000000001E-2</v>
      </c>
      <c r="U1246">
        <v>0.26885989999999999</v>
      </c>
      <c r="V1246">
        <v>-2.6981740000000001E-2</v>
      </c>
      <c r="W1246">
        <v>0.1651359</v>
      </c>
      <c r="X1246">
        <v>0.98590169999999999</v>
      </c>
      <c r="Y1246">
        <v>9.0037060000000002E-2</v>
      </c>
      <c r="Z1246">
        <v>2.8634960000000002E-4</v>
      </c>
      <c r="AA1246">
        <v>0.9959384</v>
      </c>
      <c r="AB1246">
        <v>25</v>
      </c>
      <c r="AC1246">
        <v>-190.65819999999999</v>
      </c>
      <c r="AD1246">
        <v>-1.160215</v>
      </c>
      <c r="AE1246">
        <v>16.834299999999999</v>
      </c>
      <c r="AF1246">
        <v>17.2474329898116</v>
      </c>
      <c r="AG1246">
        <v>-1.160215</v>
      </c>
      <c r="AH1246">
        <v>190.61420956916501</v>
      </c>
      <c r="AI1246">
        <v>90.347320097666994</v>
      </c>
      <c r="AJ1246">
        <v>84.8297590462941</v>
      </c>
      <c r="AK1246">
        <v>191.396439186474</v>
      </c>
      <c r="AL1246">
        <v>80.494870936407807</v>
      </c>
      <c r="AM1246">
        <v>91.567655312650302</v>
      </c>
      <c r="AN1246">
        <v>1.0000000209125599</v>
      </c>
    </row>
    <row r="1247" spans="1:40" x14ac:dyDescent="0.3">
      <c r="A1247" t="str">
        <f>"20200111150747216"</f>
        <v>20200111150747216</v>
      </c>
      <c r="B1247" t="str">
        <f>"1578726467211843"</f>
        <v>1578726467211843</v>
      </c>
      <c r="C1247" t="s">
        <v>40</v>
      </c>
      <c r="D1247">
        <v>5.3318000000000003</v>
      </c>
      <c r="E1247">
        <v>0.53839139999999996</v>
      </c>
      <c r="F1247" t="s">
        <v>61</v>
      </c>
      <c r="G1247">
        <v>-511.82060000000001</v>
      </c>
      <c r="H1247">
        <v>1.18818</v>
      </c>
      <c r="I1247">
        <v>302.43180000000001</v>
      </c>
      <c r="J1247">
        <v>-297.16269999999997</v>
      </c>
      <c r="K1247">
        <v>1.1102129999999999</v>
      </c>
      <c r="L1247">
        <v>283.37430000000001</v>
      </c>
      <c r="M1247">
        <v>-0.99990979999999996</v>
      </c>
      <c r="N1247">
        <v>0</v>
      </c>
      <c r="O1247">
        <v>-1.700795E-3</v>
      </c>
      <c r="P1247">
        <v>-0.98795650000000002</v>
      </c>
      <c r="Q1247">
        <v>0.15209400000000001</v>
      </c>
      <c r="R1247">
        <v>-2.84552E-2</v>
      </c>
      <c r="S1247">
        <v>-3.044403</v>
      </c>
      <c r="T1247">
        <v>1.1059049999999999E-3</v>
      </c>
      <c r="U1247">
        <v>0.27001950000000002</v>
      </c>
      <c r="V1247">
        <v>-2.6613000000000001E-2</v>
      </c>
      <c r="W1247">
        <v>0.16527549999999999</v>
      </c>
      <c r="X1247">
        <v>0.98588830000000005</v>
      </c>
      <c r="Y1247">
        <v>9.0041109999999994E-2</v>
      </c>
      <c r="Z1247" s="1">
        <v>-1.693873E-5</v>
      </c>
      <c r="AA1247">
        <v>0.99593810000000005</v>
      </c>
      <c r="AB1247">
        <v>25</v>
      </c>
      <c r="AC1247">
        <v>-214.65790000000001</v>
      </c>
      <c r="AD1247">
        <v>7.7967000000000106E-2</v>
      </c>
      <c r="AE1247">
        <v>19.057500000000001</v>
      </c>
      <c r="AF1247">
        <v>19.4225913777926</v>
      </c>
      <c r="AG1247">
        <v>7.7967000000000106E-2</v>
      </c>
      <c r="AH1247">
        <v>214.62514560304299</v>
      </c>
      <c r="AI1247">
        <v>89.979270836992399</v>
      </c>
      <c r="AJ1247">
        <v>84.829079638063803</v>
      </c>
      <c r="AK1247">
        <v>215.50219548721299</v>
      </c>
      <c r="AL1247">
        <v>80.486760724678604</v>
      </c>
      <c r="AM1247">
        <v>91.546262775549593</v>
      </c>
      <c r="AN1247">
        <v>0.99999999137307005</v>
      </c>
    </row>
    <row r="1248" spans="1:40" x14ac:dyDescent="0.3">
      <c r="A1248" t="str">
        <f>"20200111150747230"</f>
        <v>20200111150747230</v>
      </c>
      <c r="B1248" t="str">
        <f>"1578726467222580"</f>
        <v>1578726467222580</v>
      </c>
      <c r="C1248" t="s">
        <v>40</v>
      </c>
      <c r="D1248">
        <v>5.4458039999999999</v>
      </c>
      <c r="E1248">
        <v>0.53587580000000001</v>
      </c>
      <c r="F1248" t="s">
        <v>61</v>
      </c>
      <c r="G1248">
        <v>-511.82060000000001</v>
      </c>
      <c r="H1248">
        <v>1.1858420000000001</v>
      </c>
      <c r="I1248">
        <v>299.48540000000003</v>
      </c>
      <c r="J1248">
        <v>-297.3141</v>
      </c>
      <c r="K1248">
        <v>1.1102129999999999</v>
      </c>
      <c r="L1248">
        <v>283.37439999999998</v>
      </c>
      <c r="M1248">
        <v>-0.99991030000000003</v>
      </c>
      <c r="N1248">
        <v>0</v>
      </c>
      <c r="O1248">
        <v>-1.365595E-3</v>
      </c>
      <c r="P1248">
        <v>-0.98802579999999995</v>
      </c>
      <c r="Q1248">
        <v>0.1517587</v>
      </c>
      <c r="R1248">
        <v>-2.7826799999999999E-2</v>
      </c>
      <c r="S1248">
        <v>-3.0430299999999999</v>
      </c>
      <c r="T1248">
        <v>1.07336E-3</v>
      </c>
      <c r="U1248">
        <v>0.2283936</v>
      </c>
      <c r="V1248">
        <v>-2.6316450000000002E-2</v>
      </c>
      <c r="W1248">
        <v>0.1649398</v>
      </c>
      <c r="X1248">
        <v>0.98595250000000001</v>
      </c>
      <c r="Y1248">
        <v>7.6205949999999995E-2</v>
      </c>
      <c r="Z1248" s="1">
        <v>-1.390215E-5</v>
      </c>
      <c r="AA1248">
        <v>0.99709210000000004</v>
      </c>
      <c r="AB1248">
        <v>25</v>
      </c>
      <c r="AC1248">
        <v>-214.50649999999999</v>
      </c>
      <c r="AD1248">
        <v>7.5629000000000099E-2</v>
      </c>
      <c r="AE1248">
        <v>16.111000000000001</v>
      </c>
      <c r="AF1248">
        <v>16.4039379560908</v>
      </c>
      <c r="AG1248">
        <v>7.5629000000000099E-2</v>
      </c>
      <c r="AH1248">
        <v>214.48427038665</v>
      </c>
      <c r="AI1248">
        <v>89.979855844677004</v>
      </c>
      <c r="AJ1248">
        <v>85.626484545780002</v>
      </c>
      <c r="AK1248">
        <v>215.11066255187399</v>
      </c>
      <c r="AL1248">
        <v>80.506262774648704</v>
      </c>
      <c r="AM1248">
        <v>91.528941401308003</v>
      </c>
      <c r="AN1248">
        <v>1.00000001271044</v>
      </c>
    </row>
    <row r="1249" spans="1:40" x14ac:dyDescent="0.3">
      <c r="A1249" t="str">
        <f>"20200111150747244"</f>
        <v>20200111150747244</v>
      </c>
      <c r="B1249" t="str">
        <f>"1578726467232339"</f>
        <v>1578726467232339</v>
      </c>
      <c r="C1249" t="s">
        <v>40</v>
      </c>
      <c r="D1249">
        <v>7.6537750000000004</v>
      </c>
      <c r="E1249">
        <v>0.53587580000000001</v>
      </c>
      <c r="F1249" t="s">
        <v>61</v>
      </c>
      <c r="G1249">
        <v>-511.82040000000001</v>
      </c>
      <c r="H1249">
        <v>0.74520359999999997</v>
      </c>
      <c r="I1249">
        <v>298.18970000000002</v>
      </c>
      <c r="J1249">
        <v>-297.4683</v>
      </c>
      <c r="K1249">
        <v>1.110212</v>
      </c>
      <c r="L1249">
        <v>283.37459999999999</v>
      </c>
      <c r="M1249">
        <v>-0.99991070000000004</v>
      </c>
      <c r="N1249">
        <v>0</v>
      </c>
      <c r="O1249">
        <v>-1.023838E-3</v>
      </c>
      <c r="P1249">
        <v>-0.98807979999999995</v>
      </c>
      <c r="Q1249">
        <v>0.15151800000000001</v>
      </c>
      <c r="R1249">
        <v>-2.7214990000000001E-2</v>
      </c>
      <c r="S1249">
        <v>-3.0430600000000001</v>
      </c>
      <c r="T1249">
        <v>-5.1769019999999997E-3</v>
      </c>
      <c r="U1249">
        <v>0.21017459999999999</v>
      </c>
      <c r="V1249">
        <v>-2.6042949999999999E-2</v>
      </c>
      <c r="W1249">
        <v>0.16469890000000001</v>
      </c>
      <c r="X1249">
        <v>0.98599999999999999</v>
      </c>
      <c r="Y1249">
        <v>6.9924059999999996E-2</v>
      </c>
      <c r="Z1249" s="1">
        <v>6.1147019999999896E-5</v>
      </c>
      <c r="AA1249">
        <v>0.99755229999999995</v>
      </c>
      <c r="AB1249">
        <v>25</v>
      </c>
      <c r="AC1249">
        <v>-214.35210000000001</v>
      </c>
      <c r="AD1249">
        <v>-0.36500840000000001</v>
      </c>
      <c r="AE1249">
        <v>14.815099999999999</v>
      </c>
      <c r="AF1249">
        <v>15.0345301556146</v>
      </c>
      <c r="AG1249">
        <v>-0.36500840000000001</v>
      </c>
      <c r="AH1249">
        <v>214.33619947248499</v>
      </c>
      <c r="AI1249">
        <v>90.097333814905298</v>
      </c>
      <c r="AJ1249">
        <v>85.987581725672399</v>
      </c>
      <c r="AK1249">
        <v>214.863158155234</v>
      </c>
      <c r="AL1249">
        <v>80.520256413031902</v>
      </c>
      <c r="AM1249">
        <v>91.512986080472601</v>
      </c>
      <c r="AN1249">
        <v>0.99999998145295599</v>
      </c>
    </row>
    <row r="1250" spans="1:40" x14ac:dyDescent="0.3">
      <c r="A1250" t="str">
        <f>"20200111150747262"</f>
        <v>20200111150747262</v>
      </c>
      <c r="B1250" t="str">
        <f>"1578726467252836"</f>
        <v>1578726467252836</v>
      </c>
      <c r="C1250" t="s">
        <v>40</v>
      </c>
      <c r="D1250">
        <v>5.1121530000000002</v>
      </c>
      <c r="E1250">
        <v>0.53104779999999996</v>
      </c>
      <c r="F1250" t="s">
        <v>61</v>
      </c>
      <c r="G1250">
        <v>-511.82040000000001</v>
      </c>
      <c r="H1250">
        <v>0.68886939999999997</v>
      </c>
      <c r="I1250">
        <v>298.3066</v>
      </c>
      <c r="J1250">
        <v>-297.68389999999999</v>
      </c>
      <c r="K1250">
        <v>1.1102030000000001</v>
      </c>
      <c r="L1250">
        <v>283.37490000000003</v>
      </c>
      <c r="M1250">
        <v>-0.99991110000000005</v>
      </c>
      <c r="N1250">
        <v>0</v>
      </c>
      <c r="O1250">
        <v>-5.4595190000000001E-4</v>
      </c>
      <c r="P1250">
        <v>-0.9882109</v>
      </c>
      <c r="Q1250">
        <v>0.15084049999999999</v>
      </c>
      <c r="R1250">
        <v>-2.62026E-2</v>
      </c>
      <c r="S1250">
        <v>-3.0429379999999999</v>
      </c>
      <c r="T1250">
        <v>-5.9801339999999998E-3</v>
      </c>
      <c r="U1250">
        <v>0.2119751</v>
      </c>
      <c r="V1250">
        <v>-2.55033E-2</v>
      </c>
      <c r="W1250">
        <v>0.16402120000000001</v>
      </c>
      <c r="X1250">
        <v>0.98612710000000003</v>
      </c>
      <c r="Y1250">
        <v>7.0037450000000001E-2</v>
      </c>
      <c r="Z1250" s="1">
        <v>6.9808940000000005E-5</v>
      </c>
      <c r="AA1250">
        <v>0.99754430000000005</v>
      </c>
      <c r="AB1250">
        <v>25</v>
      </c>
      <c r="AC1250">
        <v>-214.13650000000001</v>
      </c>
      <c r="AD1250">
        <v>-0.42133359999999898</v>
      </c>
      <c r="AE1250">
        <v>14.9316999999999</v>
      </c>
      <c r="AF1250">
        <v>15.0485584025236</v>
      </c>
      <c r="AG1250">
        <v>-0.42133359999999898</v>
      </c>
      <c r="AH1250">
        <v>214.127490400445</v>
      </c>
      <c r="AI1250">
        <v>90.112462019200294</v>
      </c>
      <c r="AJ1250">
        <v>85.979948415493496</v>
      </c>
      <c r="AK1250">
        <v>214.65604761382599</v>
      </c>
      <c r="AL1250">
        <v>80.559621426220502</v>
      </c>
      <c r="AM1250">
        <v>91.481457921701505</v>
      </c>
      <c r="AN1250">
        <v>1.00000001485737</v>
      </c>
    </row>
    <row r="1251" spans="1:40" x14ac:dyDescent="0.3">
      <c r="A1251" t="str">
        <f>"20200111150747274"</f>
        <v>20200111150747274</v>
      </c>
      <c r="B1251" t="str">
        <f>"1578726467272355"</f>
        <v>1578726467272355</v>
      </c>
      <c r="C1251" t="s">
        <v>40</v>
      </c>
      <c r="D1251">
        <v>5.5408390000000001</v>
      </c>
      <c r="E1251">
        <v>0.52749509999999999</v>
      </c>
      <c r="F1251" t="s">
        <v>55</v>
      </c>
      <c r="G1251">
        <v>-454.45229999999998</v>
      </c>
      <c r="H1251">
        <v>8.0000979999999999E-2</v>
      </c>
      <c r="I1251">
        <v>292.46539999999999</v>
      </c>
      <c r="J1251">
        <v>-297.82420000000002</v>
      </c>
      <c r="K1251">
        <v>1.1102019999999999</v>
      </c>
      <c r="L1251">
        <v>283.37520000000001</v>
      </c>
      <c r="M1251">
        <v>-0.9999112</v>
      </c>
      <c r="N1251">
        <v>0</v>
      </c>
      <c r="O1251">
        <v>-2.353074E-4</v>
      </c>
      <c r="P1251">
        <v>-0.98830969999999996</v>
      </c>
      <c r="Q1251">
        <v>0.1502667</v>
      </c>
      <c r="R1251">
        <v>-2.5769110000000001E-2</v>
      </c>
      <c r="S1251">
        <v>-3.0435180000000002</v>
      </c>
      <c r="T1251">
        <v>-2.0000460000000001E-2</v>
      </c>
      <c r="U1251">
        <v>0.17648320000000001</v>
      </c>
      <c r="V1251">
        <v>-2.5377380000000001E-2</v>
      </c>
      <c r="W1251">
        <v>0.1634477</v>
      </c>
      <c r="X1251">
        <v>0.98622549999999998</v>
      </c>
      <c r="Y1251">
        <v>5.8123010000000003E-2</v>
      </c>
      <c r="Z1251">
        <v>1.923603E-4</v>
      </c>
      <c r="AA1251">
        <v>0.99830940000000001</v>
      </c>
      <c r="AB1251">
        <v>25</v>
      </c>
      <c r="AC1251">
        <v>-156.62809999999899</v>
      </c>
      <c r="AD1251">
        <v>-1.03020102</v>
      </c>
      <c r="AE1251">
        <v>9.0901999999999799</v>
      </c>
      <c r="AF1251">
        <v>9.1266652608122296</v>
      </c>
      <c r="AG1251">
        <v>-1.03020102</v>
      </c>
      <c r="AH1251">
        <v>156.61920359858999</v>
      </c>
      <c r="AI1251">
        <v>90.376233297026701</v>
      </c>
      <c r="AJ1251">
        <v>86.664976628932493</v>
      </c>
      <c r="AK1251">
        <v>156.88827957747799</v>
      </c>
      <c r="AL1251">
        <v>80.592929453420894</v>
      </c>
      <c r="AM1251">
        <v>91.473999589426796</v>
      </c>
      <c r="AN1251">
        <v>0.9999999494506</v>
      </c>
    </row>
    <row r="1252" spans="1:40" x14ac:dyDescent="0.3">
      <c r="A1252" t="str">
        <f>"20200111150747287"</f>
        <v>20200111150747287</v>
      </c>
      <c r="B1252" t="str">
        <f>"1578726467282116"</f>
        <v>1578726467282116</v>
      </c>
      <c r="C1252" t="s">
        <v>40</v>
      </c>
      <c r="D1252">
        <v>5.1252899999999997</v>
      </c>
      <c r="E1252">
        <v>0.52682229999999997</v>
      </c>
      <c r="F1252" t="s">
        <v>58</v>
      </c>
      <c r="G1252">
        <v>-408.97430000000003</v>
      </c>
      <c r="H1252" s="1">
        <v>3.548661E-6</v>
      </c>
      <c r="I1252">
        <v>288.84550000000002</v>
      </c>
      <c r="J1252">
        <v>-297.96249999999998</v>
      </c>
      <c r="K1252">
        <v>1.1101989999999999</v>
      </c>
      <c r="L1252">
        <v>283.37549999999999</v>
      </c>
      <c r="M1252">
        <v>-0.99991140000000001</v>
      </c>
      <c r="N1252">
        <v>0</v>
      </c>
      <c r="O1252" s="1">
        <v>7.0986109999999995E-5</v>
      </c>
      <c r="P1252">
        <v>-0.98835410000000001</v>
      </c>
      <c r="Q1252">
        <v>0.1500454</v>
      </c>
      <c r="R1252">
        <v>-2.5355320000000001E-2</v>
      </c>
      <c r="S1252">
        <v>-3.0439759999999998</v>
      </c>
      <c r="T1252">
        <v>-3.0404090000000002E-2</v>
      </c>
      <c r="U1252">
        <v>0.14981079999999999</v>
      </c>
      <c r="V1252">
        <v>-2.526687E-2</v>
      </c>
      <c r="W1252">
        <v>0.16322619999999999</v>
      </c>
      <c r="X1252">
        <v>0.98626510000000001</v>
      </c>
      <c r="Y1252">
        <v>4.908266E-2</v>
      </c>
      <c r="Z1252">
        <v>2.4426269999999999E-4</v>
      </c>
      <c r="AA1252">
        <v>0.99879470000000004</v>
      </c>
      <c r="AB1252">
        <v>25</v>
      </c>
      <c r="AC1252">
        <v>-111.01179999999999</v>
      </c>
      <c r="AD1252">
        <v>-1.110195451339</v>
      </c>
      <c r="AE1252">
        <v>5.4700000000000202</v>
      </c>
      <c r="AF1252">
        <v>5.4615740815189202</v>
      </c>
      <c r="AG1252">
        <v>-1.110195451339</v>
      </c>
      <c r="AH1252">
        <v>111.001113277204</v>
      </c>
      <c r="AI1252">
        <v>90.572341496011902</v>
      </c>
      <c r="AJ1252">
        <v>87.183154486109302</v>
      </c>
      <c r="AK1252">
        <v>111.140939685459</v>
      </c>
      <c r="AL1252">
        <v>80.605793963108994</v>
      </c>
      <c r="AM1252">
        <v>91.467524727730805</v>
      </c>
      <c r="AN1252">
        <v>1.00000002728202</v>
      </c>
    </row>
    <row r="1253" spans="1:40" x14ac:dyDescent="0.3">
      <c r="A1253" t="str">
        <f>"20200111150747306"</f>
        <v>20200111150747306</v>
      </c>
      <c r="B1253" t="str">
        <f>"1578726467302611"</f>
        <v>1578726467302611</v>
      </c>
      <c r="C1253" t="s">
        <v>40</v>
      </c>
      <c r="D1253">
        <v>8.556616</v>
      </c>
      <c r="E1253">
        <v>0.4615611</v>
      </c>
      <c r="F1253" t="s">
        <v>55</v>
      </c>
      <c r="G1253">
        <v>-383.9015</v>
      </c>
      <c r="H1253" s="1">
        <v>5.3941119999999899E-7</v>
      </c>
      <c r="I1253">
        <v>287.48809999999997</v>
      </c>
      <c r="J1253">
        <v>-298.16860000000003</v>
      </c>
      <c r="K1253">
        <v>1.1101970000000001</v>
      </c>
      <c r="L1253">
        <v>283.37599999999998</v>
      </c>
      <c r="M1253">
        <v>-0.99991110000000005</v>
      </c>
      <c r="N1253">
        <v>0</v>
      </c>
      <c r="O1253">
        <v>5.2789310000000002E-4</v>
      </c>
      <c r="P1253">
        <v>-0.98841820000000002</v>
      </c>
      <c r="Q1253">
        <v>0.149624799999999</v>
      </c>
      <c r="R1253">
        <v>-2.533639E-2</v>
      </c>
      <c r="S1253">
        <v>-3.0450740000000001</v>
      </c>
      <c r="T1253">
        <v>-3.933764E-2</v>
      </c>
      <c r="U1253">
        <v>0.1457214</v>
      </c>
      <c r="V1253">
        <v>-2.5699929999999999E-2</v>
      </c>
      <c r="W1253">
        <v>0.16280559999999999</v>
      </c>
      <c r="X1253">
        <v>0.98632339999999996</v>
      </c>
      <c r="Y1253">
        <v>4.7268869999999998E-2</v>
      </c>
      <c r="Z1253">
        <v>2.983169E-4</v>
      </c>
      <c r="AA1253">
        <v>0.99888220000000005</v>
      </c>
      <c r="AB1253">
        <v>25</v>
      </c>
      <c r="AC1253">
        <v>-85.732899999999901</v>
      </c>
      <c r="AD1253">
        <v>-1.1101964605887999</v>
      </c>
      <c r="AE1253">
        <v>4.1120999999999901</v>
      </c>
      <c r="AF1253">
        <v>4.0661573181768498</v>
      </c>
      <c r="AG1253">
        <v>-1.1101964605887999</v>
      </c>
      <c r="AH1253">
        <v>85.720717563543801</v>
      </c>
      <c r="AI1253">
        <v>90.741181205977995</v>
      </c>
      <c r="AJ1253">
        <v>87.284213672750695</v>
      </c>
      <c r="AK1253">
        <v>85.824283225239398</v>
      </c>
      <c r="AL1253">
        <v>80.630219032551906</v>
      </c>
      <c r="AM1253">
        <v>91.492577807025697</v>
      </c>
      <c r="AN1253">
        <v>0.99999999959046204</v>
      </c>
    </row>
    <row r="1254" spans="1:40" x14ac:dyDescent="0.3">
      <c r="A1254" t="str">
        <f>"20200111150747319"</f>
        <v>20200111150747319</v>
      </c>
      <c r="B1254" t="str">
        <f>"1578726467312371"</f>
        <v>1578726467312371</v>
      </c>
      <c r="C1254" t="s">
        <v>40</v>
      </c>
      <c r="D1254">
        <v>5.4964279999999999</v>
      </c>
      <c r="E1254">
        <v>0.4615611</v>
      </c>
      <c r="F1254" t="s">
        <v>59</v>
      </c>
      <c r="G1254">
        <v>-440.6841</v>
      </c>
      <c r="H1254">
        <v>1.441765</v>
      </c>
      <c r="I1254">
        <v>265.69279999999998</v>
      </c>
      <c r="J1254">
        <v>-298.3218</v>
      </c>
      <c r="K1254">
        <v>1.110198</v>
      </c>
      <c r="L1254">
        <v>283.37650000000002</v>
      </c>
      <c r="M1254">
        <v>-0.99991099999999999</v>
      </c>
      <c r="N1254">
        <v>0</v>
      </c>
      <c r="O1254">
        <v>8.6726529999999998E-4</v>
      </c>
      <c r="P1254">
        <v>-0.98848619999999998</v>
      </c>
      <c r="Q1254">
        <v>0.14923929999999999</v>
      </c>
      <c r="R1254">
        <v>-2.495524E-2</v>
      </c>
      <c r="S1254">
        <v>-3.0244749999999998</v>
      </c>
      <c r="T1254">
        <v>7.0368050000000001E-3</v>
      </c>
      <c r="U1254">
        <v>-0.37527470000000002</v>
      </c>
      <c r="V1254">
        <v>-2.5655020000000001E-2</v>
      </c>
      <c r="W1254">
        <v>0.162419799999999</v>
      </c>
      <c r="X1254">
        <v>0.98638809999999999</v>
      </c>
      <c r="Y1254">
        <v>-0.12399540000000001</v>
      </c>
      <c r="Z1254">
        <v>1.4570429999999999E-4</v>
      </c>
      <c r="AA1254">
        <v>0.99228280000000002</v>
      </c>
      <c r="AB1254">
        <v>25</v>
      </c>
      <c r="AC1254">
        <v>-142.3623</v>
      </c>
      <c r="AD1254">
        <v>0.331566999999999</v>
      </c>
      <c r="AE1254">
        <v>-17.683700000000002</v>
      </c>
      <c r="AF1254">
        <v>-17.807075049095602</v>
      </c>
      <c r="AG1254">
        <v>0.331566999999999</v>
      </c>
      <c r="AH1254">
        <v>142.34614822181399</v>
      </c>
      <c r="AI1254">
        <v>89.867573298646604</v>
      </c>
      <c r="AJ1254">
        <v>97.130488053128005</v>
      </c>
      <c r="AK1254">
        <v>143.456013370183</v>
      </c>
      <c r="AL1254">
        <v>80.652621249045097</v>
      </c>
      <c r="AM1254">
        <v>91.489873053155193</v>
      </c>
      <c r="AN1254">
        <v>0.99999992765242196</v>
      </c>
    </row>
    <row r="1255" spans="1:40" x14ac:dyDescent="0.3">
      <c r="A1255" t="str">
        <f>"20200111150747331"</f>
        <v>20200111150747331</v>
      </c>
      <c r="B1255" t="str">
        <f>"1578726467322131"</f>
        <v>1578726467322131</v>
      </c>
      <c r="C1255" t="s">
        <v>40</v>
      </c>
      <c r="D1255">
        <v>8.1369619999999898</v>
      </c>
      <c r="E1255">
        <v>0.45340730000000001</v>
      </c>
      <c r="F1255" t="s">
        <v>59</v>
      </c>
      <c r="G1255">
        <v>-440.6841</v>
      </c>
      <c r="H1255">
        <v>1.386568</v>
      </c>
      <c r="I1255">
        <v>265.77640000000002</v>
      </c>
      <c r="J1255">
        <v>-298.46159999999998</v>
      </c>
      <c r="K1255">
        <v>1.110196</v>
      </c>
      <c r="L1255">
        <v>283.37700000000001</v>
      </c>
      <c r="M1255">
        <v>-0.99991059999999998</v>
      </c>
      <c r="N1255">
        <v>0</v>
      </c>
      <c r="O1255">
        <v>1.1769560000000001E-3</v>
      </c>
      <c r="P1255">
        <v>-0.98851420000000001</v>
      </c>
      <c r="Q1255">
        <v>0.14910319999999999</v>
      </c>
      <c r="R1255">
        <v>-2.4659629999999998E-2</v>
      </c>
      <c r="S1255">
        <v>-3.0246279999999999</v>
      </c>
      <c r="T1255">
        <v>5.8720109999999999E-3</v>
      </c>
      <c r="U1255">
        <v>-0.37393189999999998</v>
      </c>
      <c r="V1255">
        <v>-2.566595E-2</v>
      </c>
      <c r="W1255">
        <v>0.16228329999999999</v>
      </c>
      <c r="X1255">
        <v>0.98641040000000002</v>
      </c>
      <c r="Y1255">
        <v>-0.1238628</v>
      </c>
      <c r="Z1255">
        <v>1.220541E-4</v>
      </c>
      <c r="AA1255">
        <v>0.9922993</v>
      </c>
      <c r="AB1255">
        <v>25</v>
      </c>
      <c r="AC1255">
        <v>-142.2225</v>
      </c>
      <c r="AD1255">
        <v>0.27637200000000001</v>
      </c>
      <c r="AE1255">
        <v>-17.600599999999901</v>
      </c>
      <c r="AF1255">
        <v>-17.767926199506501</v>
      </c>
      <c r="AG1255">
        <v>0.27637200000000001</v>
      </c>
      <c r="AH1255">
        <v>142.20115563196501</v>
      </c>
      <c r="AI1255">
        <v>89.889503370475694</v>
      </c>
      <c r="AJ1255">
        <v>97.122152691716096</v>
      </c>
      <c r="AK1255">
        <v>143.307167461993</v>
      </c>
      <c r="AL1255">
        <v>80.660548373149496</v>
      </c>
      <c r="AM1255">
        <v>91.490473827605001</v>
      </c>
      <c r="AN1255">
        <v>1.0000000438382199</v>
      </c>
    </row>
    <row r="1256" spans="1:40" x14ac:dyDescent="0.3">
      <c r="A1256" t="str">
        <f>"20200111150747344"</f>
        <v>20200111150747344</v>
      </c>
      <c r="B1256" t="str">
        <f>"1578726467331891"</f>
        <v>1578726467331891</v>
      </c>
      <c r="C1256" t="s">
        <v>40</v>
      </c>
      <c r="D1256">
        <v>7.7053369999999903</v>
      </c>
      <c r="E1256">
        <v>0.45247300000000001</v>
      </c>
      <c r="F1256" t="s">
        <v>59</v>
      </c>
      <c r="G1256">
        <v>-440.6841</v>
      </c>
      <c r="H1256">
        <v>1.421449</v>
      </c>
      <c r="I1256">
        <v>262.7604</v>
      </c>
      <c r="J1256">
        <v>-298.601</v>
      </c>
      <c r="K1256">
        <v>1.110198</v>
      </c>
      <c r="L1256">
        <v>283.3775</v>
      </c>
      <c r="M1256">
        <v>-0.99991019999999997</v>
      </c>
      <c r="N1256">
        <v>0</v>
      </c>
      <c r="O1256">
        <v>1.486111E-3</v>
      </c>
      <c r="P1256">
        <v>-0.98853329999999995</v>
      </c>
      <c r="Q1256">
        <v>0.14900389999999999</v>
      </c>
      <c r="R1256">
        <v>-2.4495240000000001E-2</v>
      </c>
      <c r="S1256">
        <v>-3.0229189999999999</v>
      </c>
      <c r="T1256">
        <v>6.6158769999999896E-3</v>
      </c>
      <c r="U1256">
        <v>-0.43820189999999998</v>
      </c>
      <c r="V1256">
        <v>-2.5807489999999999E-2</v>
      </c>
      <c r="W1256">
        <v>0.16218360000000001</v>
      </c>
      <c r="X1256">
        <v>0.9864231</v>
      </c>
      <c r="Y1256">
        <v>-0.1449308</v>
      </c>
      <c r="Z1256">
        <v>1.6100700000000001E-4</v>
      </c>
      <c r="AA1256">
        <v>0.98944180000000004</v>
      </c>
      <c r="AB1256">
        <v>25</v>
      </c>
      <c r="AC1256">
        <v>-142.0831</v>
      </c>
      <c r="AD1256">
        <v>0.311250999999999</v>
      </c>
      <c r="AE1256">
        <v>-20.617099999999901</v>
      </c>
      <c r="AF1256">
        <v>-20.828149327026399</v>
      </c>
      <c r="AG1256">
        <v>0.311250999999999</v>
      </c>
      <c r="AH1256">
        <v>142.05163343174499</v>
      </c>
      <c r="AI1256">
        <v>89.875786842685798</v>
      </c>
      <c r="AJ1256">
        <v>98.3414868303568</v>
      </c>
      <c r="AK1256">
        <v>143.57080219251</v>
      </c>
      <c r="AL1256">
        <v>80.666337412007394</v>
      </c>
      <c r="AM1256">
        <v>91.498670317886095</v>
      </c>
      <c r="AN1256">
        <v>1.00000003943133</v>
      </c>
    </row>
    <row r="1257" spans="1:40" x14ac:dyDescent="0.3">
      <c r="A1257" t="str">
        <f>"20200111150747362"</f>
        <v>20200111150747362</v>
      </c>
      <c r="B1257" t="str">
        <f>"1578726467352387"</f>
        <v>1578726467352387</v>
      </c>
      <c r="C1257" t="s">
        <v>40</v>
      </c>
      <c r="D1257">
        <v>6.8059339999999997</v>
      </c>
      <c r="E1257">
        <v>0.45289000000000001</v>
      </c>
      <c r="F1257" t="s">
        <v>59</v>
      </c>
      <c r="G1257">
        <v>-440.6841</v>
      </c>
      <c r="H1257">
        <v>1.796705</v>
      </c>
      <c r="I1257">
        <v>262.4348</v>
      </c>
      <c r="J1257">
        <v>-298.80630000000002</v>
      </c>
      <c r="K1257">
        <v>1.1101989999999999</v>
      </c>
      <c r="L1257">
        <v>283.37830000000002</v>
      </c>
      <c r="M1257">
        <v>-0.99990950000000001</v>
      </c>
      <c r="N1257">
        <v>0</v>
      </c>
      <c r="O1257">
        <v>1.94123E-3</v>
      </c>
      <c r="P1257">
        <v>-0.98852479999999998</v>
      </c>
      <c r="Q1257">
        <v>0.14909749999999999</v>
      </c>
      <c r="R1257">
        <v>-2.4260879999999999E-2</v>
      </c>
      <c r="S1257">
        <v>-3.021576</v>
      </c>
      <c r="T1257">
        <v>1.459968E-2</v>
      </c>
      <c r="U1257">
        <v>-0.44537349999999998</v>
      </c>
      <c r="V1257">
        <v>-2.602345E-2</v>
      </c>
      <c r="W1257">
        <v>0.162275799999999</v>
      </c>
      <c r="X1257">
        <v>0.98640220000000001</v>
      </c>
      <c r="Y1257">
        <v>-0.14774089999999901</v>
      </c>
      <c r="Z1257">
        <v>3.6433839999999999E-4</v>
      </c>
      <c r="AA1257">
        <v>0.98902599999999996</v>
      </c>
      <c r="AB1257">
        <v>25</v>
      </c>
      <c r="AC1257">
        <v>-141.87779999999901</v>
      </c>
      <c r="AD1257">
        <v>0.68650599999999995</v>
      </c>
      <c r="AE1257">
        <v>-20.9435</v>
      </c>
      <c r="AF1257">
        <v>-21.218416186261901</v>
      </c>
      <c r="AG1257">
        <v>0.68650599999999995</v>
      </c>
      <c r="AH1257">
        <v>141.833622921565</v>
      </c>
      <c r="AI1257">
        <v>89.725730066072501</v>
      </c>
      <c r="AJ1257">
        <v>98.508392259717795</v>
      </c>
      <c r="AK1257">
        <v>143.41362929302801</v>
      </c>
      <c r="AL1257">
        <v>80.660983240697007</v>
      </c>
      <c r="AM1257">
        <v>91.511237574287804</v>
      </c>
      <c r="AN1257">
        <v>0.999999977690191</v>
      </c>
    </row>
    <row r="1258" spans="1:40" x14ac:dyDescent="0.3">
      <c r="A1258" t="str">
        <f>"20200111150747374"</f>
        <v>20200111150747374</v>
      </c>
      <c r="B1258" t="str">
        <f>"1578726467372415"</f>
        <v>1578726467372415</v>
      </c>
      <c r="C1258" t="s">
        <v>40</v>
      </c>
      <c r="D1258">
        <v>6.8124979999999997</v>
      </c>
      <c r="E1258">
        <v>0.45535059999999999</v>
      </c>
      <c r="F1258" t="s">
        <v>59</v>
      </c>
      <c r="G1258">
        <v>-440.6841</v>
      </c>
      <c r="H1258">
        <v>1.1428849999999999</v>
      </c>
      <c r="I1258">
        <v>262.68950000000001</v>
      </c>
      <c r="J1258">
        <v>-298.95010000000002</v>
      </c>
      <c r="K1258">
        <v>1.1101989999999999</v>
      </c>
      <c r="L1258">
        <v>283.37900000000002</v>
      </c>
      <c r="M1258">
        <v>-0.99990889999999999</v>
      </c>
      <c r="N1258">
        <v>0</v>
      </c>
      <c r="O1258">
        <v>2.2598010000000001E-3</v>
      </c>
      <c r="P1258">
        <v>-0.98853809999999998</v>
      </c>
      <c r="Q1258">
        <v>0.14902760000000001</v>
      </c>
      <c r="R1258">
        <v>-2.4155019999999999E-2</v>
      </c>
      <c r="S1258">
        <v>-3.023895</v>
      </c>
      <c r="T1258">
        <v>6.9689749999999999E-4</v>
      </c>
      <c r="U1258">
        <v>-0.44094850000000002</v>
      </c>
      <c r="V1258">
        <v>-2.6232599999999998E-2</v>
      </c>
      <c r="W1258">
        <v>0.16220570000000001</v>
      </c>
      <c r="X1258">
        <v>0.98640819999999996</v>
      </c>
      <c r="Y1258">
        <v>-0.146531299999999</v>
      </c>
      <c r="Z1258" s="1">
        <v>1.7314359999999999E-5</v>
      </c>
      <c r="AA1258">
        <v>0.98920600000000003</v>
      </c>
      <c r="AB1258">
        <v>25</v>
      </c>
      <c r="AC1258">
        <v>-141.73399999999901</v>
      </c>
      <c r="AD1258">
        <v>3.2685999999999903E-2</v>
      </c>
      <c r="AE1258">
        <v>-20.689499999999999</v>
      </c>
      <c r="AF1258">
        <v>-21.009765067013401</v>
      </c>
      <c r="AG1258">
        <v>3.2685999999999903E-2</v>
      </c>
      <c r="AH1258">
        <v>141.68687236766101</v>
      </c>
      <c r="AI1258">
        <v>89.986925294454494</v>
      </c>
      <c r="AJ1258">
        <v>98.4345335616499</v>
      </c>
      <c r="AK1258">
        <v>143.23610263434099</v>
      </c>
      <c r="AL1258">
        <v>80.665053696800499</v>
      </c>
      <c r="AM1258">
        <v>91.523368401215706</v>
      </c>
      <c r="AN1258">
        <v>0.99999998772124399</v>
      </c>
    </row>
    <row r="1259" spans="1:40" x14ac:dyDescent="0.3">
      <c r="A1259" t="str">
        <f>"20200111150747388"</f>
        <v>20200111150747388</v>
      </c>
      <c r="B1259" t="str">
        <f>"1578726467382175"</f>
        <v>1578726467382175</v>
      </c>
      <c r="C1259" t="s">
        <v>40</v>
      </c>
      <c r="D1259">
        <v>7.2334860000000001</v>
      </c>
      <c r="E1259">
        <v>0.45315559999999999</v>
      </c>
      <c r="F1259" t="s">
        <v>59</v>
      </c>
      <c r="G1259">
        <v>-440.40789999999998</v>
      </c>
      <c r="H1259">
        <v>1.3363179999999999</v>
      </c>
      <c r="I1259">
        <v>263.6814</v>
      </c>
      <c r="J1259">
        <v>-299.09199999999998</v>
      </c>
      <c r="K1259">
        <v>1.110201</v>
      </c>
      <c r="L1259">
        <v>283.37959999999998</v>
      </c>
      <c r="M1259">
        <v>-0.99990800000000002</v>
      </c>
      <c r="N1259">
        <v>0</v>
      </c>
      <c r="O1259">
        <v>2.5746749999999998E-3</v>
      </c>
      <c r="P1259">
        <v>-0.9885758</v>
      </c>
      <c r="Q1259">
        <v>0.14883569999999999</v>
      </c>
      <c r="R1259">
        <v>-2.3787740000000002E-2</v>
      </c>
      <c r="S1259">
        <v>-3.0237729999999998</v>
      </c>
      <c r="T1259">
        <v>4.8340559999999998E-3</v>
      </c>
      <c r="U1259">
        <v>-0.42105100000000001</v>
      </c>
      <c r="V1259">
        <v>-2.6176990000000001E-2</v>
      </c>
      <c r="W1259">
        <v>0.1620132</v>
      </c>
      <c r="X1259">
        <v>0.98644129999999997</v>
      </c>
      <c r="Y1259">
        <v>-0.14046589999999901</v>
      </c>
      <c r="Z1259">
        <v>1.15838E-4</v>
      </c>
      <c r="AA1259">
        <v>0.99008549999999995</v>
      </c>
      <c r="AB1259">
        <v>25</v>
      </c>
      <c r="AC1259">
        <v>-141.3159</v>
      </c>
      <c r="AD1259">
        <v>0.22611700000000001</v>
      </c>
      <c r="AE1259">
        <v>-19.6981999999999</v>
      </c>
      <c r="AF1259">
        <v>-20.061959099362099</v>
      </c>
      <c r="AG1259">
        <v>0.22611700000000001</v>
      </c>
      <c r="AH1259">
        <v>141.26435578636</v>
      </c>
      <c r="AI1259">
        <v>89.909199789036407</v>
      </c>
      <c r="AJ1259">
        <v>98.082930495630706</v>
      </c>
      <c r="AK1259">
        <v>142.68199447560801</v>
      </c>
      <c r="AL1259">
        <v>80.676230859766093</v>
      </c>
      <c r="AM1259">
        <v>91.520089573463693</v>
      </c>
      <c r="AN1259">
        <v>0.999999975062694</v>
      </c>
    </row>
    <row r="1260" spans="1:40" x14ac:dyDescent="0.3">
      <c r="A1260" t="str">
        <f>"20200111150747406"</f>
        <v>20200111150747406</v>
      </c>
      <c r="B1260" t="str">
        <f>"1578726467402671"</f>
        <v>1578726467402671</v>
      </c>
      <c r="C1260" t="s">
        <v>40</v>
      </c>
      <c r="D1260">
        <v>4.2485410000000003</v>
      </c>
      <c r="E1260">
        <v>0.51454469999999997</v>
      </c>
      <c r="F1260" t="s">
        <v>59</v>
      </c>
      <c r="G1260">
        <v>-440.6841</v>
      </c>
      <c r="H1260">
        <v>1.4579009999999999</v>
      </c>
      <c r="I1260">
        <v>262.89960000000002</v>
      </c>
      <c r="J1260">
        <v>-299.3</v>
      </c>
      <c r="K1260">
        <v>1.1102000000000001</v>
      </c>
      <c r="L1260">
        <v>283.38069999999999</v>
      </c>
      <c r="M1260">
        <v>-0.99990679999999998</v>
      </c>
      <c r="N1260">
        <v>0</v>
      </c>
      <c r="O1260">
        <v>3.0361110000000002E-3</v>
      </c>
      <c r="P1260">
        <v>-0.98850610000000005</v>
      </c>
      <c r="Q1260">
        <v>0.1493679</v>
      </c>
      <c r="R1260">
        <v>-2.3349129999999999E-2</v>
      </c>
      <c r="S1260">
        <v>-3.0230410000000001</v>
      </c>
      <c r="T1260">
        <v>7.4237590000000003E-3</v>
      </c>
      <c r="U1260">
        <v>-0.43725589999999998</v>
      </c>
      <c r="V1260">
        <v>-2.6193959999999999E-2</v>
      </c>
      <c r="W1260">
        <v>0.1625431</v>
      </c>
      <c r="X1260">
        <v>0.9863537</v>
      </c>
      <c r="Y1260">
        <v>-0.14615539999999999</v>
      </c>
      <c r="Z1260">
        <v>1.8594790000000001E-4</v>
      </c>
      <c r="AA1260">
        <v>0.98926159999999996</v>
      </c>
      <c r="AB1260">
        <v>25</v>
      </c>
      <c r="AC1260">
        <v>-141.38409999999999</v>
      </c>
      <c r="AD1260">
        <v>0.34770099999999998</v>
      </c>
      <c r="AE1260">
        <v>-20.481099999999898</v>
      </c>
      <c r="AF1260">
        <v>-20.910177573622299</v>
      </c>
      <c r="AG1260">
        <v>0.34770099999999998</v>
      </c>
      <c r="AH1260">
        <v>141.32042270682999</v>
      </c>
      <c r="AI1260">
        <v>89.860549501412095</v>
      </c>
      <c r="AJ1260">
        <v>98.416581962731996</v>
      </c>
      <c r="AK1260">
        <v>142.85943544681601</v>
      </c>
      <c r="AL1260">
        <v>80.645462241412304</v>
      </c>
      <c r="AM1260">
        <v>91.521209579355897</v>
      </c>
      <c r="AN1260">
        <v>1.0000000022008899</v>
      </c>
    </row>
    <row r="1261" spans="1:40" x14ac:dyDescent="0.3">
      <c r="A1261" t="str">
        <f>"20200111150747420"</f>
        <v>20200111150747420</v>
      </c>
      <c r="B1261" t="str">
        <f>"1578726467412431"</f>
        <v>1578726467412431</v>
      </c>
      <c r="C1261" t="s">
        <v>40</v>
      </c>
      <c r="D1261">
        <v>5.0924820000000004</v>
      </c>
      <c r="E1261">
        <v>0.51334769999999996</v>
      </c>
      <c r="F1261" t="s">
        <v>58</v>
      </c>
      <c r="G1261">
        <v>-316.40890000000002</v>
      </c>
      <c r="H1261" s="1">
        <v>5.1395090000000001E-6</v>
      </c>
      <c r="I1261">
        <v>283.69639999999998</v>
      </c>
      <c r="J1261">
        <v>-299.46030000000002</v>
      </c>
      <c r="K1261">
        <v>1.1102000000000001</v>
      </c>
      <c r="L1261">
        <v>283.38159999999999</v>
      </c>
      <c r="M1261">
        <v>-0.99990570000000001</v>
      </c>
      <c r="N1261">
        <v>0</v>
      </c>
      <c r="O1261">
        <v>3.3914010000000001E-3</v>
      </c>
      <c r="P1261">
        <v>-0.98847560000000001</v>
      </c>
      <c r="Q1261">
        <v>0.14965889999999901</v>
      </c>
      <c r="R1261">
        <v>-2.277156E-2</v>
      </c>
      <c r="S1261">
        <v>-3.066284</v>
      </c>
      <c r="T1261">
        <v>-0.1989706</v>
      </c>
      <c r="U1261">
        <v>5.6579589999999999E-2</v>
      </c>
      <c r="V1261">
        <v>-2.5967420000000001E-2</v>
      </c>
      <c r="W1261">
        <v>0.16283239999999999</v>
      </c>
      <c r="X1261">
        <v>0.98631199999999997</v>
      </c>
      <c r="Y1261">
        <v>1.5033319999999999E-2</v>
      </c>
      <c r="Z1261">
        <v>2.6736620000000002E-4</v>
      </c>
      <c r="AA1261">
        <v>0.99988690000000002</v>
      </c>
      <c r="AB1261">
        <v>25</v>
      </c>
      <c r="AC1261">
        <v>-16.948599999999999</v>
      </c>
      <c r="AD1261">
        <v>-1.1101948604909999</v>
      </c>
      <c r="AE1261">
        <v>0.31479999999999098</v>
      </c>
      <c r="AF1261">
        <v>0.256214632536375</v>
      </c>
      <c r="AG1261">
        <v>-1.1101948604909999</v>
      </c>
      <c r="AH1261">
        <v>16.877179844214002</v>
      </c>
      <c r="AI1261">
        <v>93.763109260302102</v>
      </c>
      <c r="AJ1261">
        <v>89.130252232081503</v>
      </c>
      <c r="AK1261">
        <v>16.915595705151201</v>
      </c>
      <c r="AL1261">
        <v>80.628663019967803</v>
      </c>
      <c r="AM1261">
        <v>91.508123140269305</v>
      </c>
      <c r="AN1261">
        <v>1.0000000293675999</v>
      </c>
    </row>
    <row r="1262" spans="1:40" x14ac:dyDescent="0.3">
      <c r="A1262" t="str">
        <f>"20200111150747434"</f>
        <v>20200111150747434</v>
      </c>
      <c r="B1262" t="str">
        <f>"1578726467422193"</f>
        <v>1578726467422193</v>
      </c>
      <c r="C1262" t="s">
        <v>40</v>
      </c>
      <c r="D1262">
        <v>5.0819989999999997</v>
      </c>
      <c r="E1262">
        <v>0.51361659999999998</v>
      </c>
      <c r="F1262" t="s">
        <v>58</v>
      </c>
      <c r="G1262">
        <v>-319.48180000000002</v>
      </c>
      <c r="H1262" s="1">
        <v>6.502178E-6</v>
      </c>
      <c r="I1262">
        <v>283.69630000000001</v>
      </c>
      <c r="J1262">
        <v>-299.61930000000001</v>
      </c>
      <c r="K1262">
        <v>1.110204</v>
      </c>
      <c r="L1262">
        <v>283.38249999999999</v>
      </c>
      <c r="M1262">
        <v>-0.99990440000000003</v>
      </c>
      <c r="N1262">
        <v>0</v>
      </c>
      <c r="O1262">
        <v>3.7439449999999998E-3</v>
      </c>
      <c r="P1262">
        <v>-0.98848579999999997</v>
      </c>
      <c r="Q1262">
        <v>0.1496721</v>
      </c>
      <c r="R1262">
        <v>-2.22323E-2</v>
      </c>
      <c r="S1262">
        <v>-3.0618289999999999</v>
      </c>
      <c r="T1262">
        <v>-0.1697794</v>
      </c>
      <c r="U1262">
        <v>4.8126219999999997E-2</v>
      </c>
      <c r="V1262">
        <v>-2.5776420000000001E-2</v>
      </c>
      <c r="W1262">
        <v>0.16284460000000001</v>
      </c>
      <c r="X1262">
        <v>0.98631500000000005</v>
      </c>
      <c r="Y1262">
        <v>1.195965E-2</v>
      </c>
      <c r="Z1262">
        <v>1.2386090000000001E-4</v>
      </c>
      <c r="AA1262">
        <v>0.9999285</v>
      </c>
      <c r="AB1262">
        <v>25</v>
      </c>
      <c r="AC1262">
        <v>-19.862500000000001</v>
      </c>
      <c r="AD1262">
        <v>-1.1101974978219999</v>
      </c>
      <c r="AE1262">
        <v>0.31380000000001401</v>
      </c>
      <c r="AF1262">
        <v>0.23868161175203301</v>
      </c>
      <c r="AG1262">
        <v>-1.1101974978219999</v>
      </c>
      <c r="AH1262">
        <v>19.801687603451299</v>
      </c>
      <c r="AI1262">
        <v>93.208741709480293</v>
      </c>
      <c r="AJ1262">
        <v>89.309413064495999</v>
      </c>
      <c r="AK1262">
        <v>19.834221420076901</v>
      </c>
      <c r="AL1262">
        <v>80.627954593558698</v>
      </c>
      <c r="AM1262">
        <v>91.497030850752694</v>
      </c>
      <c r="AN1262">
        <v>1.0000000334010799</v>
      </c>
    </row>
    <row r="1263" spans="1:40" x14ac:dyDescent="0.3">
      <c r="A1263" t="str">
        <f>"20200111150747453"</f>
        <v>20200111150747453</v>
      </c>
      <c r="B1263" t="str">
        <f>"1578726467442687"</f>
        <v>1578726467442687</v>
      </c>
      <c r="C1263" t="s">
        <v>40</v>
      </c>
      <c r="D1263">
        <v>5.5135459999999998</v>
      </c>
      <c r="E1263">
        <v>0.52122809999999997</v>
      </c>
      <c r="F1263" t="s">
        <v>58</v>
      </c>
      <c r="G1263">
        <v>-319.52249999999998</v>
      </c>
      <c r="H1263" s="1">
        <v>6.5181829999999999E-6</v>
      </c>
      <c r="I1263">
        <v>283.7199</v>
      </c>
      <c r="J1263">
        <v>-299.82249999999999</v>
      </c>
      <c r="K1263">
        <v>1.110204</v>
      </c>
      <c r="L1263">
        <v>283.38380000000001</v>
      </c>
      <c r="M1263">
        <v>-0.99990270000000003</v>
      </c>
      <c r="N1263">
        <v>0</v>
      </c>
      <c r="O1263">
        <v>4.1944749999999996E-3</v>
      </c>
      <c r="P1263">
        <v>-0.98850979999999999</v>
      </c>
      <c r="Q1263">
        <v>0.1495706</v>
      </c>
      <c r="R1263">
        <v>-2.1842299999999999E-2</v>
      </c>
      <c r="S1263">
        <v>-3.0619809999999998</v>
      </c>
      <c r="T1263">
        <v>-0.1707969</v>
      </c>
      <c r="U1263">
        <v>5.1910400000000002E-2</v>
      </c>
      <c r="V1263">
        <v>-2.5832830000000001E-2</v>
      </c>
      <c r="W1263">
        <v>0.1627421</v>
      </c>
      <c r="X1263">
        <v>0.98633040000000005</v>
      </c>
      <c r="Y1263">
        <v>1.274309E-2</v>
      </c>
      <c r="Z1263">
        <v>1.213156E-4</v>
      </c>
      <c r="AA1263">
        <v>0.9999188</v>
      </c>
      <c r="AB1263">
        <v>25</v>
      </c>
      <c r="AC1263">
        <v>-19.6999999999999</v>
      </c>
      <c r="AD1263">
        <v>-1.110197481817</v>
      </c>
      <c r="AE1263">
        <v>0.33609999999998702</v>
      </c>
      <c r="AF1263">
        <v>0.25265639149060198</v>
      </c>
      <c r="AG1263">
        <v>-1.110197481817</v>
      </c>
      <c r="AH1263">
        <v>19.638883405898401</v>
      </c>
      <c r="AI1263">
        <v>93.2352528696006</v>
      </c>
      <c r="AJ1263">
        <v>89.2629241680619</v>
      </c>
      <c r="AK1263">
        <v>19.671860998168501</v>
      </c>
      <c r="AL1263">
        <v>80.633906421846604</v>
      </c>
      <c r="AM1263">
        <v>91.500282094379401</v>
      </c>
      <c r="AN1263">
        <v>0.99999999209118895</v>
      </c>
    </row>
    <row r="1264" spans="1:40" x14ac:dyDescent="0.3">
      <c r="A1264" t="str">
        <f>"20200111150747475"</f>
        <v>20200111150747475</v>
      </c>
      <c r="B1264" t="str">
        <f>"1578726467472461"</f>
        <v>1578726467472461</v>
      </c>
      <c r="C1264" t="s">
        <v>40</v>
      </c>
      <c r="D1264">
        <v>4.2541270000000004</v>
      </c>
      <c r="E1264">
        <v>0.51808129999999997</v>
      </c>
      <c r="F1264" t="s">
        <v>55</v>
      </c>
      <c r="G1264">
        <v>-323.37860000000001</v>
      </c>
      <c r="H1264" s="1">
        <v>2.7673610000000002E-7</v>
      </c>
      <c r="I1264">
        <v>284.25959999999998</v>
      </c>
      <c r="J1264">
        <v>-300.07080000000002</v>
      </c>
      <c r="K1264">
        <v>1.1102069999999999</v>
      </c>
      <c r="L1264">
        <v>283.38549999999998</v>
      </c>
      <c r="M1264">
        <v>-0.99990020000000002</v>
      </c>
      <c r="N1264">
        <v>0</v>
      </c>
      <c r="O1264">
        <v>4.7451359999999996E-3</v>
      </c>
      <c r="P1264">
        <v>-0.98856219999999995</v>
      </c>
      <c r="Q1264">
        <v>0.14930679999999999</v>
      </c>
      <c r="R1264">
        <v>-2.1273920000000002E-2</v>
      </c>
      <c r="S1264">
        <v>-3.0591740000000001</v>
      </c>
      <c r="T1264">
        <v>-0.14417940000000001</v>
      </c>
      <c r="U1264">
        <v>0.11373900000000001</v>
      </c>
      <c r="V1264">
        <v>-2.5809039999999998E-2</v>
      </c>
      <c r="W1264">
        <v>0.1624777</v>
      </c>
      <c r="X1264">
        <v>0.98637459999999999</v>
      </c>
      <c r="Y1264">
        <v>3.2380649999999997E-2</v>
      </c>
      <c r="Z1264">
        <v>5.3891449999999999E-4</v>
      </c>
      <c r="AA1264">
        <v>0.99947549999999996</v>
      </c>
      <c r="AB1264">
        <v>25</v>
      </c>
      <c r="AC1264">
        <v>-23.307799999999901</v>
      </c>
      <c r="AD1264">
        <v>-1.1102067232638999</v>
      </c>
      <c r="AE1264">
        <v>0.87409999999999799</v>
      </c>
      <c r="AF1264">
        <v>0.76175580347032301</v>
      </c>
      <c r="AG1264">
        <v>-1.1102067232638999</v>
      </c>
      <c r="AH1264">
        <v>23.258988676461701</v>
      </c>
      <c r="AI1264">
        <v>92.7313270957264</v>
      </c>
      <c r="AJ1264">
        <v>88.1241747832009</v>
      </c>
      <c r="AK1264">
        <v>23.297926627154499</v>
      </c>
      <c r="AL1264">
        <v>80.649259663457201</v>
      </c>
      <c r="AM1264">
        <v>91.498833947466096</v>
      </c>
      <c r="AN1264">
        <v>0.99999998053408501</v>
      </c>
    </row>
    <row r="1265" spans="1:40" x14ac:dyDescent="0.3">
      <c r="A1265" t="str">
        <f>"20200111150747496"</f>
        <v>20200111150747496</v>
      </c>
      <c r="B1265" t="str">
        <f>"1578726467491981"</f>
        <v>1578726467491981</v>
      </c>
      <c r="C1265" t="s">
        <v>40</v>
      </c>
      <c r="D1265">
        <v>5.1035570000000003</v>
      </c>
      <c r="E1265">
        <v>0.5182177</v>
      </c>
      <c r="F1265" t="s">
        <v>55</v>
      </c>
      <c r="G1265">
        <v>-320.1259</v>
      </c>
      <c r="H1265" s="1">
        <v>-1.441972E-6</v>
      </c>
      <c r="I1265">
        <v>283.98009999999999</v>
      </c>
      <c r="J1265">
        <v>-300.31020000000001</v>
      </c>
      <c r="K1265">
        <v>1.1102080000000001</v>
      </c>
      <c r="L1265">
        <v>283.38720000000001</v>
      </c>
      <c r="M1265">
        <v>-0.99989749999999999</v>
      </c>
      <c r="N1265">
        <v>0</v>
      </c>
      <c r="O1265">
        <v>5.2766599999999999E-3</v>
      </c>
      <c r="P1265">
        <v>-0.9885891</v>
      </c>
      <c r="Q1265">
        <v>0.14918789999999901</v>
      </c>
      <c r="R1265">
        <v>-2.0844020000000001E-2</v>
      </c>
      <c r="S1265">
        <v>-3.0622560000000001</v>
      </c>
      <c r="T1265">
        <v>-0.169519899999999</v>
      </c>
      <c r="U1265">
        <v>9.0789789999999995E-2</v>
      </c>
      <c r="V1265">
        <v>-2.5905979999999999E-2</v>
      </c>
      <c r="W1265">
        <v>0.16235769999999999</v>
      </c>
      <c r="X1265">
        <v>0.98639180000000004</v>
      </c>
      <c r="Y1265">
        <v>2.4330620000000001E-2</v>
      </c>
      <c r="Z1265">
        <v>3.8094650000000002E-4</v>
      </c>
      <c r="AA1265">
        <v>0.99970389999999998</v>
      </c>
      <c r="AB1265">
        <v>25</v>
      </c>
      <c r="AC1265">
        <v>-19.8157</v>
      </c>
      <c r="AD1265">
        <v>-1.1102094419720001</v>
      </c>
      <c r="AE1265">
        <v>0.59289999999998599</v>
      </c>
      <c r="AF1265">
        <v>0.48679508841797098</v>
      </c>
      <c r="AG1265">
        <v>-1.1102094419720001</v>
      </c>
      <c r="AH1265">
        <v>19.756592464361901</v>
      </c>
      <c r="AI1265">
        <v>93.215344242885294</v>
      </c>
      <c r="AJ1265">
        <v>88.5885388998868</v>
      </c>
      <c r="AK1265">
        <v>19.793748514771899</v>
      </c>
      <c r="AL1265">
        <v>80.656227510857505</v>
      </c>
      <c r="AM1265">
        <v>91.504434835968496</v>
      </c>
      <c r="AN1265">
        <v>0.99999996282814396</v>
      </c>
    </row>
    <row r="1266" spans="1:40" x14ac:dyDescent="0.3">
      <c r="A1266" t="str">
        <f>"20200111150747510"</f>
        <v>20200111150747510</v>
      </c>
      <c r="B1266" t="str">
        <f>"1578726467502717"</f>
        <v>1578726467502717</v>
      </c>
      <c r="C1266" t="s">
        <v>40</v>
      </c>
      <c r="D1266">
        <v>4.2493650000000001</v>
      </c>
      <c r="E1266">
        <v>0.51684140000000001</v>
      </c>
      <c r="F1266" t="s">
        <v>55</v>
      </c>
      <c r="G1266">
        <v>-322.82220000000001</v>
      </c>
      <c r="H1266" s="1">
        <v>-1.106488E-8</v>
      </c>
      <c r="I1266">
        <v>284.06990000000002</v>
      </c>
      <c r="J1266">
        <v>-300.4633</v>
      </c>
      <c r="K1266">
        <v>1.1102099999999999</v>
      </c>
      <c r="L1266">
        <v>283.38839999999999</v>
      </c>
      <c r="M1266">
        <v>-0.9998958</v>
      </c>
      <c r="N1266">
        <v>0</v>
      </c>
      <c r="O1266">
        <v>5.6166280000000002E-3</v>
      </c>
      <c r="P1266">
        <v>-0.98860680000000001</v>
      </c>
      <c r="Q1266">
        <v>0.1491266</v>
      </c>
      <c r="R1266">
        <v>-2.0450490000000002E-2</v>
      </c>
      <c r="S1266">
        <v>-3.059326</v>
      </c>
      <c r="T1266">
        <v>-0.15087410000000001</v>
      </c>
      <c r="U1266">
        <v>9.2773439999999999E-2</v>
      </c>
      <c r="V1266">
        <v>-2.5848389999999999E-2</v>
      </c>
      <c r="W1266">
        <v>0.162296</v>
      </c>
      <c r="X1266">
        <v>0.98640349999999999</v>
      </c>
      <c r="Y1266">
        <v>2.4672699999999999E-2</v>
      </c>
      <c r="Z1266">
        <v>3.3109600000000002E-4</v>
      </c>
      <c r="AA1266">
        <v>0.99969549999999996</v>
      </c>
      <c r="AB1266">
        <v>25</v>
      </c>
      <c r="AC1266">
        <v>-22.358899999999998</v>
      </c>
      <c r="AD1266">
        <v>-1.1102100110648701</v>
      </c>
      <c r="AE1266">
        <v>0.68150000000002797</v>
      </c>
      <c r="AF1266">
        <v>0.55453057918029702</v>
      </c>
      <c r="AG1266">
        <v>-1.1102100110648701</v>
      </c>
      <c r="AH1266">
        <v>22.3074268629003</v>
      </c>
      <c r="AI1266">
        <v>92.848302980965201</v>
      </c>
      <c r="AJ1266">
        <v>88.5760025178284</v>
      </c>
      <c r="AK1266">
        <v>22.3419194268434</v>
      </c>
      <c r="AL1266">
        <v>80.6598105073478</v>
      </c>
      <c r="AM1266">
        <v>91.501074154037099</v>
      </c>
      <c r="AN1266">
        <v>0.99999999784692095</v>
      </c>
    </row>
    <row r="1267" spans="1:40" x14ac:dyDescent="0.3">
      <c r="A1267" t="str">
        <f>"20200111150747523"</f>
        <v>20200111150747523</v>
      </c>
      <c r="B1267" t="str">
        <f>"1578726467512477"</f>
        <v>1578726467512477</v>
      </c>
      <c r="C1267" t="s">
        <v>40</v>
      </c>
      <c r="D1267">
        <v>5.1107379999999996</v>
      </c>
      <c r="E1267">
        <v>0.51795009999999997</v>
      </c>
      <c r="F1267" t="s">
        <v>55</v>
      </c>
      <c r="G1267">
        <v>-321.46190000000001</v>
      </c>
      <c r="H1267" s="1">
        <v>-7.3011959999999995E-7</v>
      </c>
      <c r="I1267">
        <v>283.95920000000001</v>
      </c>
      <c r="J1267">
        <v>-300.6105</v>
      </c>
      <c r="K1267">
        <v>1.1102099999999999</v>
      </c>
      <c r="L1267">
        <v>283.38959999999997</v>
      </c>
      <c r="M1267">
        <v>-0.99989380000000005</v>
      </c>
      <c r="N1267">
        <v>0</v>
      </c>
      <c r="O1267">
        <v>5.9433649999999999E-3</v>
      </c>
      <c r="P1267">
        <v>-0.98861840000000001</v>
      </c>
      <c r="Q1267">
        <v>0.1490909</v>
      </c>
      <c r="R1267">
        <v>-2.0141510000000001E-2</v>
      </c>
      <c r="S1267">
        <v>-3.06073</v>
      </c>
      <c r="T1267">
        <v>-0.1618231</v>
      </c>
      <c r="U1267">
        <v>8.3190920000000002E-2</v>
      </c>
      <c r="V1267">
        <v>-2.5862670000000001E-2</v>
      </c>
      <c r="W1267">
        <v>0.16225889999999901</v>
      </c>
      <c r="X1267">
        <v>0.98640919999999999</v>
      </c>
      <c r="Y1267">
        <v>2.1206579999999999E-2</v>
      </c>
      <c r="Z1267">
        <v>2.461362E-4</v>
      </c>
      <c r="AA1267">
        <v>0.99977510000000003</v>
      </c>
      <c r="AB1267">
        <v>25</v>
      </c>
      <c r="AC1267">
        <v>-20.851400000000002</v>
      </c>
      <c r="AD1267">
        <v>-1.1102107301196</v>
      </c>
      <c r="AE1267">
        <v>0.56960000000003597</v>
      </c>
      <c r="AF1267">
        <v>0.44439260702897598</v>
      </c>
      <c r="AG1267">
        <v>-1.1102107301196</v>
      </c>
      <c r="AH1267">
        <v>20.7955077130385</v>
      </c>
      <c r="AI1267">
        <v>93.055255087681203</v>
      </c>
      <c r="AJ1267">
        <v>88.775795886801902</v>
      </c>
      <c r="AK1267">
        <v>20.8298630263739</v>
      </c>
      <c r="AL1267">
        <v>80.661964463723706</v>
      </c>
      <c r="AM1267">
        <v>91.5018943712153</v>
      </c>
      <c r="AN1267">
        <v>0.99999996908668898</v>
      </c>
    </row>
    <row r="1268" spans="1:40" x14ac:dyDescent="0.3">
      <c r="A1268" t="str">
        <f>"20200111150747541"</f>
        <v>20200111150747541</v>
      </c>
      <c r="B1268" t="str">
        <f>"1578726467531999"</f>
        <v>1578726467531999</v>
      </c>
      <c r="C1268" t="s">
        <v>40</v>
      </c>
      <c r="D1268">
        <v>4.9440480000000004</v>
      </c>
      <c r="E1268">
        <v>0.51948309999999998</v>
      </c>
      <c r="F1268" t="s">
        <v>55</v>
      </c>
      <c r="G1268">
        <v>-322.62520000000001</v>
      </c>
      <c r="H1268" s="1">
        <v>-1.152918E-7</v>
      </c>
      <c r="I1268">
        <v>284.05599999999998</v>
      </c>
      <c r="J1268">
        <v>-300.81869999999998</v>
      </c>
      <c r="K1268">
        <v>1.110206</v>
      </c>
      <c r="L1268">
        <v>283.39139999999998</v>
      </c>
      <c r="M1268">
        <v>-0.99989099999999997</v>
      </c>
      <c r="N1268">
        <v>0</v>
      </c>
      <c r="O1268">
        <v>6.404865E-3</v>
      </c>
      <c r="P1268">
        <v>-0.98867369999999999</v>
      </c>
      <c r="Q1268">
        <v>0.1488024</v>
      </c>
      <c r="R1268">
        <v>-1.9550680000000001E-2</v>
      </c>
      <c r="S1268">
        <v>-3.0596920000000001</v>
      </c>
      <c r="T1268">
        <v>-0.15430170000000001</v>
      </c>
      <c r="U1268">
        <v>9.2620850000000005E-2</v>
      </c>
      <c r="V1268">
        <v>-2.5728910000000001E-2</v>
      </c>
      <c r="W1268">
        <v>0.16197039999999999</v>
      </c>
      <c r="X1268">
        <v>0.98646009999999995</v>
      </c>
      <c r="Y1268">
        <v>2.383219E-2</v>
      </c>
      <c r="Z1268">
        <v>2.776748E-4</v>
      </c>
      <c r="AA1268">
        <v>0.99971589999999999</v>
      </c>
      <c r="AB1268">
        <v>25</v>
      </c>
      <c r="AC1268">
        <v>-21.8065</v>
      </c>
      <c r="AD1268">
        <v>-1.1102061152917999</v>
      </c>
      <c r="AE1268">
        <v>0.66460000000000696</v>
      </c>
      <c r="AF1268">
        <v>0.52355053267818297</v>
      </c>
      <c r="AG1268">
        <v>-1.1102061152917999</v>
      </c>
      <c r="AH1268">
        <v>21.753975671996901</v>
      </c>
      <c r="AI1268">
        <v>92.920690031054207</v>
      </c>
      <c r="AJ1268">
        <v>88.621334935264301</v>
      </c>
      <c r="AK1268">
        <v>21.788577748823698</v>
      </c>
      <c r="AL1268">
        <v>80.6787157822707</v>
      </c>
      <c r="AM1268">
        <v>91.4940531440119</v>
      </c>
      <c r="AN1268">
        <v>0.99999995808897801</v>
      </c>
    </row>
    <row r="1269" spans="1:40" x14ac:dyDescent="0.3">
      <c r="A1269" t="str">
        <f>"20200111150747554"</f>
        <v>20200111150747554</v>
      </c>
      <c r="B1269" t="str">
        <f>"1578726467552493"</f>
        <v>1578726467552493</v>
      </c>
      <c r="C1269" t="s">
        <v>40</v>
      </c>
      <c r="D1269">
        <v>4.6414200000000001</v>
      </c>
      <c r="E1269">
        <v>0.51916070000000003</v>
      </c>
      <c r="F1269" t="s">
        <v>55</v>
      </c>
      <c r="G1269">
        <v>-322.96420000000001</v>
      </c>
      <c r="H1269" s="1">
        <v>6.0413779999999997E-8</v>
      </c>
      <c r="I1269">
        <v>284.16300000000001</v>
      </c>
      <c r="J1269">
        <v>-300.9658</v>
      </c>
      <c r="K1269">
        <v>1.110206</v>
      </c>
      <c r="L1269">
        <v>283.39269999999999</v>
      </c>
      <c r="M1269">
        <v>-0.99988880000000002</v>
      </c>
      <c r="N1269">
        <v>0</v>
      </c>
      <c r="O1269">
        <v>6.7313030000000001E-3</v>
      </c>
      <c r="P1269">
        <v>-0.98871609999999999</v>
      </c>
      <c r="Q1269">
        <v>0.1486026</v>
      </c>
      <c r="R1269">
        <v>-1.891781E-2</v>
      </c>
      <c r="S1269">
        <v>-3.0595400000000001</v>
      </c>
      <c r="T1269">
        <v>-0.15338209999999999</v>
      </c>
      <c r="U1269">
        <v>0.1065979</v>
      </c>
      <c r="V1269">
        <v>-2.5419299999999999E-2</v>
      </c>
      <c r="W1269">
        <v>0.16177</v>
      </c>
      <c r="X1269">
        <v>0.98650099999999996</v>
      </c>
      <c r="Y1269">
        <v>2.806467E-2</v>
      </c>
      <c r="Z1269">
        <v>3.6565980000000001E-4</v>
      </c>
      <c r="AA1269">
        <v>0.99960599999999999</v>
      </c>
      <c r="AB1269">
        <v>25</v>
      </c>
      <c r="AC1269">
        <v>-21.9984</v>
      </c>
      <c r="AD1269">
        <v>-1.11020593958622</v>
      </c>
      <c r="AE1269">
        <v>0.77030000000001997</v>
      </c>
      <c r="AF1269">
        <v>0.62061278682846099</v>
      </c>
      <c r="AG1269">
        <v>-1.11020593958622</v>
      </c>
      <c r="AH1269">
        <v>21.947256423242202</v>
      </c>
      <c r="AI1269">
        <v>92.8946939182715</v>
      </c>
      <c r="AJ1269">
        <v>88.380252203106593</v>
      </c>
      <c r="AK1269">
        <v>21.984080193790501</v>
      </c>
      <c r="AL1269">
        <v>80.690351214194806</v>
      </c>
      <c r="AM1269">
        <v>91.476021219673896</v>
      </c>
      <c r="AN1269">
        <v>0.999999948356743</v>
      </c>
    </row>
    <row r="1270" spans="1:40" x14ac:dyDescent="0.3">
      <c r="A1270" t="str">
        <f>"20200111150747573"</f>
        <v>20200111150747573</v>
      </c>
      <c r="B1270" t="str">
        <f>"1578726467562252"</f>
        <v>1578726467562252</v>
      </c>
      <c r="C1270" t="s">
        <v>40</v>
      </c>
      <c r="D1270">
        <v>5.9346259999999997</v>
      </c>
      <c r="E1270">
        <v>0.51916070000000003</v>
      </c>
      <c r="F1270" t="s">
        <v>55</v>
      </c>
      <c r="G1270">
        <v>-320.9579</v>
      </c>
      <c r="H1270" s="1">
        <v>-1.003908E-6</v>
      </c>
      <c r="I1270">
        <v>284.08749999999998</v>
      </c>
      <c r="J1270">
        <v>-301.17500000000001</v>
      </c>
      <c r="K1270">
        <v>1.1102050000000001</v>
      </c>
      <c r="L1270">
        <v>283.39460000000003</v>
      </c>
      <c r="M1270">
        <v>-0.99988560000000004</v>
      </c>
      <c r="N1270">
        <v>0</v>
      </c>
      <c r="O1270">
        <v>7.1954819999999996E-3</v>
      </c>
      <c r="P1270">
        <v>-0.98881240000000004</v>
      </c>
      <c r="Q1270">
        <v>0.1480312</v>
      </c>
      <c r="R1270">
        <v>-1.8360789999999998E-2</v>
      </c>
      <c r="S1270">
        <v>-3.0618289999999999</v>
      </c>
      <c r="T1270">
        <v>-0.17003019999999999</v>
      </c>
      <c r="U1270">
        <v>0.1064148</v>
      </c>
      <c r="V1270">
        <v>-2.5322919999999999E-2</v>
      </c>
      <c r="W1270">
        <v>0.16119820000000001</v>
      </c>
      <c r="X1270">
        <v>0.9865971</v>
      </c>
      <c r="Y1270">
        <v>2.7510400000000001E-2</v>
      </c>
      <c r="Z1270">
        <v>3.6386559999999999E-4</v>
      </c>
      <c r="AA1270">
        <v>0.99962150000000005</v>
      </c>
      <c r="AB1270">
        <v>25</v>
      </c>
      <c r="AC1270">
        <v>-19.782899999999898</v>
      </c>
      <c r="AD1270">
        <v>-1.1102060039079999</v>
      </c>
      <c r="AE1270">
        <v>0.692899999999951</v>
      </c>
      <c r="AF1270">
        <v>0.54879570090530805</v>
      </c>
      <c r="AG1270">
        <v>-1.1102060039079999</v>
      </c>
      <c r="AH1270">
        <v>19.7253272198422</v>
      </c>
      <c r="AI1270">
        <v>93.220151935166498</v>
      </c>
      <c r="AJ1270">
        <v>88.406334768207202</v>
      </c>
      <c r="AK1270">
        <v>19.764166261755001</v>
      </c>
      <c r="AL1270">
        <v>80.723548887583803</v>
      </c>
      <c r="AM1270">
        <v>91.470284023890201</v>
      </c>
      <c r="AN1270">
        <v>0.99999997384448702</v>
      </c>
    </row>
    <row r="1271" spans="1:40" x14ac:dyDescent="0.3">
      <c r="A1271" t="str">
        <f>"20200111150747586"</f>
        <v>20200111150747586</v>
      </c>
      <c r="B1271" t="str">
        <f>"1578726467582749"</f>
        <v>1578726467582749</v>
      </c>
      <c r="C1271" t="s">
        <v>40</v>
      </c>
      <c r="D1271">
        <v>4.6502929999999996</v>
      </c>
      <c r="E1271">
        <v>0.51933220000000002</v>
      </c>
      <c r="F1271" t="s">
        <v>55</v>
      </c>
      <c r="G1271">
        <v>-320.96269999999998</v>
      </c>
      <c r="H1271" s="1">
        <v>-1.0016169999999999E-6</v>
      </c>
      <c r="I1271">
        <v>284.09280000000001</v>
      </c>
      <c r="J1271">
        <v>-301.31689999999998</v>
      </c>
      <c r="K1271">
        <v>1.1102050000000001</v>
      </c>
      <c r="L1271">
        <v>283.39600000000002</v>
      </c>
      <c r="M1271">
        <v>-0.99988339999999998</v>
      </c>
      <c r="N1271">
        <v>0</v>
      </c>
      <c r="O1271">
        <v>7.5104159999999998E-3</v>
      </c>
      <c r="P1271">
        <v>-0.98887230000000004</v>
      </c>
      <c r="Q1271">
        <v>0.14771319999999999</v>
      </c>
      <c r="R1271">
        <v>-1.7682420000000001E-2</v>
      </c>
      <c r="S1271">
        <v>-3.0616759999999998</v>
      </c>
      <c r="T1271">
        <v>-0.17177809999999999</v>
      </c>
      <c r="U1271">
        <v>0.10803219999999999</v>
      </c>
      <c r="V1271">
        <v>-2.4956809999999999E-2</v>
      </c>
      <c r="W1271">
        <v>0.16087960000000001</v>
      </c>
      <c r="X1271">
        <v>0.98665849999999999</v>
      </c>
      <c r="Y1271">
        <v>2.7724229999999999E-2</v>
      </c>
      <c r="Z1271">
        <v>3.5595699999999898E-4</v>
      </c>
      <c r="AA1271">
        <v>0.99961560000000005</v>
      </c>
      <c r="AB1271">
        <v>25</v>
      </c>
      <c r="AC1271">
        <v>-19.645800000000001</v>
      </c>
      <c r="AD1271">
        <v>-1.1102060016169999</v>
      </c>
      <c r="AE1271">
        <v>0.69680000000005204</v>
      </c>
      <c r="AF1271">
        <v>0.54747300855375902</v>
      </c>
      <c r="AG1271">
        <v>-1.1102060016169999</v>
      </c>
      <c r="AH1271">
        <v>19.5880037318326</v>
      </c>
      <c r="AI1271">
        <v>93.242667591867502</v>
      </c>
      <c r="AJ1271">
        <v>88.399033961473904</v>
      </c>
      <c r="AK1271">
        <v>19.627077578167601</v>
      </c>
      <c r="AL1271">
        <v>80.742045365197399</v>
      </c>
      <c r="AM1271">
        <v>91.448946160950797</v>
      </c>
      <c r="AN1271">
        <v>1.00000004184189</v>
      </c>
    </row>
    <row r="1272" spans="1:40" x14ac:dyDescent="0.3">
      <c r="A1272" t="str">
        <f>"20200111150747600"</f>
        <v>20200111150747600</v>
      </c>
      <c r="B1272" t="str">
        <f>"1578726467592509"</f>
        <v>1578726467592509</v>
      </c>
      <c r="C1272" t="s">
        <v>40</v>
      </c>
      <c r="D1272">
        <v>4.627599</v>
      </c>
      <c r="E1272">
        <v>0.51937540000000004</v>
      </c>
      <c r="F1272" t="s">
        <v>55</v>
      </c>
      <c r="G1272">
        <v>-322.589</v>
      </c>
      <c r="H1272" s="1">
        <v>-1.3953670000000001E-7</v>
      </c>
      <c r="I1272">
        <v>284.1694</v>
      </c>
      <c r="J1272">
        <v>-301.46730000000002</v>
      </c>
      <c r="K1272">
        <v>1.110201</v>
      </c>
      <c r="L1272">
        <v>283.39749999999998</v>
      </c>
      <c r="M1272">
        <v>-0.99988069999999896</v>
      </c>
      <c r="N1272">
        <v>0</v>
      </c>
      <c r="O1272">
        <v>7.8445400000000005E-3</v>
      </c>
      <c r="P1272">
        <v>-0.98890940000000005</v>
      </c>
      <c r="Q1272">
        <v>0.1475072</v>
      </c>
      <c r="R1272">
        <v>-1.7317450000000002E-2</v>
      </c>
      <c r="S1272">
        <v>-3.0596009999999998</v>
      </c>
      <c r="T1272">
        <v>-0.15968270000000001</v>
      </c>
      <c r="U1272">
        <v>0.1112366</v>
      </c>
      <c r="V1272">
        <v>-2.492285E-2</v>
      </c>
      <c r="W1272">
        <v>0.16067400000000001</v>
      </c>
      <c r="X1272">
        <v>0.98669280000000004</v>
      </c>
      <c r="Y1272">
        <v>2.846336E-2</v>
      </c>
      <c r="Z1272">
        <v>3.3299430000000002E-4</v>
      </c>
      <c r="AA1272">
        <v>0.99959480000000001</v>
      </c>
      <c r="AB1272">
        <v>25</v>
      </c>
      <c r="AC1272">
        <v>-21.121699999999901</v>
      </c>
      <c r="AD1272">
        <v>-1.1102011395367</v>
      </c>
      <c r="AE1272">
        <v>0.77190000000001602</v>
      </c>
      <c r="AF1272">
        <v>0.60450367481910094</v>
      </c>
      <c r="AG1272">
        <v>-1.1102011395367</v>
      </c>
      <c r="AH1272">
        <v>21.068974521487899</v>
      </c>
      <c r="AI1272">
        <v>93.015095513332398</v>
      </c>
      <c r="AJ1272">
        <v>88.356540333069404</v>
      </c>
      <c r="AK1272">
        <v>21.106862832979399</v>
      </c>
      <c r="AL1272">
        <v>80.753980088790598</v>
      </c>
      <c r="AM1272">
        <v>91.446925065820807</v>
      </c>
      <c r="AN1272">
        <v>0.99999998214998098</v>
      </c>
    </row>
    <row r="1273" spans="1:40" x14ac:dyDescent="0.3">
      <c r="A1273" t="str">
        <f>"20200111150747613"</f>
        <v>20200111150747613</v>
      </c>
      <c r="B1273" t="str">
        <f>"1578726467602269"</f>
        <v>1578726467602269</v>
      </c>
      <c r="C1273" t="s">
        <v>40</v>
      </c>
      <c r="D1273">
        <v>4.6335139999999999</v>
      </c>
      <c r="E1273">
        <v>0.51923750000000002</v>
      </c>
      <c r="F1273" t="s">
        <v>55</v>
      </c>
      <c r="G1273">
        <v>-320.7586</v>
      </c>
      <c r="H1273" s="1">
        <v>-1.1110179999999999E-6</v>
      </c>
      <c r="I1273">
        <v>284.11099999999999</v>
      </c>
      <c r="J1273">
        <v>-301.61869999999999</v>
      </c>
      <c r="K1273">
        <v>1.1101989999999999</v>
      </c>
      <c r="L1273">
        <v>283.39909999999998</v>
      </c>
      <c r="M1273">
        <v>-0.99987800000000004</v>
      </c>
      <c r="N1273">
        <v>0</v>
      </c>
      <c r="O1273">
        <v>8.1808719999999901E-3</v>
      </c>
      <c r="P1273">
        <v>-0.98894669999999896</v>
      </c>
      <c r="Q1273">
        <v>0.1472987</v>
      </c>
      <c r="R1273">
        <v>-1.696686E-2</v>
      </c>
      <c r="S1273">
        <v>-3.0619200000000002</v>
      </c>
      <c r="T1273">
        <v>-0.1762116</v>
      </c>
      <c r="U1273">
        <v>0.1132507</v>
      </c>
      <c r="V1273">
        <v>-2.490535E-2</v>
      </c>
      <c r="W1273">
        <v>0.160465</v>
      </c>
      <c r="X1273">
        <v>0.98672729999999997</v>
      </c>
      <c r="Y1273">
        <v>2.8750339999999999E-2</v>
      </c>
      <c r="Z1273">
        <v>3.5604190000000001E-4</v>
      </c>
      <c r="AA1273">
        <v>0.99958659999999999</v>
      </c>
      <c r="AB1273">
        <v>25</v>
      </c>
      <c r="AC1273">
        <v>-19.139900000000001</v>
      </c>
      <c r="AD1273">
        <v>-1.110200111018</v>
      </c>
      <c r="AE1273">
        <v>0.71190000000001397</v>
      </c>
      <c r="AF1273">
        <v>0.55342181026212001</v>
      </c>
      <c r="AG1273">
        <v>-1.110200111018</v>
      </c>
      <c r="AH1273">
        <v>19.080974228254</v>
      </c>
      <c r="AI1273">
        <v>93.328524915877694</v>
      </c>
      <c r="AJ1273">
        <v>88.338667263743304</v>
      </c>
      <c r="AK1273">
        <v>19.121255123183499</v>
      </c>
      <c r="AL1273">
        <v>80.766112761278706</v>
      </c>
      <c r="AM1273">
        <v>91.445858980982393</v>
      </c>
      <c r="AN1273">
        <v>1.0000000286244499</v>
      </c>
    </row>
    <row r="1274" spans="1:40" x14ac:dyDescent="0.3">
      <c r="A1274" t="str">
        <f>"20200111150747631"</f>
        <v>20200111150747631</v>
      </c>
      <c r="B1274" t="str">
        <f>"1578726467622767"</f>
        <v>1578726467622767</v>
      </c>
      <c r="C1274" t="s">
        <v>40</v>
      </c>
      <c r="D1274">
        <v>5.0076519999999896</v>
      </c>
      <c r="E1274">
        <v>0.51950940000000001</v>
      </c>
      <c r="F1274" t="s">
        <v>58</v>
      </c>
      <c r="G1274">
        <v>-319.95420000000001</v>
      </c>
      <c r="H1274" s="1">
        <v>6.678381E-6</v>
      </c>
      <c r="I1274">
        <v>284.07740000000001</v>
      </c>
      <c r="J1274">
        <v>-301.82470000000001</v>
      </c>
      <c r="K1274">
        <v>1.1102019999999999</v>
      </c>
      <c r="L1274">
        <v>283.40129999999999</v>
      </c>
      <c r="M1274">
        <v>-0.99987420000000005</v>
      </c>
      <c r="N1274">
        <v>0</v>
      </c>
      <c r="O1274">
        <v>8.6381359999999994E-3</v>
      </c>
      <c r="P1274">
        <v>-0.98899049999999999</v>
      </c>
      <c r="Q1274">
        <v>0.14705389999999999</v>
      </c>
      <c r="R1274">
        <v>-1.6529370000000002E-2</v>
      </c>
      <c r="S1274">
        <v>-3.0630799999999998</v>
      </c>
      <c r="T1274">
        <v>-0.18546589999999999</v>
      </c>
      <c r="U1274">
        <v>0.1133118</v>
      </c>
      <c r="V1274">
        <v>-2.4920939999999999E-2</v>
      </c>
      <c r="W1274">
        <v>0.16021930000000001</v>
      </c>
      <c r="X1274">
        <v>0.98676680000000005</v>
      </c>
      <c r="Y1274">
        <v>2.829715E-2</v>
      </c>
      <c r="Z1274">
        <v>3.3321119999999999E-4</v>
      </c>
      <c r="AA1274">
        <v>0.99959949999999997</v>
      </c>
      <c r="AB1274">
        <v>25</v>
      </c>
      <c r="AC1274">
        <v>-18.1295</v>
      </c>
      <c r="AD1274">
        <v>-1.1101953216189999</v>
      </c>
      <c r="AE1274">
        <v>0.67610000000001902</v>
      </c>
      <c r="AF1274">
        <v>0.51751784705738202</v>
      </c>
      <c r="AG1274">
        <v>-1.1101953216189999</v>
      </c>
      <c r="AH1274">
        <v>18.0670077000572</v>
      </c>
      <c r="AI1274">
        <v>93.514895467509604</v>
      </c>
      <c r="AJ1274">
        <v>88.359247793604297</v>
      </c>
      <c r="AK1274">
        <v>18.108482145339899</v>
      </c>
      <c r="AL1274">
        <v>80.780374574414594</v>
      </c>
      <c r="AM1274">
        <v>91.446705771737896</v>
      </c>
      <c r="AN1274">
        <v>0.99999999746260604</v>
      </c>
    </row>
    <row r="1275" spans="1:40" x14ac:dyDescent="0.3">
      <c r="A1275" t="str">
        <f>"20200111150747646"</f>
        <v>20200111150747646</v>
      </c>
      <c r="B1275" t="str">
        <f>"1578726467642285"</f>
        <v>1578726467642285</v>
      </c>
      <c r="C1275" t="s">
        <v>40</v>
      </c>
      <c r="D1275">
        <v>5.0444930000000001</v>
      </c>
      <c r="E1275">
        <v>0.52058729999999998</v>
      </c>
      <c r="F1275" t="s">
        <v>55</v>
      </c>
      <c r="G1275">
        <v>-320.40519999999998</v>
      </c>
      <c r="H1275" s="1">
        <v>-1.2990669999999999E-6</v>
      </c>
      <c r="I1275">
        <v>284.11110000000002</v>
      </c>
      <c r="J1275">
        <v>-301.97559999999999</v>
      </c>
      <c r="K1275">
        <v>1.110206</v>
      </c>
      <c r="L1275">
        <v>283.40300000000002</v>
      </c>
      <c r="M1275">
        <v>-0.99987130000000002</v>
      </c>
      <c r="N1275">
        <v>0</v>
      </c>
      <c r="O1275">
        <v>8.973099E-3</v>
      </c>
      <c r="P1275">
        <v>-0.98904590000000003</v>
      </c>
      <c r="Q1275">
        <v>0.14670039999999901</v>
      </c>
      <c r="R1275">
        <v>-1.6348359999999999E-2</v>
      </c>
      <c r="S1275">
        <v>-3.0625610000000001</v>
      </c>
      <c r="T1275">
        <v>-0.1829906</v>
      </c>
      <c r="U1275">
        <v>0.117004399999999</v>
      </c>
      <c r="V1275">
        <v>-2.5072500000000001E-2</v>
      </c>
      <c r="W1275">
        <v>0.15986629999999999</v>
      </c>
      <c r="X1275">
        <v>0.98682020000000004</v>
      </c>
      <c r="Y1275">
        <v>2.917204E-2</v>
      </c>
      <c r="Z1275">
        <v>3.3493709999999998E-4</v>
      </c>
      <c r="AA1275">
        <v>0.99957439999999997</v>
      </c>
      <c r="AB1275">
        <v>25</v>
      </c>
      <c r="AC1275">
        <v>-18.429599999999901</v>
      </c>
      <c r="AD1275">
        <v>-1.110207299067</v>
      </c>
      <c r="AE1275">
        <v>0.70810000000000095</v>
      </c>
      <c r="AF1275">
        <v>0.54072687861874402</v>
      </c>
      <c r="AG1275">
        <v>-1.110207299067</v>
      </c>
      <c r="AH1275">
        <v>18.368652374383799</v>
      </c>
      <c r="AI1275">
        <v>93.457273885016903</v>
      </c>
      <c r="AJ1275">
        <v>88.313843448817593</v>
      </c>
      <c r="AK1275">
        <v>18.4101150418762</v>
      </c>
      <c r="AL1275">
        <v>80.800863983295002</v>
      </c>
      <c r="AM1275">
        <v>91.455421603474605</v>
      </c>
      <c r="AN1275">
        <v>0.99999998562999004</v>
      </c>
    </row>
    <row r="1276" spans="1:40" x14ac:dyDescent="0.3">
      <c r="A1276" t="str">
        <f>"20200111150747663"</f>
        <v>20200111150747663</v>
      </c>
      <c r="B1276" t="str">
        <f>"1578726467652045"</f>
        <v>1578726467652045</v>
      </c>
      <c r="C1276" t="s">
        <v>40</v>
      </c>
      <c r="D1276">
        <v>5.067075</v>
      </c>
      <c r="E1276">
        <v>0.52136680000000002</v>
      </c>
      <c r="F1276" t="s">
        <v>55</v>
      </c>
      <c r="G1276">
        <v>-319.96960000000001</v>
      </c>
      <c r="H1276" s="1">
        <v>-1.5323200000000001E-6</v>
      </c>
      <c r="I1276">
        <v>284.14389999999997</v>
      </c>
      <c r="J1276">
        <v>-302.17419999999998</v>
      </c>
      <c r="K1276">
        <v>1.1102050000000001</v>
      </c>
      <c r="L1276">
        <v>283.40530000000001</v>
      </c>
      <c r="M1276">
        <v>-0.99986719999999896</v>
      </c>
      <c r="N1276">
        <v>0</v>
      </c>
      <c r="O1276">
        <v>9.4137379999999996E-3</v>
      </c>
      <c r="P1276">
        <v>-0.98901559999999999</v>
      </c>
      <c r="Q1276">
        <v>0.1468671</v>
      </c>
      <c r="R1276">
        <v>-1.6674209999999998E-2</v>
      </c>
      <c r="S1276">
        <v>-3.0633539999999999</v>
      </c>
      <c r="T1276">
        <v>-0.1890048</v>
      </c>
      <c r="U1276">
        <v>0.1261292</v>
      </c>
      <c r="V1276">
        <v>-2.583361E-2</v>
      </c>
      <c r="W1276">
        <v>0.16003199999999901</v>
      </c>
      <c r="X1276">
        <v>0.98677369999999998</v>
      </c>
      <c r="Y1276">
        <v>3.1687979999999998E-2</v>
      </c>
      <c r="Z1276">
        <v>3.9617679999999998E-4</v>
      </c>
      <c r="AA1276">
        <v>0.99949770000000004</v>
      </c>
      <c r="AB1276">
        <v>25</v>
      </c>
      <c r="AC1276">
        <v>-17.795400000000001</v>
      </c>
      <c r="AD1276">
        <v>-1.1102065323200001</v>
      </c>
      <c r="AE1276">
        <v>0.73859999999996195</v>
      </c>
      <c r="AF1276">
        <v>0.56882106670955301</v>
      </c>
      <c r="AG1276">
        <v>-1.1102065323200001</v>
      </c>
      <c r="AH1276">
        <v>17.732665050518701</v>
      </c>
      <c r="AI1276">
        <v>93.5806607514577</v>
      </c>
      <c r="AJ1276">
        <v>88.1627197713741</v>
      </c>
      <c r="AK1276">
        <v>17.776488003658802</v>
      </c>
      <c r="AL1276">
        <v>80.791246154524998</v>
      </c>
      <c r="AM1276">
        <v>91.499653671474704</v>
      </c>
      <c r="AN1276">
        <v>0.99999997572066002</v>
      </c>
    </row>
    <row r="1277" spans="1:40" x14ac:dyDescent="0.3">
      <c r="A1277" t="str">
        <f>"20200111150747676"</f>
        <v>20200111150747676</v>
      </c>
      <c r="B1277" t="str">
        <f>"1578726467672541"</f>
        <v>1578726467672541</v>
      </c>
      <c r="C1277" t="s">
        <v>40</v>
      </c>
      <c r="D1277">
        <v>5.1107639999999996</v>
      </c>
      <c r="E1277">
        <v>0.52186160000000004</v>
      </c>
      <c r="F1277" t="s">
        <v>55</v>
      </c>
      <c r="G1277">
        <v>-320.42610000000002</v>
      </c>
      <c r="H1277" s="1">
        <v>-1.2913849999999901E-6</v>
      </c>
      <c r="I1277">
        <v>284.18900000000002</v>
      </c>
      <c r="J1277">
        <v>-302.31560000000002</v>
      </c>
      <c r="K1277">
        <v>1.1102050000000001</v>
      </c>
      <c r="L1277">
        <v>283.40690000000001</v>
      </c>
      <c r="M1277">
        <v>-0.99986430000000004</v>
      </c>
      <c r="N1277">
        <v>0</v>
      </c>
      <c r="O1277">
        <v>9.7274820000000008E-3</v>
      </c>
      <c r="P1277">
        <v>-0.98896589999999995</v>
      </c>
      <c r="Q1277">
        <v>0.1471703</v>
      </c>
      <c r="R1277">
        <v>-1.696135E-2</v>
      </c>
      <c r="S1277">
        <v>-3.063202</v>
      </c>
      <c r="T1277">
        <v>-0.1863252</v>
      </c>
      <c r="U1277">
        <v>0.1315308</v>
      </c>
      <c r="V1277">
        <v>-2.6430809999999999E-2</v>
      </c>
      <c r="W1277">
        <v>0.1603337</v>
      </c>
      <c r="X1277">
        <v>0.9867089</v>
      </c>
      <c r="Y1277">
        <v>3.3134860000000002E-2</v>
      </c>
      <c r="Z1277">
        <v>4.1546360000000002E-4</v>
      </c>
      <c r="AA1277">
        <v>0.99945079999999997</v>
      </c>
      <c r="AB1277">
        <v>25</v>
      </c>
      <c r="AC1277">
        <v>-18.110499999999998</v>
      </c>
      <c r="AD1277">
        <v>-1.1102062913849999</v>
      </c>
      <c r="AE1277">
        <v>0.78210000000001401</v>
      </c>
      <c r="AF1277">
        <v>0.60361375108725301</v>
      </c>
      <c r="AG1277">
        <v>-1.1102062913849999</v>
      </c>
      <c r="AH1277">
        <v>18.049549182817</v>
      </c>
      <c r="AI1277">
        <v>93.517799267145406</v>
      </c>
      <c r="AJ1277">
        <v>88.084626052230902</v>
      </c>
      <c r="AK1277">
        <v>18.093731877997499</v>
      </c>
      <c r="AL1277">
        <v>80.773733817793598</v>
      </c>
      <c r="AM1277">
        <v>91.534405753053605</v>
      </c>
      <c r="AN1277">
        <v>0.99999996820607695</v>
      </c>
    </row>
    <row r="1278" spans="1:40" x14ac:dyDescent="0.3">
      <c r="A1278" t="str">
        <f>"20200111150747690"</f>
        <v>20200111150747690</v>
      </c>
      <c r="B1278" t="str">
        <f>"1578726467682301"</f>
        <v>1578726467682301</v>
      </c>
      <c r="C1278" t="s">
        <v>40</v>
      </c>
      <c r="D1278">
        <v>5.0529080000000004</v>
      </c>
      <c r="E1278">
        <v>0.54376289999999905</v>
      </c>
      <c r="F1278" t="s">
        <v>55</v>
      </c>
      <c r="G1278">
        <v>-321.22239999999999</v>
      </c>
      <c r="H1278" s="1">
        <v>-8.696481E-7</v>
      </c>
      <c r="I1278">
        <v>284.23570000000001</v>
      </c>
      <c r="J1278">
        <v>-302.46350000000001</v>
      </c>
      <c r="K1278">
        <v>1.110206</v>
      </c>
      <c r="L1278">
        <v>283.40870000000001</v>
      </c>
      <c r="M1278">
        <v>-0.99986109999999995</v>
      </c>
      <c r="N1278">
        <v>0</v>
      </c>
      <c r="O1278">
        <v>1.005577E-2</v>
      </c>
      <c r="P1278">
        <v>-0.98894629999999994</v>
      </c>
      <c r="Q1278">
        <v>0.1473497</v>
      </c>
      <c r="R1278">
        <v>-1.6539499999999999E-2</v>
      </c>
      <c r="S1278">
        <v>-3.0624690000000001</v>
      </c>
      <c r="T1278">
        <v>-0.17982770000000001</v>
      </c>
      <c r="U1278">
        <v>0.134246799999999</v>
      </c>
      <c r="V1278">
        <v>-2.633311E-2</v>
      </c>
      <c r="W1278">
        <v>0.16051199999999999</v>
      </c>
      <c r="X1278">
        <v>0.98668250000000002</v>
      </c>
      <c r="Y1278">
        <v>3.3704209999999998E-2</v>
      </c>
      <c r="Z1278">
        <v>3.9853319999999997E-4</v>
      </c>
      <c r="AA1278">
        <v>0.99943179999999998</v>
      </c>
      <c r="AB1278">
        <v>25</v>
      </c>
      <c r="AC1278">
        <v>-18.758899999999901</v>
      </c>
      <c r="AD1278">
        <v>-1.1102068696481</v>
      </c>
      <c r="AE1278">
        <v>0.82699999999999796</v>
      </c>
      <c r="AF1278">
        <v>0.63608269610173396</v>
      </c>
      <c r="AG1278">
        <v>-1.1102068696481</v>
      </c>
      <c r="AH1278">
        <v>18.7008931571925</v>
      </c>
      <c r="AI1278">
        <v>93.395504231505797</v>
      </c>
      <c r="AJ1278">
        <v>88.0519214358292</v>
      </c>
      <c r="AK1278">
        <v>18.744614302951799</v>
      </c>
      <c r="AL1278">
        <v>80.763383718922398</v>
      </c>
      <c r="AM1278">
        <v>91.528777489075097</v>
      </c>
      <c r="AN1278">
        <v>0.99999994531625902</v>
      </c>
    </row>
    <row r="1279" spans="1:40" x14ac:dyDescent="0.3">
      <c r="A1279" t="str">
        <f>"20200111150747702"</f>
        <v>20200111150747702</v>
      </c>
      <c r="B1279" t="str">
        <f>"1578726467692061"</f>
        <v>1578726467692061</v>
      </c>
      <c r="C1279" t="s">
        <v>40</v>
      </c>
      <c r="D1279">
        <v>4.6359300000000001</v>
      </c>
      <c r="E1279">
        <v>0.54376289999999905</v>
      </c>
      <c r="F1279" t="s">
        <v>41</v>
      </c>
      <c r="G1279">
        <v>-303.24279999999999</v>
      </c>
      <c r="H1279">
        <v>0.91803509999999999</v>
      </c>
      <c r="I1279">
        <v>283.48809999999997</v>
      </c>
      <c r="J1279">
        <v>-302.61810000000003</v>
      </c>
      <c r="K1279">
        <v>1.110206</v>
      </c>
      <c r="L1279">
        <v>283.41070000000002</v>
      </c>
      <c r="M1279">
        <v>-0.99985760000000001</v>
      </c>
      <c r="N1279">
        <v>0</v>
      </c>
      <c r="O1279">
        <v>1.039907E-2</v>
      </c>
      <c r="P1279">
        <v>-0.98895560000000005</v>
      </c>
      <c r="Q1279">
        <v>0.14727499999999999</v>
      </c>
      <c r="R1279">
        <v>-1.664614E-2</v>
      </c>
      <c r="S1279">
        <v>-3.1548159999999998</v>
      </c>
      <c r="T1279">
        <v>-0.77788409999999997</v>
      </c>
      <c r="U1279">
        <v>0.32058720000000002</v>
      </c>
      <c r="V1279">
        <v>-2.677947E-2</v>
      </c>
      <c r="W1279">
        <v>0.16043679999999999</v>
      </c>
      <c r="X1279">
        <v>0.98668279999999997</v>
      </c>
      <c r="Y1279">
        <v>8.8432620000000003E-2</v>
      </c>
      <c r="Z1279">
        <v>8.1952540000000008E-3</v>
      </c>
      <c r="AA1279">
        <v>0.9960485</v>
      </c>
      <c r="AB1279">
        <v>25</v>
      </c>
      <c r="AC1279">
        <v>-0.62469999999996095</v>
      </c>
      <c r="AD1279">
        <v>-0.19217089999999901</v>
      </c>
      <c r="AE1279">
        <v>7.7399999999954602E-2</v>
      </c>
      <c r="AF1279">
        <v>6.4854500555331804E-2</v>
      </c>
      <c r="AG1279">
        <v>-0.19217089999999901</v>
      </c>
      <c r="AH1279">
        <v>0.57214705776122698</v>
      </c>
      <c r="AI1279">
        <v>108.45589155275501</v>
      </c>
      <c r="AJ1279">
        <v>83.532963768806994</v>
      </c>
      <c r="AK1279">
        <v>0.60703213815573298</v>
      </c>
      <c r="AL1279">
        <v>80.767749698596504</v>
      </c>
      <c r="AM1279">
        <v>91.554677983592001</v>
      </c>
      <c r="AN1279">
        <v>1.0000000273117799</v>
      </c>
    </row>
    <row r="1280" spans="1:40" x14ac:dyDescent="0.3">
      <c r="A1280" t="str">
        <f>"20200111150747721"</f>
        <v>20200111150747721</v>
      </c>
      <c r="B1280" t="str">
        <f>"1578726467712556"</f>
        <v>1578726467712556</v>
      </c>
      <c r="C1280" t="s">
        <v>40</v>
      </c>
      <c r="D1280">
        <v>4.6323080000000001</v>
      </c>
      <c r="E1280">
        <v>0.52440710000000001</v>
      </c>
      <c r="F1280" t="s">
        <v>41</v>
      </c>
      <c r="G1280">
        <v>-303.45780000000002</v>
      </c>
      <c r="H1280">
        <v>0.90307499999999996</v>
      </c>
      <c r="I1280">
        <v>283.49630000000002</v>
      </c>
      <c r="J1280">
        <v>-302.80919999999998</v>
      </c>
      <c r="K1280">
        <v>1.1102069999999999</v>
      </c>
      <c r="L1280">
        <v>283.41309999999999</v>
      </c>
      <c r="M1280">
        <v>-0.99985310000000005</v>
      </c>
      <c r="N1280">
        <v>0</v>
      </c>
      <c r="O1280">
        <v>1.082344E-2</v>
      </c>
      <c r="P1280">
        <v>-0.98897559999999995</v>
      </c>
      <c r="Q1280">
        <v>0.14716080000000001</v>
      </c>
      <c r="R1280">
        <v>-1.6469339999999999E-2</v>
      </c>
      <c r="S1280">
        <v>-3.1547550000000002</v>
      </c>
      <c r="T1280">
        <v>-0.77814810000000001</v>
      </c>
      <c r="U1280">
        <v>0.3201599</v>
      </c>
      <c r="V1280">
        <v>-2.7023220000000001E-2</v>
      </c>
      <c r="W1280">
        <v>0.16032189999999999</v>
      </c>
      <c r="X1280">
        <v>0.98669479999999998</v>
      </c>
      <c r="Y1280">
        <v>8.7904940000000001E-2</v>
      </c>
      <c r="Z1280">
        <v>8.0313480000000007E-3</v>
      </c>
      <c r="AA1280">
        <v>0.99609650000000005</v>
      </c>
      <c r="AB1280">
        <v>25</v>
      </c>
      <c r="AC1280">
        <v>-0.64860000000004403</v>
      </c>
      <c r="AD1280">
        <v>-0.20713200000000001</v>
      </c>
      <c r="AE1280">
        <v>8.32000000000334E-2</v>
      </c>
      <c r="AF1280">
        <v>6.9228392042397099E-2</v>
      </c>
      <c r="AG1280">
        <v>-0.20713200000000001</v>
      </c>
      <c r="AH1280">
        <v>0.59024078479361197</v>
      </c>
      <c r="AI1280">
        <v>109.215428687418</v>
      </c>
      <c r="AJ1280">
        <v>83.310433630684699</v>
      </c>
      <c r="AK1280">
        <v>0.62934920332241195</v>
      </c>
      <c r="AL1280">
        <v>80.7744190384132</v>
      </c>
      <c r="AM1280">
        <v>91.568802741995995</v>
      </c>
      <c r="AN1280">
        <v>0.999999997192909</v>
      </c>
    </row>
    <row r="1281" spans="1:40" x14ac:dyDescent="0.3">
      <c r="A1281" t="str">
        <f>"20200111150747735"</f>
        <v>20200111150747735</v>
      </c>
      <c r="B1281" t="str">
        <f>"1578726467732077"</f>
        <v>1578726467732077</v>
      </c>
      <c r="C1281" t="s">
        <v>40</v>
      </c>
      <c r="D1281">
        <v>5.1794079999999996</v>
      </c>
      <c r="E1281">
        <v>0.52154500000000004</v>
      </c>
      <c r="F1281" t="s">
        <v>41</v>
      </c>
      <c r="G1281">
        <v>-303.73360000000002</v>
      </c>
      <c r="H1281">
        <v>1.013042</v>
      </c>
      <c r="I1281">
        <v>283.46089999999998</v>
      </c>
      <c r="J1281">
        <v>-302.96539999999999</v>
      </c>
      <c r="K1281">
        <v>1.110209</v>
      </c>
      <c r="L1281">
        <v>283.41520000000003</v>
      </c>
      <c r="M1281">
        <v>-0.99984919999999999</v>
      </c>
      <c r="N1281">
        <v>0</v>
      </c>
      <c r="O1281">
        <v>1.11705E-2</v>
      </c>
      <c r="P1281">
        <v>-0.98894599999999999</v>
      </c>
      <c r="Q1281">
        <v>0.14737549999999999</v>
      </c>
      <c r="R1281">
        <v>-1.632028E-2</v>
      </c>
      <c r="S1281">
        <v>-3.0843509999999998</v>
      </c>
      <c r="T1281">
        <v>-0.32429469999999999</v>
      </c>
      <c r="U1281">
        <v>0.15878299999999901</v>
      </c>
      <c r="V1281">
        <v>-2.7217040000000001E-2</v>
      </c>
      <c r="W1281">
        <v>0.1605356</v>
      </c>
      <c r="X1281">
        <v>0.98665480000000005</v>
      </c>
      <c r="Y1281">
        <v>4.0093209999999997E-2</v>
      </c>
      <c r="Z1281">
        <v>9.3007379999999996E-4</v>
      </c>
      <c r="AA1281">
        <v>0.99919550000000001</v>
      </c>
      <c r="AB1281">
        <v>25</v>
      </c>
      <c r="AC1281">
        <v>-0.76820000000003497</v>
      </c>
      <c r="AD1281">
        <v>-9.7166999999999906E-2</v>
      </c>
      <c r="AE1281">
        <v>4.5699999999953798E-2</v>
      </c>
      <c r="AF1281">
        <v>3.6532789709668598E-2</v>
      </c>
      <c r="AG1281">
        <v>-9.7166999999999906E-2</v>
      </c>
      <c r="AH1281">
        <v>0.75660054231118701</v>
      </c>
      <c r="AI1281">
        <v>97.3097719876111</v>
      </c>
      <c r="AJ1281">
        <v>87.235595159008597</v>
      </c>
      <c r="AK1281">
        <v>0.76368871357284895</v>
      </c>
      <c r="AL1281">
        <v>80.762014937176502</v>
      </c>
      <c r="AM1281">
        <v>91.580113085587797</v>
      </c>
      <c r="AN1281">
        <v>1.00000007024837</v>
      </c>
    </row>
    <row r="1282" spans="1:40" x14ac:dyDescent="0.3">
      <c r="A1282" t="str">
        <f>"20200111150747751"</f>
        <v>20200111150747751</v>
      </c>
      <c r="B1282" t="str">
        <f>"1578726467742813"</f>
        <v>1578726467742813</v>
      </c>
      <c r="C1282" t="s">
        <v>40</v>
      </c>
      <c r="D1282">
        <v>5.4838829999999996</v>
      </c>
      <c r="E1282">
        <v>0.52268300000000001</v>
      </c>
      <c r="F1282" t="s">
        <v>41</v>
      </c>
      <c r="G1282">
        <v>-303.75020000000001</v>
      </c>
      <c r="H1282">
        <v>1.0430250000000001</v>
      </c>
      <c r="I1282">
        <v>283.45</v>
      </c>
      <c r="J1282">
        <v>-303.15699999999998</v>
      </c>
      <c r="K1282">
        <v>1.1102110000000001</v>
      </c>
      <c r="L1282">
        <v>283.4178</v>
      </c>
      <c r="M1282">
        <v>-0.99984439999999997</v>
      </c>
      <c r="N1282">
        <v>0</v>
      </c>
      <c r="O1282">
        <v>1.159605E-2</v>
      </c>
      <c r="P1282">
        <v>-0.98898580000000003</v>
      </c>
      <c r="Q1282">
        <v>0.14713109999999999</v>
      </c>
      <c r="R1282">
        <v>-1.6110320000000001E-2</v>
      </c>
      <c r="S1282">
        <v>-3.0749819999999999</v>
      </c>
      <c r="T1282">
        <v>-0.26333959999999901</v>
      </c>
      <c r="U1282">
        <v>0.13546749999999999</v>
      </c>
      <c r="V1282">
        <v>-2.7428919999999999E-2</v>
      </c>
      <c r="W1282">
        <v>0.1602904</v>
      </c>
      <c r="X1282">
        <v>0.98668869999999997</v>
      </c>
      <c r="Y1282">
        <v>3.2347460000000001E-2</v>
      </c>
      <c r="Z1282">
        <v>3.9111670000000002E-4</v>
      </c>
      <c r="AA1282">
        <v>0.99947660000000005</v>
      </c>
      <c r="AB1282">
        <v>25</v>
      </c>
      <c r="AC1282">
        <v>-0.59320000000002404</v>
      </c>
      <c r="AD1282">
        <v>-6.7185999999999899E-2</v>
      </c>
      <c r="AE1282">
        <v>3.2199999999988897E-2</v>
      </c>
      <c r="AF1282">
        <v>2.4998711252265101E-2</v>
      </c>
      <c r="AG1282">
        <v>-6.7185999999999899E-2</v>
      </c>
      <c r="AH1282">
        <v>0.58603798800130702</v>
      </c>
      <c r="AI1282">
        <v>96.534198940230098</v>
      </c>
      <c r="AJ1282">
        <v>87.557406074642898</v>
      </c>
      <c r="AK1282">
        <v>0.59040614625941501</v>
      </c>
      <c r="AL1282">
        <v>80.776247289798803</v>
      </c>
      <c r="AM1282">
        <v>91.592353003867103</v>
      </c>
      <c r="AN1282">
        <v>0.99999997434610699</v>
      </c>
    </row>
    <row r="1283" spans="1:40" x14ac:dyDescent="0.3">
      <c r="A1283" t="str">
        <f>"20200111150747765"</f>
        <v>20200111150747765</v>
      </c>
      <c r="B1283" t="str">
        <f>"1578726467762332"</f>
        <v>1578726467762332</v>
      </c>
      <c r="C1283" t="s">
        <v>40</v>
      </c>
      <c r="D1283">
        <v>5.1779580000000003</v>
      </c>
      <c r="E1283">
        <v>0.52551569999999903</v>
      </c>
      <c r="F1283" t="s">
        <v>41</v>
      </c>
      <c r="G1283">
        <v>-303.98660000000001</v>
      </c>
      <c r="H1283">
        <v>1.049801</v>
      </c>
      <c r="I1283">
        <v>283.4572</v>
      </c>
      <c r="J1283">
        <v>-303.30380000000002</v>
      </c>
      <c r="K1283">
        <v>1.110212</v>
      </c>
      <c r="L1283">
        <v>283.41989999999998</v>
      </c>
      <c r="M1283">
        <v>-0.99984059999999997</v>
      </c>
      <c r="N1283">
        <v>0</v>
      </c>
      <c r="O1283">
        <v>1.1922490000000001E-2</v>
      </c>
      <c r="P1283">
        <v>-0.98894490000000002</v>
      </c>
      <c r="Q1283">
        <v>0.14743809999999999</v>
      </c>
      <c r="R1283">
        <v>-1.58091E-2</v>
      </c>
      <c r="S1283">
        <v>-3.0690309999999998</v>
      </c>
      <c r="T1283">
        <v>-0.223608</v>
      </c>
      <c r="U1283">
        <v>0.14440919999999999</v>
      </c>
      <c r="V1283">
        <v>-2.745013E-2</v>
      </c>
      <c r="W1283">
        <v>0.16059590000000001</v>
      </c>
      <c r="X1283">
        <v>0.98663849999999997</v>
      </c>
      <c r="Y1283">
        <v>3.5026870000000002E-2</v>
      </c>
      <c r="Z1283">
        <v>4.0658969999999997E-4</v>
      </c>
      <c r="AA1283">
        <v>0.99938629999999995</v>
      </c>
      <c r="AB1283">
        <v>25</v>
      </c>
      <c r="AC1283">
        <v>-0.68279999999998597</v>
      </c>
      <c r="AD1283">
        <v>-6.0410999999999902E-2</v>
      </c>
      <c r="AE1283">
        <v>3.7300000000016098E-2</v>
      </c>
      <c r="AF1283">
        <v>2.8930164705947899E-2</v>
      </c>
      <c r="AG1283">
        <v>-6.0410999999999902E-2</v>
      </c>
      <c r="AH1283">
        <v>0.67790542525601505</v>
      </c>
      <c r="AI1283">
        <v>95.087809233784398</v>
      </c>
      <c r="AJ1283">
        <v>87.556338831965206</v>
      </c>
      <c r="AK1283">
        <v>0.681206436363054</v>
      </c>
      <c r="AL1283">
        <v>80.758514314641005</v>
      </c>
      <c r="AM1283">
        <v>91.593664729724594</v>
      </c>
      <c r="AN1283">
        <v>1.0000000412080301</v>
      </c>
    </row>
    <row r="1284" spans="1:40" x14ac:dyDescent="0.3">
      <c r="A1284" t="str">
        <f>"20200111150747778"</f>
        <v>20200111150747778</v>
      </c>
      <c r="B1284" t="str">
        <f>"1578726467772093"</f>
        <v>1578726467772093</v>
      </c>
      <c r="C1284" t="s">
        <v>40</v>
      </c>
      <c r="D1284">
        <v>5.9106829999999997</v>
      </c>
      <c r="E1284">
        <v>0.53000239999999998</v>
      </c>
      <c r="F1284" t="s">
        <v>55</v>
      </c>
      <c r="G1284">
        <v>-320.69740000000002</v>
      </c>
      <c r="H1284" s="1">
        <v>-1.154894E-6</v>
      </c>
      <c r="I1284">
        <v>284.37060000000002</v>
      </c>
      <c r="J1284">
        <v>-303.45530000000002</v>
      </c>
      <c r="K1284">
        <v>1.1102110000000001</v>
      </c>
      <c r="L1284">
        <v>283.4221</v>
      </c>
      <c r="M1284">
        <v>-0.99983650000000002</v>
      </c>
      <c r="N1284">
        <v>0</v>
      </c>
      <c r="O1284">
        <v>1.225912E-2</v>
      </c>
      <c r="P1284">
        <v>-0.9889753</v>
      </c>
      <c r="Q1284">
        <v>0.147278399999999</v>
      </c>
      <c r="R1284">
        <v>-1.539768E-2</v>
      </c>
      <c r="S1284">
        <v>-3.0653380000000001</v>
      </c>
      <c r="T1284">
        <v>-0.195656</v>
      </c>
      <c r="U1284">
        <v>0.16754150000000001</v>
      </c>
      <c r="V1284">
        <v>-2.737181E-2</v>
      </c>
      <c r="W1284">
        <v>0.160436299999999</v>
      </c>
      <c r="X1284">
        <v>0.98666659999999995</v>
      </c>
      <c r="Y1284">
        <v>4.2268409999999999E-2</v>
      </c>
      <c r="Z1284">
        <v>5.6549809999999895E-4</v>
      </c>
      <c r="AA1284">
        <v>0.9991061</v>
      </c>
      <c r="AB1284">
        <v>25</v>
      </c>
      <c r="AC1284">
        <v>-17.242099999999901</v>
      </c>
      <c r="AD1284">
        <v>-1.110212154894</v>
      </c>
      <c r="AE1284">
        <v>0.94850000000002399</v>
      </c>
      <c r="AF1284">
        <v>0.73400305111729602</v>
      </c>
      <c r="AG1284">
        <v>-1.110212154894</v>
      </c>
      <c r="AH1284">
        <v>17.1814132964974</v>
      </c>
      <c r="AI1284">
        <v>93.693784218463193</v>
      </c>
      <c r="AJ1284">
        <v>87.553768149505103</v>
      </c>
      <c r="AK1284">
        <v>17.232884099099</v>
      </c>
      <c r="AL1284">
        <v>80.7677784769308</v>
      </c>
      <c r="AM1284">
        <v>91.589074827115695</v>
      </c>
      <c r="AN1284">
        <v>1.0000000009479599</v>
      </c>
    </row>
    <row r="1285" spans="1:40" x14ac:dyDescent="0.3">
      <c r="A1285" t="str">
        <f>"20200111150747798"</f>
        <v>20200111150747798</v>
      </c>
      <c r="B1285" t="str">
        <f>"1578726467792589"</f>
        <v>1578726467792589</v>
      </c>
      <c r="C1285" t="s">
        <v>40</v>
      </c>
      <c r="D1285">
        <v>4.619688</v>
      </c>
      <c r="E1285">
        <v>0.52726419999999996</v>
      </c>
      <c r="F1285" t="s">
        <v>55</v>
      </c>
      <c r="G1285">
        <v>-323.12990000000002</v>
      </c>
      <c r="H1285" s="1">
        <v>1.2364340000000001E-7</v>
      </c>
      <c r="I1285">
        <v>284.73379999999997</v>
      </c>
      <c r="J1285">
        <v>-303.6662</v>
      </c>
      <c r="K1285">
        <v>1.1102069999999999</v>
      </c>
      <c r="L1285">
        <v>283.42529999999999</v>
      </c>
      <c r="M1285">
        <v>-0.99983069999999996</v>
      </c>
      <c r="N1285">
        <v>0</v>
      </c>
      <c r="O1285">
        <v>1.272801E-2</v>
      </c>
      <c r="P1285">
        <v>-0.98894389999999999</v>
      </c>
      <c r="Q1285">
        <v>0.14747489999999999</v>
      </c>
      <c r="R1285">
        <v>-1.551979E-2</v>
      </c>
      <c r="S1285">
        <v>-3.0623469999999999</v>
      </c>
      <c r="T1285">
        <v>-0.17280400000000001</v>
      </c>
      <c r="U1285">
        <v>0.2041626</v>
      </c>
      <c r="V1285">
        <v>-2.7957590000000001E-2</v>
      </c>
      <c r="W1285">
        <v>0.1606311</v>
      </c>
      <c r="X1285">
        <v>0.98661849999999995</v>
      </c>
      <c r="Y1285">
        <v>5.3749720000000001E-2</v>
      </c>
      <c r="Z1285">
        <v>7.9679749999999998E-4</v>
      </c>
      <c r="AA1285">
        <v>0.9985541</v>
      </c>
      <c r="AB1285">
        <v>25</v>
      </c>
      <c r="AC1285">
        <v>-19.463699999999999</v>
      </c>
      <c r="AD1285">
        <v>-1.1102068763566</v>
      </c>
      <c r="AE1285">
        <v>1.30849999999998</v>
      </c>
      <c r="AF1285">
        <v>1.05721372671741</v>
      </c>
      <c r="AG1285">
        <v>-1.1102068763566</v>
      </c>
      <c r="AH1285">
        <v>19.415892855753601</v>
      </c>
      <c r="AI1285">
        <v>93.267796875795895</v>
      </c>
      <c r="AJ1285">
        <v>86.883268463373398</v>
      </c>
      <c r="AK1285">
        <v>19.476322947578499</v>
      </c>
      <c r="AL1285">
        <v>80.756470785406506</v>
      </c>
      <c r="AM1285">
        <v>91.6231434651244</v>
      </c>
      <c r="AN1285">
        <v>1.0000000208340301</v>
      </c>
    </row>
    <row r="1286" spans="1:40" x14ac:dyDescent="0.3">
      <c r="A1286" t="str">
        <f>"20200111150747821"</f>
        <v>20200111150747821</v>
      </c>
      <c r="B1286" t="str">
        <f>"1578726467812108"</f>
        <v>1578726467812108</v>
      </c>
      <c r="C1286" t="s">
        <v>40</v>
      </c>
      <c r="D1286">
        <v>5.0448539999999999</v>
      </c>
      <c r="E1286">
        <v>0.52634440000000005</v>
      </c>
      <c r="F1286" t="s">
        <v>55</v>
      </c>
      <c r="G1286">
        <v>-321.79919999999998</v>
      </c>
      <c r="H1286" s="1">
        <v>-5.7445169999999998E-7</v>
      </c>
      <c r="I1286">
        <v>284.50450000000001</v>
      </c>
      <c r="J1286">
        <v>-303.91829999999999</v>
      </c>
      <c r="K1286">
        <v>1.110204</v>
      </c>
      <c r="L1286">
        <v>283.42910000000001</v>
      </c>
      <c r="M1286">
        <v>-0.99982349999999998</v>
      </c>
      <c r="N1286">
        <v>0</v>
      </c>
      <c r="O1286">
        <v>1.328821E-2</v>
      </c>
      <c r="P1286">
        <v>-0.9890023</v>
      </c>
      <c r="Q1286">
        <v>0.14713189999999901</v>
      </c>
      <c r="R1286">
        <v>-1.507323E-2</v>
      </c>
      <c r="S1286">
        <v>-3.0643919999999998</v>
      </c>
      <c r="T1286">
        <v>-0.1876196</v>
      </c>
      <c r="U1286">
        <v>0.18237300000000001</v>
      </c>
      <c r="V1286">
        <v>-2.8065969999999999E-2</v>
      </c>
      <c r="W1286">
        <v>0.1602876</v>
      </c>
      <c r="X1286">
        <v>0.98667130000000003</v>
      </c>
      <c r="Y1286">
        <v>4.607617E-2</v>
      </c>
      <c r="Z1286">
        <v>5.9588540000000002E-4</v>
      </c>
      <c r="AA1286">
        <v>0.99893770000000004</v>
      </c>
      <c r="AB1286">
        <v>25</v>
      </c>
      <c r="AC1286">
        <v>-17.880899999999901</v>
      </c>
      <c r="AD1286">
        <v>-1.1102045744517</v>
      </c>
      <c r="AE1286">
        <v>1.0753999999999999</v>
      </c>
      <c r="AF1286">
        <v>0.83447359787570297</v>
      </c>
      <c r="AG1286">
        <v>-1.1102045744517</v>
      </c>
      <c r="AH1286">
        <v>17.8251436517554</v>
      </c>
      <c r="AI1286">
        <v>93.560064171856496</v>
      </c>
      <c r="AJ1286">
        <v>87.319688743429396</v>
      </c>
      <c r="AK1286">
        <v>17.8791679501145</v>
      </c>
      <c r="AL1286">
        <v>80.776410372775899</v>
      </c>
      <c r="AM1286">
        <v>91.629345185421499</v>
      </c>
      <c r="AN1286">
        <v>1.0000000338147399</v>
      </c>
    </row>
    <row r="1287" spans="1:40" x14ac:dyDescent="0.3">
      <c r="A1287" t="str">
        <f>"20200111150747843"</f>
        <v>20200111150747843</v>
      </c>
      <c r="B1287" t="str">
        <f>"1578726467832604"</f>
        <v>1578726467832604</v>
      </c>
      <c r="C1287" t="s">
        <v>40</v>
      </c>
      <c r="D1287">
        <v>5.384004</v>
      </c>
      <c r="E1287">
        <v>0.52537639999999997</v>
      </c>
      <c r="F1287" t="s">
        <v>41</v>
      </c>
      <c r="G1287">
        <v>-304.85610000000003</v>
      </c>
      <c r="H1287">
        <v>1.0467850000000001</v>
      </c>
      <c r="I1287">
        <v>283.48349999999999</v>
      </c>
      <c r="J1287">
        <v>-304.15870000000001</v>
      </c>
      <c r="K1287">
        <v>1.1102069999999999</v>
      </c>
      <c r="L1287">
        <v>283.43299999999999</v>
      </c>
      <c r="M1287">
        <v>-0.99981620000000004</v>
      </c>
      <c r="N1287">
        <v>0</v>
      </c>
      <c r="O1287">
        <v>1.3822310000000001E-2</v>
      </c>
      <c r="P1287">
        <v>-0.98909190000000002</v>
      </c>
      <c r="Q1287">
        <v>0.1466691</v>
      </c>
      <c r="R1287">
        <v>-1.362671E-2</v>
      </c>
      <c r="S1287">
        <v>-3.0669249999999999</v>
      </c>
      <c r="T1287">
        <v>-0.20750869999999999</v>
      </c>
      <c r="U1287">
        <v>0.17703250000000001</v>
      </c>
      <c r="V1287">
        <v>-2.7149650000000001E-2</v>
      </c>
      <c r="W1287">
        <v>0.1598234</v>
      </c>
      <c r="X1287">
        <v>0.98677219999999999</v>
      </c>
      <c r="Y1287">
        <v>4.3752939999999997E-2</v>
      </c>
      <c r="Z1287">
        <v>5.4390579999999997E-4</v>
      </c>
      <c r="AA1287">
        <v>0.99904219999999999</v>
      </c>
      <c r="AB1287">
        <v>25</v>
      </c>
      <c r="AC1287">
        <v>-0.69740000000001501</v>
      </c>
      <c r="AD1287">
        <v>-6.3421999999999798E-2</v>
      </c>
      <c r="AE1287">
        <v>5.0499999999999497E-2</v>
      </c>
      <c r="AF1287">
        <v>4.0521273897357699E-2</v>
      </c>
      <c r="AG1287">
        <v>-6.3421999999999798E-2</v>
      </c>
      <c r="AH1287">
        <v>0.69233556505410898</v>
      </c>
      <c r="AI1287">
        <v>95.225129285084904</v>
      </c>
      <c r="AJ1287">
        <v>86.650392554186993</v>
      </c>
      <c r="AK1287">
        <v>0.69641428644238501</v>
      </c>
      <c r="AL1287">
        <v>80.8033541095147</v>
      </c>
      <c r="AM1287">
        <v>91.576015234128604</v>
      </c>
      <c r="AN1287">
        <v>0.99999999868776102</v>
      </c>
    </row>
    <row r="1288" spans="1:40" x14ac:dyDescent="0.3">
      <c r="A1288" t="str">
        <f>"20200111150747856"</f>
        <v>20200111150747856</v>
      </c>
      <c r="B1288" t="str">
        <f>"1578726467852125"</f>
        <v>1578726467852125</v>
      </c>
      <c r="C1288" t="s">
        <v>40</v>
      </c>
      <c r="D1288">
        <v>5.0508689999999996</v>
      </c>
      <c r="E1288">
        <v>0.52429519999999996</v>
      </c>
      <c r="F1288" t="s">
        <v>41</v>
      </c>
      <c r="G1288">
        <v>-305.07780000000002</v>
      </c>
      <c r="H1288">
        <v>1.047895</v>
      </c>
      <c r="I1288">
        <v>283.48480000000001</v>
      </c>
      <c r="J1288">
        <v>-304.30959999999999</v>
      </c>
      <c r="K1288">
        <v>1.1102110000000001</v>
      </c>
      <c r="L1288">
        <v>283.43549999999999</v>
      </c>
      <c r="M1288">
        <v>-0.99981140000000002</v>
      </c>
      <c r="N1288">
        <v>0</v>
      </c>
      <c r="O1288">
        <v>1.415781E-2</v>
      </c>
      <c r="P1288">
        <v>-0.98908490000000004</v>
      </c>
      <c r="Q1288">
        <v>0.14681259999999999</v>
      </c>
      <c r="R1288">
        <v>-1.253552E-2</v>
      </c>
      <c r="S1288">
        <v>-3.0662539999999998</v>
      </c>
      <c r="T1288">
        <v>-0.20791280000000001</v>
      </c>
      <c r="U1288">
        <v>0.172363299999999</v>
      </c>
      <c r="V1288">
        <v>-2.639006E-2</v>
      </c>
      <c r="W1288">
        <v>0.1599661</v>
      </c>
      <c r="X1288">
        <v>0.98676969999999997</v>
      </c>
      <c r="Y1288">
        <v>4.1918490000000003E-2</v>
      </c>
      <c r="Z1288">
        <v>4.6032730000000001E-4</v>
      </c>
      <c r="AA1288">
        <v>0.99912100000000004</v>
      </c>
      <c r="AB1288">
        <v>25</v>
      </c>
      <c r="AC1288">
        <v>-0.76820000000003497</v>
      </c>
      <c r="AD1288">
        <v>-6.2316000000000003E-2</v>
      </c>
      <c r="AE1288">
        <v>4.9300000000016497E-2</v>
      </c>
      <c r="AF1288">
        <v>3.8167938055476899E-2</v>
      </c>
      <c r="AG1288">
        <v>-6.2316000000000003E-2</v>
      </c>
      <c r="AH1288">
        <v>0.76381545876791801</v>
      </c>
      <c r="AI1288">
        <v>94.658368000080799</v>
      </c>
      <c r="AJ1288">
        <v>87.139303408674607</v>
      </c>
      <c r="AK1288">
        <v>0.767303154173272</v>
      </c>
      <c r="AL1288">
        <v>80.795071585462694</v>
      </c>
      <c r="AM1288">
        <v>91.531946841948994</v>
      </c>
      <c r="AN1288">
        <v>1.00000001462705</v>
      </c>
    </row>
    <row r="1289" spans="1:40" x14ac:dyDescent="0.3">
      <c r="A1289" t="str">
        <f>"20200111150747870"</f>
        <v>20200111150747870</v>
      </c>
      <c r="B1289" t="str">
        <f>"1578726467862861"</f>
        <v>1578726467862861</v>
      </c>
      <c r="C1289" t="s">
        <v>40</v>
      </c>
      <c r="D1289">
        <v>5.0553419999999996</v>
      </c>
      <c r="E1289">
        <v>0.52323450000000005</v>
      </c>
      <c r="F1289" t="s">
        <v>58</v>
      </c>
      <c r="G1289">
        <v>-319.2158</v>
      </c>
      <c r="H1289" s="1">
        <v>6.3361059999999999E-6</v>
      </c>
      <c r="I1289">
        <v>284.24709999999999</v>
      </c>
      <c r="J1289">
        <v>-304.45949999999999</v>
      </c>
      <c r="K1289">
        <v>1.1102129999999999</v>
      </c>
      <c r="L1289">
        <v>283.43799999999999</v>
      </c>
      <c r="M1289">
        <v>-0.9998068</v>
      </c>
      <c r="N1289">
        <v>0</v>
      </c>
      <c r="O1289">
        <v>1.449086E-2</v>
      </c>
      <c r="P1289">
        <v>-0.98909749999999996</v>
      </c>
      <c r="Q1289">
        <v>0.14679519999999999</v>
      </c>
      <c r="R1289">
        <v>-1.1728529999999999E-2</v>
      </c>
      <c r="S1289">
        <v>-3.069153</v>
      </c>
      <c r="T1289">
        <v>-0.2285886</v>
      </c>
      <c r="U1289">
        <v>0.16711429999999999</v>
      </c>
      <c r="V1289">
        <v>-2.5913019999999998E-2</v>
      </c>
      <c r="W1289">
        <v>0.1599477</v>
      </c>
      <c r="X1289">
        <v>0.98678529999999998</v>
      </c>
      <c r="Y1289">
        <v>3.9822749999999997E-2</v>
      </c>
      <c r="Z1289">
        <v>4.0290029999999998E-4</v>
      </c>
      <c r="AA1289">
        <v>0.9992067</v>
      </c>
      <c r="AB1289">
        <v>25</v>
      </c>
      <c r="AC1289">
        <v>-14.7563</v>
      </c>
      <c r="AD1289">
        <v>-1.11020666389399</v>
      </c>
      <c r="AE1289">
        <v>0.80910000000000004</v>
      </c>
      <c r="AF1289">
        <v>0.59182472721952994</v>
      </c>
      <c r="AG1289">
        <v>-1.11020666389399</v>
      </c>
      <c r="AH1289">
        <v>14.6836088975195</v>
      </c>
      <c r="AI1289">
        <v>94.320330702526206</v>
      </c>
      <c r="AJ1289">
        <v>87.691935586033395</v>
      </c>
      <c r="AK1289">
        <v>14.737407696050701</v>
      </c>
      <c r="AL1289">
        <v>80.7961393489595</v>
      </c>
      <c r="AM1289">
        <v>91.504243670972699</v>
      </c>
      <c r="AN1289">
        <v>0.99999998981844995</v>
      </c>
    </row>
    <row r="1290" spans="1:40" x14ac:dyDescent="0.3">
      <c r="A1290" t="str">
        <f>"20200111150747887"</f>
        <v>20200111150747887</v>
      </c>
      <c r="B1290" t="str">
        <f>"1578726467882380"</f>
        <v>1578726467882380</v>
      </c>
      <c r="C1290" t="s">
        <v>40</v>
      </c>
      <c r="D1290">
        <v>4.6436469999999996</v>
      </c>
      <c r="E1290">
        <v>0.52210829999999997</v>
      </c>
      <c r="F1290" t="s">
        <v>41</v>
      </c>
      <c r="G1290">
        <v>-305.29610000000002</v>
      </c>
      <c r="H1290">
        <v>1.0449379999999999</v>
      </c>
      <c r="I1290">
        <v>283.48230000000001</v>
      </c>
      <c r="J1290">
        <v>-304.64589999999998</v>
      </c>
      <c r="K1290">
        <v>1.110214</v>
      </c>
      <c r="L1290">
        <v>283.44110000000001</v>
      </c>
      <c r="M1290">
        <v>-0.99980069999999999</v>
      </c>
      <c r="N1290">
        <v>0</v>
      </c>
      <c r="O1290">
        <v>1.4905160000000001E-2</v>
      </c>
      <c r="P1290">
        <v>-0.9891238</v>
      </c>
      <c r="Q1290">
        <v>0.14669450000000001</v>
      </c>
      <c r="R1290">
        <v>-1.0726609999999999E-2</v>
      </c>
      <c r="S1290">
        <v>-3.070557</v>
      </c>
      <c r="T1290">
        <v>-0.2397503</v>
      </c>
      <c r="U1290">
        <v>0.16156010000000001</v>
      </c>
      <c r="V1290">
        <v>-2.5321509999999998E-2</v>
      </c>
      <c r="W1290">
        <v>0.1598456</v>
      </c>
      <c r="X1290">
        <v>0.98681719999999895</v>
      </c>
      <c r="Y1290">
        <v>3.7582669999999999E-2</v>
      </c>
      <c r="Z1290">
        <v>3.0280839999999998E-4</v>
      </c>
      <c r="AA1290">
        <v>0.9992934</v>
      </c>
      <c r="AB1290">
        <v>25</v>
      </c>
      <c r="AC1290">
        <v>-0.65020000000003997</v>
      </c>
      <c r="AD1290">
        <v>-6.5276000000000098E-2</v>
      </c>
      <c r="AE1290">
        <v>4.1200000000003401E-2</v>
      </c>
      <c r="AF1290">
        <v>3.1190127444051901E-2</v>
      </c>
      <c r="AG1290">
        <v>-6.5276000000000098E-2</v>
      </c>
      <c r="AH1290">
        <v>0.64427429667303704</v>
      </c>
      <c r="AI1290">
        <v>95.778578518238604</v>
      </c>
      <c r="AJ1290">
        <v>87.228403257439894</v>
      </c>
      <c r="AK1290">
        <v>0.64832333721647895</v>
      </c>
      <c r="AL1290">
        <v>80.802065501299793</v>
      </c>
      <c r="AM1290">
        <v>91.469874422797105</v>
      </c>
      <c r="AN1290">
        <v>0.99999999046193899</v>
      </c>
    </row>
    <row r="1291" spans="1:40" x14ac:dyDescent="0.3">
      <c r="A1291" t="str">
        <f>"20200111150747900"</f>
        <v>20200111150747900</v>
      </c>
      <c r="B1291" t="str">
        <f>"1578726467892141"</f>
        <v>1578726467892141</v>
      </c>
      <c r="C1291" t="s">
        <v>40</v>
      </c>
      <c r="D1291">
        <v>5.0831589999999904</v>
      </c>
      <c r="E1291">
        <v>0.52194849999999904</v>
      </c>
      <c r="F1291" t="s">
        <v>41</v>
      </c>
      <c r="G1291">
        <v>-305.51389999999998</v>
      </c>
      <c r="H1291">
        <v>1.0424329999999999</v>
      </c>
      <c r="I1291">
        <v>283.4855</v>
      </c>
      <c r="J1291">
        <v>-304.80029999999999</v>
      </c>
      <c r="K1291">
        <v>1.1102129999999999</v>
      </c>
      <c r="L1291">
        <v>283.44380000000001</v>
      </c>
      <c r="M1291">
        <v>-0.99979560000000001</v>
      </c>
      <c r="N1291">
        <v>0</v>
      </c>
      <c r="O1291">
        <v>1.524811E-2</v>
      </c>
      <c r="P1291">
        <v>-0.98915030000000004</v>
      </c>
      <c r="Q1291">
        <v>0.14655750000000001</v>
      </c>
      <c r="R1291">
        <v>-1.013463E-2</v>
      </c>
      <c r="S1291">
        <v>-3.0702210000000001</v>
      </c>
      <c r="T1291">
        <v>-0.23971609999999999</v>
      </c>
      <c r="U1291">
        <v>0.15682979999999899</v>
      </c>
      <c r="V1291">
        <v>-2.5069859999999999E-2</v>
      </c>
      <c r="W1291">
        <v>0.15970809999999999</v>
      </c>
      <c r="X1291">
        <v>0.98684590000000005</v>
      </c>
      <c r="Y1291">
        <v>3.5716810000000002E-2</v>
      </c>
      <c r="Z1291">
        <v>2.0341000000000001E-4</v>
      </c>
      <c r="AA1291">
        <v>0.99936190000000003</v>
      </c>
      <c r="AB1291">
        <v>25</v>
      </c>
      <c r="AC1291">
        <v>-0.71359999999998502</v>
      </c>
      <c r="AD1291">
        <v>-6.7779999999999896E-2</v>
      </c>
      <c r="AE1291">
        <v>4.1699999999991598E-2</v>
      </c>
      <c r="AF1291">
        <v>3.0538565428476001E-2</v>
      </c>
      <c r="AG1291">
        <v>-6.7779999999999896E-2</v>
      </c>
      <c r="AH1291">
        <v>0.70778912044666498</v>
      </c>
      <c r="AI1291">
        <v>95.465080536454494</v>
      </c>
      <c r="AJ1291">
        <v>87.529424657839101</v>
      </c>
      <c r="AK1291">
        <v>0.71168263390439201</v>
      </c>
      <c r="AL1291">
        <v>80.810046311404406</v>
      </c>
      <c r="AM1291">
        <v>91.455230538648905</v>
      </c>
      <c r="AN1291">
        <v>1.00000000271641</v>
      </c>
    </row>
    <row r="1292" spans="1:40" x14ac:dyDescent="0.3">
      <c r="A1292" t="str">
        <f>"20200111150747913"</f>
        <v>20200111150747913</v>
      </c>
      <c r="B1292" t="str">
        <f>"1578726467902877"</f>
        <v>1578726467902877</v>
      </c>
      <c r="C1292" t="s">
        <v>40</v>
      </c>
      <c r="D1292">
        <v>5.3846769999999999</v>
      </c>
      <c r="E1292">
        <v>0.52144409999999997</v>
      </c>
      <c r="F1292" t="s">
        <v>41</v>
      </c>
      <c r="G1292">
        <v>-305.73</v>
      </c>
      <c r="H1292">
        <v>1.03699599999999</v>
      </c>
      <c r="I1292">
        <v>283.49180000000001</v>
      </c>
      <c r="J1292">
        <v>-304.94580000000002</v>
      </c>
      <c r="K1292">
        <v>1.110212</v>
      </c>
      <c r="L1292">
        <v>283.44639999999998</v>
      </c>
      <c r="M1292">
        <v>-0.99979059999999997</v>
      </c>
      <c r="N1292">
        <v>0</v>
      </c>
      <c r="O1292">
        <v>1.557162E-2</v>
      </c>
      <c r="P1292">
        <v>-0.98919670000000004</v>
      </c>
      <c r="Q1292">
        <v>0.1462871</v>
      </c>
      <c r="R1292">
        <v>-9.5043160000000005E-3</v>
      </c>
      <c r="S1292">
        <v>-3.0703740000000002</v>
      </c>
      <c r="T1292">
        <v>-0.2418806</v>
      </c>
      <c r="U1292">
        <v>0.15765379999999901</v>
      </c>
      <c r="V1292">
        <v>-2.4760379999999999E-2</v>
      </c>
      <c r="W1292">
        <v>0.159437</v>
      </c>
      <c r="X1292">
        <v>0.98689749999999998</v>
      </c>
      <c r="Y1292">
        <v>3.5658450000000001E-2</v>
      </c>
      <c r="Z1292">
        <v>1.7751099999999999E-4</v>
      </c>
      <c r="AA1292">
        <v>0.99936400000000003</v>
      </c>
      <c r="AB1292">
        <v>25</v>
      </c>
      <c r="AC1292">
        <v>-0.78419999999999801</v>
      </c>
      <c r="AD1292">
        <v>-7.32160000000001E-2</v>
      </c>
      <c r="AE1292">
        <v>4.5400000000029202E-2</v>
      </c>
      <c r="AF1292">
        <v>3.28963597262934E-2</v>
      </c>
      <c r="AG1292">
        <v>-7.32160000000001E-2</v>
      </c>
      <c r="AH1292">
        <v>0.77805242543315001</v>
      </c>
      <c r="AI1292">
        <v>95.371025205014405</v>
      </c>
      <c r="AJ1292">
        <v>87.578954074883995</v>
      </c>
      <c r="AK1292">
        <v>0.78218177545992995</v>
      </c>
      <c r="AL1292">
        <v>80.825780369309399</v>
      </c>
      <c r="AM1292">
        <v>91.437198614380193</v>
      </c>
      <c r="AN1292">
        <v>0.99999995444649603</v>
      </c>
    </row>
    <row r="1293" spans="1:40" x14ac:dyDescent="0.3">
      <c r="A1293" t="str">
        <f>"20200111150747933"</f>
        <v>20200111150747933</v>
      </c>
      <c r="B1293" t="str">
        <f>"1578726467922396"</f>
        <v>1578726467922396</v>
      </c>
      <c r="C1293" t="s">
        <v>40</v>
      </c>
      <c r="D1293">
        <v>4.6589470000000004</v>
      </c>
      <c r="E1293">
        <v>0.51937409999999995</v>
      </c>
      <c r="F1293" t="s">
        <v>41</v>
      </c>
      <c r="G1293">
        <v>-305.74650000000003</v>
      </c>
      <c r="H1293">
        <v>1.049337</v>
      </c>
      <c r="I1293">
        <v>283.48719999999997</v>
      </c>
      <c r="J1293">
        <v>-305.15440000000001</v>
      </c>
      <c r="K1293">
        <v>1.110204</v>
      </c>
      <c r="L1293">
        <v>283.4502</v>
      </c>
      <c r="M1293">
        <v>-0.99978319999999998</v>
      </c>
      <c r="N1293">
        <v>0</v>
      </c>
      <c r="O1293">
        <v>1.6035689999999998E-2</v>
      </c>
      <c r="P1293">
        <v>-0.98930530000000005</v>
      </c>
      <c r="Q1293">
        <v>0.14559759999999999</v>
      </c>
      <c r="R1293">
        <v>-8.753551E-3</v>
      </c>
      <c r="S1293">
        <v>-3.0687869999999999</v>
      </c>
      <c r="T1293">
        <v>-0.23339779999999999</v>
      </c>
      <c r="U1293">
        <v>0.155304</v>
      </c>
      <c r="V1293">
        <v>-2.4471360000000001E-2</v>
      </c>
      <c r="W1293">
        <v>0.15874779999999999</v>
      </c>
      <c r="X1293">
        <v>0.9870158</v>
      </c>
      <c r="Y1293">
        <v>3.4466740000000003E-2</v>
      </c>
      <c r="Z1293" s="1">
        <v>9.0956109999999995E-5</v>
      </c>
      <c r="AA1293">
        <v>0.99940589999999996</v>
      </c>
      <c r="AB1293">
        <v>25</v>
      </c>
      <c r="AC1293">
        <v>-0.59210000000001595</v>
      </c>
      <c r="AD1293">
        <v>-6.0866999999999997E-2</v>
      </c>
      <c r="AE1293">
        <v>3.6999999999977697E-2</v>
      </c>
      <c r="AF1293">
        <v>2.7213214083345101E-2</v>
      </c>
      <c r="AG1293">
        <v>-6.0866999999999997E-2</v>
      </c>
      <c r="AH1293">
        <v>0.58644406517115999</v>
      </c>
      <c r="AI1293">
        <v>95.919185425302899</v>
      </c>
      <c r="AJ1293">
        <v>87.343165867402604</v>
      </c>
      <c r="AK1293">
        <v>0.59022198559882699</v>
      </c>
      <c r="AL1293">
        <v>80.865778009019706</v>
      </c>
      <c r="AM1293">
        <v>91.420259390219201</v>
      </c>
      <c r="AN1293">
        <v>0.99999995045736301</v>
      </c>
    </row>
    <row r="1294" spans="1:40" x14ac:dyDescent="0.3">
      <c r="A1294" t="str">
        <f>"20200111150747954"</f>
        <v>20200111150747954</v>
      </c>
      <c r="B1294" t="str">
        <f>"1578726467952653"</f>
        <v>1578726467952653</v>
      </c>
      <c r="C1294" t="s">
        <v>40</v>
      </c>
      <c r="D1294">
        <v>5.0937029999999996</v>
      </c>
      <c r="E1294">
        <v>0.51736110000000002</v>
      </c>
      <c r="F1294" t="s">
        <v>41</v>
      </c>
      <c r="G1294">
        <v>-305.96679999999998</v>
      </c>
      <c r="H1294">
        <v>1.0483769999999999</v>
      </c>
      <c r="I1294">
        <v>283.48739999999998</v>
      </c>
      <c r="J1294">
        <v>-305.38749999999999</v>
      </c>
      <c r="K1294">
        <v>1.1102069999999999</v>
      </c>
      <c r="L1294">
        <v>283.4545</v>
      </c>
      <c r="M1294">
        <v>-0.99977479999999996</v>
      </c>
      <c r="N1294">
        <v>0</v>
      </c>
      <c r="O1294">
        <v>1.6554349999999999E-2</v>
      </c>
      <c r="P1294">
        <v>-0.98924129999999999</v>
      </c>
      <c r="Q1294">
        <v>0.14602419999999999</v>
      </c>
      <c r="R1294">
        <v>-8.8707049999999996E-3</v>
      </c>
      <c r="S1294">
        <v>-3.0680239999999999</v>
      </c>
      <c r="T1294">
        <v>-0.23348840000000001</v>
      </c>
      <c r="U1294">
        <v>0.140533399999999</v>
      </c>
      <c r="V1294">
        <v>-2.5100290000000001E-2</v>
      </c>
      <c r="W1294">
        <v>0.15917100000000001</v>
      </c>
      <c r="X1294">
        <v>0.98693189999999997</v>
      </c>
      <c r="Y1294">
        <v>2.917672E-2</v>
      </c>
      <c r="Z1294">
        <v>-1.4927399999999999E-4</v>
      </c>
      <c r="AA1294">
        <v>0.99957419999999997</v>
      </c>
      <c r="AB1294">
        <v>25</v>
      </c>
      <c r="AC1294">
        <v>-0.57929999999998905</v>
      </c>
      <c r="AD1294">
        <v>-6.1829999999999802E-2</v>
      </c>
      <c r="AE1294">
        <v>3.2899999999983699E-2</v>
      </c>
      <c r="AF1294">
        <v>2.3043053051728098E-2</v>
      </c>
      <c r="AG1294">
        <v>-6.1829999999999802E-2</v>
      </c>
      <c r="AH1294">
        <v>0.57325588203363798</v>
      </c>
      <c r="AI1294">
        <v>96.151057855678701</v>
      </c>
      <c r="AJ1294">
        <v>87.698132147988403</v>
      </c>
      <c r="AK1294">
        <v>0.57704093223973996</v>
      </c>
      <c r="AL1294">
        <v>80.841218648308796</v>
      </c>
      <c r="AM1294">
        <v>91.456869242301295</v>
      </c>
      <c r="AN1294">
        <v>1.0000000035183401</v>
      </c>
    </row>
    <row r="1295" spans="1:40" x14ac:dyDescent="0.3">
      <c r="A1295" t="str">
        <f>"20200111150747969"</f>
        <v>20200111150747969</v>
      </c>
      <c r="B1295" t="str">
        <f>"1578726467962413"</f>
        <v>1578726467962413</v>
      </c>
      <c r="C1295" t="s">
        <v>40</v>
      </c>
      <c r="D1295">
        <v>5.316052</v>
      </c>
      <c r="E1295">
        <v>0.51736110000000002</v>
      </c>
      <c r="F1295" t="s">
        <v>55</v>
      </c>
      <c r="G1295">
        <v>-320.35500000000002</v>
      </c>
      <c r="H1295" s="1">
        <v>-1.323548E-6</v>
      </c>
      <c r="I1295">
        <v>284.05990000000003</v>
      </c>
      <c r="J1295">
        <v>-305.54259999999999</v>
      </c>
      <c r="K1295">
        <v>1.110206</v>
      </c>
      <c r="L1295">
        <v>283.45749999999998</v>
      </c>
      <c r="M1295">
        <v>-0.99976920000000002</v>
      </c>
      <c r="N1295">
        <v>0</v>
      </c>
      <c r="O1295">
        <v>1.6899419999999998E-2</v>
      </c>
      <c r="P1295">
        <v>-0.98921800000000004</v>
      </c>
      <c r="Q1295">
        <v>0.1461645</v>
      </c>
      <c r="R1295">
        <v>-9.1545819999999997E-3</v>
      </c>
      <c r="S1295">
        <v>-3.0673219999999999</v>
      </c>
      <c r="T1295">
        <v>-0.2275179</v>
      </c>
      <c r="U1295">
        <v>0.124054</v>
      </c>
      <c r="V1295">
        <v>-2.5725620000000001E-2</v>
      </c>
      <c r="W1295">
        <v>0.15930610000000001</v>
      </c>
      <c r="X1295">
        <v>0.98689400000000005</v>
      </c>
      <c r="Y1295">
        <v>2.349973E-2</v>
      </c>
      <c r="Z1295">
        <v>-3.812466E-4</v>
      </c>
      <c r="AA1295">
        <v>0.99972380000000005</v>
      </c>
      <c r="AB1295">
        <v>25</v>
      </c>
      <c r="AC1295">
        <v>-14.8124</v>
      </c>
      <c r="AD1295">
        <v>-1.1102073235479999</v>
      </c>
      <c r="AE1295">
        <v>0.60240000000004501</v>
      </c>
      <c r="AF1295">
        <v>0.350007976811198</v>
      </c>
      <c r="AG1295">
        <v>-1.1102073235479999</v>
      </c>
      <c r="AH1295">
        <v>14.7378097911529</v>
      </c>
      <c r="AI1295">
        <v>94.306776271891906</v>
      </c>
      <c r="AJ1295">
        <v>88.639539308487997</v>
      </c>
      <c r="AK1295">
        <v>14.783710742749699</v>
      </c>
      <c r="AL1295">
        <v>80.833377947810305</v>
      </c>
      <c r="AM1295">
        <v>91.493205686106194</v>
      </c>
      <c r="AN1295">
        <v>1.00000000412879</v>
      </c>
    </row>
    <row r="1296" spans="1:40" x14ac:dyDescent="0.3">
      <c r="A1296" t="str">
        <f>"20200111150747981"</f>
        <v>20200111150747981</v>
      </c>
      <c r="B1296" t="str">
        <f>"1578726467972173"</f>
        <v>1578726467972173</v>
      </c>
      <c r="C1296" t="s">
        <v>40</v>
      </c>
      <c r="D1296">
        <v>5.0727539999999998</v>
      </c>
      <c r="E1296">
        <v>0.51762759999999997</v>
      </c>
      <c r="F1296" t="s">
        <v>41</v>
      </c>
      <c r="G1296">
        <v>-306.39760000000001</v>
      </c>
      <c r="H1296">
        <v>1.0469469999999901</v>
      </c>
      <c r="I1296">
        <v>283.49209999999999</v>
      </c>
      <c r="J1296">
        <v>-305.69099999999997</v>
      </c>
      <c r="K1296">
        <v>1.110204</v>
      </c>
      <c r="L1296">
        <v>283.46030000000002</v>
      </c>
      <c r="M1296">
        <v>-0.99976359999999997</v>
      </c>
      <c r="N1296">
        <v>0</v>
      </c>
      <c r="O1296">
        <v>1.7229899999999999E-2</v>
      </c>
      <c r="P1296">
        <v>-0.9891797</v>
      </c>
      <c r="Q1296">
        <v>0.14641879999999999</v>
      </c>
      <c r="R1296">
        <v>-9.244403E-3</v>
      </c>
      <c r="S1296">
        <v>-3.0674130000000002</v>
      </c>
      <c r="T1296">
        <v>-0.22703429999999999</v>
      </c>
      <c r="U1296">
        <v>0.1233826</v>
      </c>
      <c r="V1296">
        <v>-2.6140569999999998E-2</v>
      </c>
      <c r="W1296">
        <v>0.15955229999999901</v>
      </c>
      <c r="X1296">
        <v>0.98684329999999998</v>
      </c>
      <c r="Y1296">
        <v>2.2952070000000001E-2</v>
      </c>
      <c r="Z1296">
        <v>-4.2507310000000002E-4</v>
      </c>
      <c r="AA1296">
        <v>0.99973650000000003</v>
      </c>
      <c r="AB1296">
        <v>25</v>
      </c>
      <c r="AC1296">
        <v>-0.70660000000003698</v>
      </c>
      <c r="AD1296">
        <v>-6.3257000000000299E-2</v>
      </c>
      <c r="AE1296">
        <v>3.1799999999975598E-2</v>
      </c>
      <c r="AF1296">
        <v>1.94638848459023E-2</v>
      </c>
      <c r="AG1296">
        <v>-6.3257000000000299E-2</v>
      </c>
      <c r="AH1296">
        <v>0.70143286224206403</v>
      </c>
      <c r="AI1296">
        <v>95.151167228667006</v>
      </c>
      <c r="AJ1296">
        <v>88.410521640668605</v>
      </c>
      <c r="AK1296">
        <v>0.70454833127003402</v>
      </c>
      <c r="AL1296">
        <v>80.819088759520497</v>
      </c>
      <c r="AM1296">
        <v>91.517357593046398</v>
      </c>
      <c r="AN1296">
        <v>0.99999998229505205</v>
      </c>
    </row>
    <row r="1297" spans="1:40" x14ac:dyDescent="0.3">
      <c r="A1297" t="str">
        <f>"20200111150747998"</f>
        <v>20200111150747998</v>
      </c>
      <c r="B1297" t="str">
        <f>"1578726467992668"</f>
        <v>1578726467992668</v>
      </c>
      <c r="C1297" t="s">
        <v>40</v>
      </c>
      <c r="D1297">
        <v>5.3580519999999998</v>
      </c>
      <c r="E1297">
        <v>0.517246599999999</v>
      </c>
      <c r="F1297" t="s">
        <v>41</v>
      </c>
      <c r="G1297">
        <v>-306.61180000000002</v>
      </c>
      <c r="H1297">
        <v>1.042354</v>
      </c>
      <c r="I1297">
        <v>283.49829999999997</v>
      </c>
      <c r="J1297">
        <v>-305.87619999999998</v>
      </c>
      <c r="K1297">
        <v>1.1102019999999999</v>
      </c>
      <c r="L1297">
        <v>283.464</v>
      </c>
      <c r="M1297">
        <v>-0.9997566</v>
      </c>
      <c r="N1297">
        <v>0</v>
      </c>
      <c r="O1297">
        <v>1.7641730000000001E-2</v>
      </c>
      <c r="P1297">
        <v>-0.98915469999999905</v>
      </c>
      <c r="Q1297">
        <v>0.14655109999999999</v>
      </c>
      <c r="R1297">
        <v>-9.8106489999999994E-3</v>
      </c>
      <c r="S1297">
        <v>-3.0674739999999998</v>
      </c>
      <c r="T1297">
        <v>-0.22619310000000001</v>
      </c>
      <c r="U1297">
        <v>0.1253967</v>
      </c>
      <c r="V1297">
        <v>-2.711363E-2</v>
      </c>
      <c r="W1297">
        <v>0.15967089999999901</v>
      </c>
      <c r="X1297">
        <v>0.98679790000000001</v>
      </c>
      <c r="Y1297">
        <v>2.3195400000000001E-2</v>
      </c>
      <c r="Z1297">
        <v>-4.4483899999999999E-4</v>
      </c>
      <c r="AA1297">
        <v>0.99973080000000003</v>
      </c>
      <c r="AB1297">
        <v>24</v>
      </c>
      <c r="AC1297">
        <v>-0.73560000000003301</v>
      </c>
      <c r="AD1297">
        <v>-6.7848000000000103E-2</v>
      </c>
      <c r="AE1297">
        <v>3.4299999999973303E-2</v>
      </c>
      <c r="AF1297">
        <v>2.1136838622409199E-2</v>
      </c>
      <c r="AG1297">
        <v>-6.7848000000000103E-2</v>
      </c>
      <c r="AH1297">
        <v>0.72989471843265197</v>
      </c>
      <c r="AI1297">
        <v>95.308505266139207</v>
      </c>
      <c r="AJ1297">
        <v>88.341249426858198</v>
      </c>
      <c r="AK1297">
        <v>0.73334604181575203</v>
      </c>
      <c r="AL1297">
        <v>80.812205584964204</v>
      </c>
      <c r="AM1297">
        <v>91.573884384248501</v>
      </c>
      <c r="AN1297">
        <v>1.00000002034149</v>
      </c>
    </row>
    <row r="1298" spans="1:40" x14ac:dyDescent="0.3">
      <c r="A1298" t="str">
        <f>"20200111150748012"</f>
        <v>20200111150748012</v>
      </c>
      <c r="B1298" t="str">
        <f>"1578726468002429"</f>
        <v>1578726468002429</v>
      </c>
      <c r="C1298" t="s">
        <v>40</v>
      </c>
      <c r="D1298">
        <v>5.3684059999999896</v>
      </c>
      <c r="E1298">
        <v>0.517246599999999</v>
      </c>
      <c r="F1298" t="s">
        <v>55</v>
      </c>
      <c r="G1298">
        <v>-321.47620000000001</v>
      </c>
      <c r="H1298" s="1">
        <v>-7.2758059999999996E-7</v>
      </c>
      <c r="I1298">
        <v>284.07569999999998</v>
      </c>
      <c r="J1298">
        <v>-306.01960000000003</v>
      </c>
      <c r="K1298">
        <v>1.1102000000000001</v>
      </c>
      <c r="L1298">
        <v>283.46690000000001</v>
      </c>
      <c r="M1298">
        <v>-0.99975099999999995</v>
      </c>
      <c r="N1298">
        <v>0</v>
      </c>
      <c r="O1298">
        <v>1.795954E-2</v>
      </c>
      <c r="P1298">
        <v>-0.98920520000000001</v>
      </c>
      <c r="Q1298">
        <v>0.14621479999999901</v>
      </c>
      <c r="R1298">
        <v>-9.7054389999999997E-3</v>
      </c>
      <c r="S1298">
        <v>-3.066376</v>
      </c>
      <c r="T1298">
        <v>-0.21822320000000001</v>
      </c>
      <c r="U1298">
        <v>0.12023929999999999</v>
      </c>
      <c r="V1298">
        <v>-2.73241E-2</v>
      </c>
      <c r="W1298">
        <v>0.15932449999999901</v>
      </c>
      <c r="X1298">
        <v>0.98684810000000001</v>
      </c>
      <c r="Y1298">
        <v>2.122019E-2</v>
      </c>
      <c r="Z1298">
        <v>-5.2212229999999997E-4</v>
      </c>
      <c r="AA1298">
        <v>0.99977470000000002</v>
      </c>
      <c r="AB1298">
        <v>24</v>
      </c>
      <c r="AC1298">
        <v>-15.4565999999999</v>
      </c>
      <c r="AD1298">
        <v>-1.1102007275806001</v>
      </c>
      <c r="AE1298">
        <v>0.60879999999997303</v>
      </c>
      <c r="AF1298">
        <v>0.32938730479521899</v>
      </c>
      <c r="AG1298">
        <v>-1.1102007275806001</v>
      </c>
      <c r="AH1298">
        <v>15.3857872951346</v>
      </c>
      <c r="AI1298">
        <v>94.1262278378437</v>
      </c>
      <c r="AJ1298">
        <v>88.773568126915094</v>
      </c>
      <c r="AK1298">
        <v>15.4293062819819</v>
      </c>
      <c r="AL1298">
        <v>80.832310375790897</v>
      </c>
      <c r="AM1298">
        <v>91.5860148291667</v>
      </c>
      <c r="AN1298">
        <v>1.0000000376073299</v>
      </c>
    </row>
    <row r="1299" spans="1:40" x14ac:dyDescent="0.3">
      <c r="A1299" t="str">
        <f>"20200111150748025"</f>
        <v>20200111150748025</v>
      </c>
      <c r="B1299" t="str">
        <f>"1578726468022925"</f>
        <v>1578726468022925</v>
      </c>
      <c r="C1299" t="s">
        <v>40</v>
      </c>
      <c r="D1299">
        <v>5.4190719999999999</v>
      </c>
      <c r="E1299">
        <v>0.52001179999999902</v>
      </c>
      <c r="F1299" t="s">
        <v>55</v>
      </c>
      <c r="G1299">
        <v>-321.54259999999999</v>
      </c>
      <c r="H1299" s="1">
        <v>-6.9227009999999903E-7</v>
      </c>
      <c r="I1299">
        <v>284.07639999999998</v>
      </c>
      <c r="J1299">
        <v>-306.16359999999997</v>
      </c>
      <c r="K1299">
        <v>1.1101970000000001</v>
      </c>
      <c r="L1299">
        <v>283.46980000000002</v>
      </c>
      <c r="M1299">
        <v>-0.99974540000000001</v>
      </c>
      <c r="N1299">
        <v>0</v>
      </c>
      <c r="O1299">
        <v>1.8278010000000001E-2</v>
      </c>
      <c r="P1299">
        <v>-0.98921349999999997</v>
      </c>
      <c r="Q1299">
        <v>0.1461837</v>
      </c>
      <c r="R1299">
        <v>-9.330606E-3</v>
      </c>
      <c r="S1299">
        <v>-3.0663450000000001</v>
      </c>
      <c r="T1299">
        <v>-0.219304</v>
      </c>
      <c r="U1299">
        <v>0.12039179999999999</v>
      </c>
      <c r="V1299">
        <v>-2.7264050000000001E-2</v>
      </c>
      <c r="W1299">
        <v>0.15928299999999901</v>
      </c>
      <c r="X1299">
        <v>0.98685639999999997</v>
      </c>
      <c r="Y1299">
        <v>2.095319E-2</v>
      </c>
      <c r="Z1299">
        <v>-5.5697180000000002E-4</v>
      </c>
      <c r="AA1299">
        <v>0.99978029999999996</v>
      </c>
      <c r="AB1299">
        <v>24</v>
      </c>
      <c r="AC1299">
        <v>-15.379</v>
      </c>
      <c r="AD1299">
        <v>-1.11019769227009</v>
      </c>
      <c r="AE1299">
        <v>0.60659999999995695</v>
      </c>
      <c r="AF1299">
        <v>0.32369229257613102</v>
      </c>
      <c r="AG1299">
        <v>-1.11019769227009</v>
      </c>
      <c r="AH1299">
        <v>15.307869113676499</v>
      </c>
      <c r="AI1299">
        <v>94.147169367745505</v>
      </c>
      <c r="AJ1299">
        <v>88.788633569291804</v>
      </c>
      <c r="AK1299">
        <v>15.3514876288145</v>
      </c>
      <c r="AL1299">
        <v>80.834718360794298</v>
      </c>
      <c r="AM1299">
        <v>91.582517725738398</v>
      </c>
      <c r="AN1299">
        <v>0.99999997836618004</v>
      </c>
    </row>
    <row r="1300" spans="1:40" x14ac:dyDescent="0.3">
      <c r="A1300" t="str">
        <f>"20200111150748043"</f>
        <v>20200111150748043</v>
      </c>
      <c r="B1300" t="str">
        <f>"1578726468032684"</f>
        <v>1578726468032684</v>
      </c>
      <c r="C1300" t="s">
        <v>40</v>
      </c>
      <c r="D1300">
        <v>5.4249489999999998</v>
      </c>
      <c r="E1300">
        <v>0.52006129999999995</v>
      </c>
      <c r="F1300" t="s">
        <v>41</v>
      </c>
      <c r="G1300">
        <v>-306.97039999999998</v>
      </c>
      <c r="H1300">
        <v>0.87885550000000001</v>
      </c>
      <c r="I1300">
        <v>283.50979999999998</v>
      </c>
      <c r="J1300">
        <v>-306.36149999999998</v>
      </c>
      <c r="K1300">
        <v>1.1101970000000001</v>
      </c>
      <c r="L1300">
        <v>283.47399999999999</v>
      </c>
      <c r="M1300">
        <v>-0.9997374</v>
      </c>
      <c r="N1300">
        <v>0</v>
      </c>
      <c r="O1300">
        <v>1.8715800000000001E-2</v>
      </c>
      <c r="P1300">
        <v>-0.98921130000000002</v>
      </c>
      <c r="Q1300">
        <v>0.1462185</v>
      </c>
      <c r="R1300">
        <v>-9.0203599999999998E-3</v>
      </c>
      <c r="S1300">
        <v>-3.1684269999999999</v>
      </c>
      <c r="T1300">
        <v>-0.90847060000000002</v>
      </c>
      <c r="U1300">
        <v>0.1560974</v>
      </c>
      <c r="V1300">
        <v>-2.738724E-2</v>
      </c>
      <c r="W1300">
        <v>0.15930559999999999</v>
      </c>
      <c r="X1300">
        <v>0.98684939999999999</v>
      </c>
      <c r="Y1300">
        <v>3.0048040000000002E-2</v>
      </c>
      <c r="Z1300">
        <v>-1.036663E-3</v>
      </c>
      <c r="AA1300">
        <v>0.99954790000000004</v>
      </c>
      <c r="AB1300">
        <v>24</v>
      </c>
      <c r="AC1300">
        <v>-0.60890000000000499</v>
      </c>
      <c r="AD1300">
        <v>-0.23134149999999901</v>
      </c>
      <c r="AE1300">
        <v>3.5799999999994697E-2</v>
      </c>
      <c r="AF1300">
        <v>2.1328526155918699E-2</v>
      </c>
      <c r="AG1300">
        <v>-0.23134149999999901</v>
      </c>
      <c r="AH1300">
        <v>0.53281658285089195</v>
      </c>
      <c r="AI1300">
        <v>113.45305884755599</v>
      </c>
      <c r="AJ1300">
        <v>87.707686892994104</v>
      </c>
      <c r="AK1300">
        <v>0.58126354316362805</v>
      </c>
      <c r="AL1300">
        <v>80.833407267365203</v>
      </c>
      <c r="AM1300">
        <v>91.589675790041994</v>
      </c>
      <c r="AN1300">
        <v>1.00000003669326</v>
      </c>
    </row>
    <row r="1301" spans="1:40" x14ac:dyDescent="0.3">
      <c r="A1301" t="str">
        <f>"20200111150748057"</f>
        <v>20200111150748057</v>
      </c>
      <c r="B1301" t="str">
        <f>"1578726468052205"</f>
        <v>1578726468052205</v>
      </c>
      <c r="C1301" t="s">
        <v>40</v>
      </c>
      <c r="D1301">
        <v>5.3574210000000004</v>
      </c>
      <c r="E1301">
        <v>0.51939309999999905</v>
      </c>
      <c r="F1301" t="s">
        <v>41</v>
      </c>
      <c r="G1301">
        <v>-307.18700000000001</v>
      </c>
      <c r="H1301">
        <v>0.87454589999999999</v>
      </c>
      <c r="I1301">
        <v>283.51519999999999</v>
      </c>
      <c r="J1301">
        <v>-306.51029999999997</v>
      </c>
      <c r="K1301">
        <v>1.110193</v>
      </c>
      <c r="L1301">
        <v>283.47710000000001</v>
      </c>
      <c r="M1301">
        <v>-0.99973129999999999</v>
      </c>
      <c r="N1301">
        <v>0</v>
      </c>
      <c r="O1301">
        <v>1.904548E-2</v>
      </c>
      <c r="P1301">
        <v>-0.98919069999999998</v>
      </c>
      <c r="Q1301">
        <v>0.1463593</v>
      </c>
      <c r="R1301">
        <v>-8.9997749999999998E-3</v>
      </c>
      <c r="S1301">
        <v>-3.1678470000000001</v>
      </c>
      <c r="T1301">
        <v>-0.90428090000000005</v>
      </c>
      <c r="U1301">
        <v>0.15786739999999999</v>
      </c>
      <c r="V1301">
        <v>-2.769249E-2</v>
      </c>
      <c r="W1301">
        <v>0.15944029999999901</v>
      </c>
      <c r="X1301">
        <v>0.98681909999999895</v>
      </c>
      <c r="Y1301">
        <v>3.0291930000000002E-2</v>
      </c>
      <c r="Z1301">
        <v>-1.0903060000000001E-3</v>
      </c>
      <c r="AA1301">
        <v>0.99954050000000005</v>
      </c>
      <c r="AB1301">
        <v>24</v>
      </c>
      <c r="AC1301">
        <v>-0.67670000000003905</v>
      </c>
      <c r="AD1301">
        <v>-0.235647099999999</v>
      </c>
      <c r="AE1301">
        <v>3.8099999999985798E-2</v>
      </c>
      <c r="AF1301">
        <v>2.2485786751272399E-2</v>
      </c>
      <c r="AG1301">
        <v>-0.235647099999999</v>
      </c>
      <c r="AH1301">
        <v>0.604259556871514</v>
      </c>
      <c r="AI1301">
        <v>111.2912054466</v>
      </c>
      <c r="AJ1301">
        <v>87.868885174706506</v>
      </c>
      <c r="AK1301">
        <v>0.64897209371034703</v>
      </c>
      <c r="AL1301">
        <v>80.825589354450599</v>
      </c>
      <c r="AM1301">
        <v>91.607433926319501</v>
      </c>
      <c r="AN1301">
        <v>1.0000000096956401</v>
      </c>
    </row>
    <row r="1302" spans="1:40" x14ac:dyDescent="0.3">
      <c r="A1302" t="str">
        <f>"20200111150748069"</f>
        <v>20200111150748069</v>
      </c>
      <c r="B1302" t="str">
        <f>"1578726468062941"</f>
        <v>1578726468062941</v>
      </c>
      <c r="C1302" t="s">
        <v>40</v>
      </c>
      <c r="D1302">
        <v>5.3498060000000001</v>
      </c>
      <c r="E1302">
        <v>0.51917559999999996</v>
      </c>
      <c r="F1302" t="s">
        <v>41</v>
      </c>
      <c r="G1302">
        <v>-307.20310000000001</v>
      </c>
      <c r="H1302">
        <v>0.91079589999999999</v>
      </c>
      <c r="I1302">
        <v>283.51069999999999</v>
      </c>
      <c r="J1302">
        <v>-306.65190000000001</v>
      </c>
      <c r="K1302">
        <v>1.1101970000000001</v>
      </c>
      <c r="L1302">
        <v>283.48020000000002</v>
      </c>
      <c r="M1302">
        <v>-0.99972530000000004</v>
      </c>
      <c r="N1302">
        <v>0</v>
      </c>
      <c r="O1302">
        <v>1.9360479999999999E-2</v>
      </c>
      <c r="P1302">
        <v>-0.98913229999999996</v>
      </c>
      <c r="Q1302">
        <v>0.14676330000000001</v>
      </c>
      <c r="R1302">
        <v>-8.8303589999999994E-3</v>
      </c>
      <c r="S1302">
        <v>-3.1691280000000002</v>
      </c>
      <c r="T1302">
        <v>-0.91206069999999995</v>
      </c>
      <c r="U1302">
        <v>0.1529846</v>
      </c>
      <c r="V1302">
        <v>-2.7834190000000002E-2</v>
      </c>
      <c r="W1302">
        <v>0.15983939999999999</v>
      </c>
      <c r="X1302">
        <v>0.98675049999999997</v>
      </c>
      <c r="Y1302">
        <v>2.8498590000000001E-2</v>
      </c>
      <c r="Z1302">
        <v>-1.4405189999999999E-3</v>
      </c>
      <c r="AA1302">
        <v>0.99959279999999995</v>
      </c>
      <c r="AB1302">
        <v>24</v>
      </c>
      <c r="AC1302">
        <v>-0.55119999999999403</v>
      </c>
      <c r="AD1302">
        <v>-0.199401099999999</v>
      </c>
      <c r="AE1302">
        <v>3.0499999999960802E-2</v>
      </c>
      <c r="AF1302">
        <v>1.75341791012937E-2</v>
      </c>
      <c r="AG1302">
        <v>-0.199401099999999</v>
      </c>
      <c r="AH1302">
        <v>0.48801601361740199</v>
      </c>
      <c r="AI1302">
        <v>112.21176150280699</v>
      </c>
      <c r="AJ1302">
        <v>87.9422755361404</v>
      </c>
      <c r="AK1302">
        <v>0.52747310421005</v>
      </c>
      <c r="AL1302">
        <v>80.802425103434999</v>
      </c>
      <c r="AM1302">
        <v>91.615766936483197</v>
      </c>
      <c r="AN1302">
        <v>0.99999996258778201</v>
      </c>
    </row>
    <row r="1303" spans="1:40" x14ac:dyDescent="0.3">
      <c r="A1303" t="str">
        <f>"20200111150748089"</f>
        <v>20200111150748089</v>
      </c>
      <c r="B1303" t="str">
        <f>"1578726468082461"</f>
        <v>1578726468082461</v>
      </c>
      <c r="C1303" t="s">
        <v>40</v>
      </c>
      <c r="D1303">
        <v>5.4288319999999999</v>
      </c>
      <c r="E1303">
        <v>0.51995690000000006</v>
      </c>
      <c r="F1303" t="s">
        <v>41</v>
      </c>
      <c r="G1303">
        <v>-307.41329999999999</v>
      </c>
      <c r="H1303">
        <v>0.89244789999999996</v>
      </c>
      <c r="I1303">
        <v>283.517</v>
      </c>
      <c r="J1303">
        <v>-306.85390000000001</v>
      </c>
      <c r="K1303">
        <v>1.1102050000000001</v>
      </c>
      <c r="L1303">
        <v>283.4846</v>
      </c>
      <c r="M1303">
        <v>-0.99971659999999996</v>
      </c>
      <c r="N1303">
        <v>0</v>
      </c>
      <c r="O1303">
        <v>1.9811659999999998E-2</v>
      </c>
      <c r="P1303">
        <v>-0.98898920000000001</v>
      </c>
      <c r="Q1303">
        <v>0.1477493</v>
      </c>
      <c r="R1303">
        <v>-8.4114259999999996E-3</v>
      </c>
      <c r="S1303">
        <v>-3.1687620000000001</v>
      </c>
      <c r="T1303">
        <v>-0.90610959999999996</v>
      </c>
      <c r="U1303">
        <v>0.15216060000000001</v>
      </c>
      <c r="V1303">
        <v>-2.7858399999999998E-2</v>
      </c>
      <c r="W1303">
        <v>0.16081889999999999</v>
      </c>
      <c r="X1303">
        <v>0.98659070000000004</v>
      </c>
      <c r="Y1303">
        <v>2.7842599999999999E-2</v>
      </c>
      <c r="Z1303">
        <v>-1.6499220000000001E-3</v>
      </c>
      <c r="AA1303">
        <v>0.99961100000000003</v>
      </c>
      <c r="AB1303">
        <v>24</v>
      </c>
      <c r="AC1303">
        <v>-0.55939999999998202</v>
      </c>
      <c r="AD1303">
        <v>-0.21775709999999901</v>
      </c>
      <c r="AE1303">
        <v>3.2399999999995502E-2</v>
      </c>
      <c r="AF1303">
        <v>1.85139807253724E-2</v>
      </c>
      <c r="AG1303">
        <v>-0.21775709999999901</v>
      </c>
      <c r="AH1303">
        <v>0.48646445279758899</v>
      </c>
      <c r="AI1303">
        <v>114.099362315269</v>
      </c>
      <c r="AJ1303">
        <v>87.82047538226</v>
      </c>
      <c r="AK1303">
        <v>0.53329971490557404</v>
      </c>
      <c r="AL1303">
        <v>80.745568796627595</v>
      </c>
      <c r="AM1303">
        <v>91.617433371525195</v>
      </c>
      <c r="AN1303">
        <v>1.0000000091871299</v>
      </c>
    </row>
    <row r="1304" spans="1:40" x14ac:dyDescent="0.3">
      <c r="A1304" t="str">
        <f>"20200111150748101"</f>
        <v>20200111150748101</v>
      </c>
      <c r="B1304" t="str">
        <f>"1578726468092221"</f>
        <v>1578726468092221</v>
      </c>
      <c r="C1304" t="s">
        <v>40</v>
      </c>
      <c r="D1304">
        <v>5.4241900000000003</v>
      </c>
      <c r="E1304">
        <v>0.52043689999999998</v>
      </c>
      <c r="F1304" t="s">
        <v>41</v>
      </c>
      <c r="G1304">
        <v>-307.63</v>
      </c>
      <c r="H1304">
        <v>0.88929629999999904</v>
      </c>
      <c r="I1304">
        <v>283.52370000000002</v>
      </c>
      <c r="J1304">
        <v>-307.00040000000001</v>
      </c>
      <c r="K1304">
        <v>1.110209</v>
      </c>
      <c r="L1304">
        <v>283.48790000000002</v>
      </c>
      <c r="M1304">
        <v>-0.99970979999999998</v>
      </c>
      <c r="N1304">
        <v>0</v>
      </c>
      <c r="O1304">
        <v>2.013939E-2</v>
      </c>
      <c r="P1304">
        <v>-0.98894800000000005</v>
      </c>
      <c r="Q1304">
        <v>0.148059</v>
      </c>
      <c r="R1304">
        <v>-7.7449550000000004E-3</v>
      </c>
      <c r="S1304">
        <v>-3.169556</v>
      </c>
      <c r="T1304">
        <v>-0.90226139999999999</v>
      </c>
      <c r="U1304">
        <v>0.1591187</v>
      </c>
      <c r="V1304">
        <v>-2.7515930000000001E-2</v>
      </c>
      <c r="W1304">
        <v>0.16112670000000001</v>
      </c>
      <c r="X1304">
        <v>0.98655009999999999</v>
      </c>
      <c r="Y1304">
        <v>2.9636780000000001E-2</v>
      </c>
      <c r="Z1304">
        <v>-1.48382299999999E-3</v>
      </c>
      <c r="AA1304">
        <v>0.99955959999999999</v>
      </c>
      <c r="AB1304">
        <v>24</v>
      </c>
      <c r="AC1304">
        <v>-0.62959999999998195</v>
      </c>
      <c r="AD1304">
        <v>-0.22091269999999999</v>
      </c>
      <c r="AE1304">
        <v>3.5799999999994697E-2</v>
      </c>
      <c r="AF1304">
        <v>2.05856322430314E-2</v>
      </c>
      <c r="AG1304">
        <v>-0.22091269999999999</v>
      </c>
      <c r="AH1304">
        <v>0.56131019441435304</v>
      </c>
      <c r="AI1304">
        <v>111.469801527486</v>
      </c>
      <c r="AJ1304">
        <v>87.899661384718399</v>
      </c>
      <c r="AK1304">
        <v>0.60356882261231304</v>
      </c>
      <c r="AL1304">
        <v>80.727700227249898</v>
      </c>
      <c r="AM1304">
        <v>91.597625953889406</v>
      </c>
      <c r="AN1304">
        <v>1.0000000198333301</v>
      </c>
    </row>
    <row r="1305" spans="1:40" x14ac:dyDescent="0.3">
      <c r="A1305" t="str">
        <f>"20200111150748115"</f>
        <v>20200111150748115</v>
      </c>
      <c r="B1305" t="str">
        <f>"1578726468112716"</f>
        <v>1578726468112716</v>
      </c>
      <c r="C1305" t="s">
        <v>40</v>
      </c>
      <c r="D1305">
        <v>5.3827910000000001</v>
      </c>
      <c r="E1305">
        <v>0.52018929999999997</v>
      </c>
      <c r="F1305" t="s">
        <v>41</v>
      </c>
      <c r="G1305">
        <v>-307.84019999999998</v>
      </c>
      <c r="H1305">
        <v>0.87220689999999901</v>
      </c>
      <c r="I1305">
        <v>283.5317</v>
      </c>
      <c r="J1305">
        <v>-307.14460000000003</v>
      </c>
      <c r="K1305">
        <v>1.1102129999999999</v>
      </c>
      <c r="L1305">
        <v>283.49110000000002</v>
      </c>
      <c r="M1305">
        <v>-0.99970349999999997</v>
      </c>
      <c r="N1305">
        <v>0</v>
      </c>
      <c r="O1305">
        <v>2.0461750000000001E-2</v>
      </c>
      <c r="P1305">
        <v>-0.98893710000000001</v>
      </c>
      <c r="Q1305">
        <v>0.14814550000000001</v>
      </c>
      <c r="R1305">
        <v>-7.5393709999999996E-3</v>
      </c>
      <c r="S1305">
        <v>-3.1692499999999999</v>
      </c>
      <c r="T1305">
        <v>-0.89804409999999901</v>
      </c>
      <c r="U1305">
        <v>0.16418460000000001</v>
      </c>
      <c r="V1305">
        <v>-2.762891E-2</v>
      </c>
      <c r="W1305">
        <v>0.161213299999999</v>
      </c>
      <c r="X1305">
        <v>0.98653270000000004</v>
      </c>
      <c r="Y1305">
        <v>3.0880129999999999E-2</v>
      </c>
      <c r="Z1305">
        <v>-1.3940529999999999E-3</v>
      </c>
      <c r="AA1305">
        <v>0.99952209999999997</v>
      </c>
      <c r="AB1305">
        <v>24</v>
      </c>
      <c r="AC1305">
        <v>-0.69559999999995603</v>
      </c>
      <c r="AD1305">
        <v>-0.2380061</v>
      </c>
      <c r="AE1305">
        <v>4.0599999999983503E-2</v>
      </c>
      <c r="AF1305">
        <v>2.36031529878208E-2</v>
      </c>
      <c r="AG1305">
        <v>-0.2380061</v>
      </c>
      <c r="AH1305">
        <v>0.62353396271580896</v>
      </c>
      <c r="AI1305">
        <v>110.878448159367</v>
      </c>
      <c r="AJ1305">
        <v>87.832169943514003</v>
      </c>
      <c r="AK1305">
        <v>0.66783127744083404</v>
      </c>
      <c r="AL1305">
        <v>80.722671812245096</v>
      </c>
      <c r="AM1305">
        <v>91.604210640724204</v>
      </c>
      <c r="AN1305">
        <v>0.99999992646698099</v>
      </c>
    </row>
    <row r="1306" spans="1:40" x14ac:dyDescent="0.3">
      <c r="A1306" t="str">
        <f>"20200111150748133"</f>
        <v>20200111150748133</v>
      </c>
      <c r="B1306" t="str">
        <f>"1578726468122476"</f>
        <v>1578726468122476</v>
      </c>
      <c r="C1306" t="s">
        <v>40</v>
      </c>
      <c r="D1306">
        <v>5.4063049999999997</v>
      </c>
      <c r="E1306">
        <v>0.51996500000000001</v>
      </c>
      <c r="F1306" t="s">
        <v>41</v>
      </c>
      <c r="G1306">
        <v>-307.8562</v>
      </c>
      <c r="H1306">
        <v>0.90822700000000001</v>
      </c>
      <c r="I1306">
        <v>283.52800000000002</v>
      </c>
      <c r="J1306">
        <v>-307.33929999999998</v>
      </c>
      <c r="K1306">
        <v>1.110222</v>
      </c>
      <c r="L1306">
        <v>283.49560000000002</v>
      </c>
      <c r="M1306">
        <v>-0.99969439999999998</v>
      </c>
      <c r="N1306">
        <v>0</v>
      </c>
      <c r="O1306">
        <v>2.089628E-2</v>
      </c>
      <c r="P1306">
        <v>-0.98896470000000003</v>
      </c>
      <c r="Q1306">
        <v>0.14796419999999999</v>
      </c>
      <c r="R1306">
        <v>-7.4529490000000004E-3</v>
      </c>
      <c r="S1306">
        <v>-3.1695859999999998</v>
      </c>
      <c r="T1306">
        <v>-0.89953150000000004</v>
      </c>
      <c r="U1306">
        <v>0.162933299999999</v>
      </c>
      <c r="V1306">
        <v>-2.7973609999999999E-2</v>
      </c>
      <c r="W1306">
        <v>0.16103439999999999</v>
      </c>
      <c r="X1306">
        <v>0.98655230000000005</v>
      </c>
      <c r="Y1306">
        <v>3.0093499999999999E-2</v>
      </c>
      <c r="Z1306">
        <v>-1.6263619999999999E-3</v>
      </c>
      <c r="AA1306">
        <v>0.99954580000000004</v>
      </c>
      <c r="AB1306">
        <v>24</v>
      </c>
      <c r="AC1306">
        <v>-0.51690000000002101</v>
      </c>
      <c r="AD1306">
        <v>-0.20199500000000001</v>
      </c>
      <c r="AE1306">
        <v>3.2399999999995502E-2</v>
      </c>
      <c r="AF1306">
        <v>1.8740090810015101E-2</v>
      </c>
      <c r="AG1306">
        <v>-0.20199500000000001</v>
      </c>
      <c r="AH1306">
        <v>0.44914378364583002</v>
      </c>
      <c r="AI1306">
        <v>114.19641090095899</v>
      </c>
      <c r="AJ1306">
        <v>87.610774728392997</v>
      </c>
      <c r="AK1306">
        <v>0.49283192816239102</v>
      </c>
      <c r="AL1306">
        <v>80.733058609643095</v>
      </c>
      <c r="AM1306">
        <v>91.624181966618806</v>
      </c>
      <c r="AN1306">
        <v>1.0000000207375399</v>
      </c>
    </row>
    <row r="1307" spans="1:40" x14ac:dyDescent="0.3">
      <c r="A1307" t="str">
        <f>"20200111150748154"</f>
        <v>20200111150748154</v>
      </c>
      <c r="B1307" t="str">
        <f>"1578726468141996"</f>
        <v>1578726468141996</v>
      </c>
      <c r="C1307" t="s">
        <v>40</v>
      </c>
      <c r="D1307">
        <v>5.3717079999999999</v>
      </c>
      <c r="E1307">
        <v>0.5194957</v>
      </c>
      <c r="F1307" t="s">
        <v>41</v>
      </c>
      <c r="G1307">
        <v>-308.07139999999998</v>
      </c>
      <c r="H1307">
        <v>0.90220999999999996</v>
      </c>
      <c r="I1307">
        <v>283.53320000000002</v>
      </c>
      <c r="J1307">
        <v>-307.5675</v>
      </c>
      <c r="K1307">
        <v>1.110222</v>
      </c>
      <c r="L1307">
        <v>283.50099999999998</v>
      </c>
      <c r="M1307">
        <v>-0.99968369999999995</v>
      </c>
      <c r="N1307">
        <v>0</v>
      </c>
      <c r="O1307">
        <v>2.1404309999999999E-2</v>
      </c>
      <c r="P1307">
        <v>-0.9889694</v>
      </c>
      <c r="Q1307">
        <v>0.14788219999999999</v>
      </c>
      <c r="R1307">
        <v>-8.3951819999999993E-3</v>
      </c>
      <c r="S1307">
        <v>-3.169403</v>
      </c>
      <c r="T1307">
        <v>-0.90046669999999995</v>
      </c>
      <c r="U1307">
        <v>0.16201779999999999</v>
      </c>
      <c r="V1307">
        <v>-2.9418630000000001E-2</v>
      </c>
      <c r="W1307">
        <v>0.16095680000000001</v>
      </c>
      <c r="X1307">
        <v>0.98652289999999998</v>
      </c>
      <c r="Y1307">
        <v>2.9349170000000001E-2</v>
      </c>
      <c r="Z1307">
        <v>-1.873116E-3</v>
      </c>
      <c r="AA1307">
        <v>0.99956739999999999</v>
      </c>
      <c r="AB1307">
        <v>24</v>
      </c>
      <c r="AC1307">
        <v>-0.50389999999998702</v>
      </c>
      <c r="AD1307">
        <v>-0.208012</v>
      </c>
      <c r="AE1307">
        <v>3.2200000000045699E-2</v>
      </c>
      <c r="AF1307">
        <v>1.8300238555356601E-2</v>
      </c>
      <c r="AG1307">
        <v>-0.208012</v>
      </c>
      <c r="AH1307">
        <v>0.43127953895952198</v>
      </c>
      <c r="AI1307">
        <v>115.728487627522</v>
      </c>
      <c r="AJ1307">
        <v>87.570258444647706</v>
      </c>
      <c r="AK1307">
        <v>0.47917213149380999</v>
      </c>
      <c r="AL1307">
        <v>80.737563238510802</v>
      </c>
      <c r="AM1307">
        <v>91.708083986423802</v>
      </c>
      <c r="AN1307">
        <v>0.99999998974086302</v>
      </c>
    </row>
    <row r="1308" spans="1:40" x14ac:dyDescent="0.3">
      <c r="A1308" t="str">
        <f>"20200111150748167"</f>
        <v>20200111150748167</v>
      </c>
      <c r="B1308" t="str">
        <f>"1578726468162493"</f>
        <v>1578726468162493</v>
      </c>
      <c r="C1308" t="s">
        <v>40</v>
      </c>
      <c r="D1308">
        <v>5.3268000000000004</v>
      </c>
      <c r="E1308">
        <v>0.52021110000000004</v>
      </c>
      <c r="F1308" t="s">
        <v>41</v>
      </c>
      <c r="G1308">
        <v>-308.28989999999999</v>
      </c>
      <c r="H1308">
        <v>0.90409609999999996</v>
      </c>
      <c r="I1308">
        <v>283.5369</v>
      </c>
      <c r="J1308">
        <v>-307.7115</v>
      </c>
      <c r="K1308">
        <v>1.110222</v>
      </c>
      <c r="L1308">
        <v>283.50439999999998</v>
      </c>
      <c r="M1308">
        <v>-0.99967680000000003</v>
      </c>
      <c r="N1308">
        <v>0</v>
      </c>
      <c r="O1308">
        <v>2.1724299999999998E-2</v>
      </c>
      <c r="P1308">
        <v>-0.98899020000000004</v>
      </c>
      <c r="Q1308">
        <v>0.1477347</v>
      </c>
      <c r="R1308">
        <v>-8.5577829999999994E-3</v>
      </c>
      <c r="S1308">
        <v>-3.1700439999999999</v>
      </c>
      <c r="T1308">
        <v>-0.90461230000000004</v>
      </c>
      <c r="U1308">
        <v>0.15618899999999999</v>
      </c>
      <c r="V1308">
        <v>-2.9897750000000001E-2</v>
      </c>
      <c r="W1308">
        <v>0.16081139999999999</v>
      </c>
      <c r="X1308">
        <v>0.98653219999999997</v>
      </c>
      <c r="Y1308">
        <v>2.7277969999999999E-2</v>
      </c>
      <c r="Z1308">
        <v>-2.260172E-3</v>
      </c>
      <c r="AA1308">
        <v>0.99962530000000005</v>
      </c>
      <c r="AB1308">
        <v>24</v>
      </c>
      <c r="AC1308">
        <v>-0.57839999999998704</v>
      </c>
      <c r="AD1308">
        <v>-0.2061259</v>
      </c>
      <c r="AE1308">
        <v>3.2500000000027202E-2</v>
      </c>
      <c r="AF1308">
        <v>1.7686728130427799E-2</v>
      </c>
      <c r="AG1308">
        <v>-0.2061259</v>
      </c>
      <c r="AH1308">
        <v>0.51390795367764897</v>
      </c>
      <c r="AI1308">
        <v>111.843758658293</v>
      </c>
      <c r="AJ1308">
        <v>88.028878424931605</v>
      </c>
      <c r="AK1308">
        <v>0.553987447381182</v>
      </c>
      <c r="AL1308">
        <v>80.746003925393595</v>
      </c>
      <c r="AM1308">
        <v>91.735869080088406</v>
      </c>
      <c r="AN1308">
        <v>0.99999998173093096</v>
      </c>
    </row>
    <row r="1309" spans="1:40" x14ac:dyDescent="0.3">
      <c r="A1309" t="str">
        <f>"20200111150748180"</f>
        <v>20200111150748180</v>
      </c>
      <c r="B1309" t="str">
        <f>"1578726468172252"</f>
        <v>1578726468172252</v>
      </c>
      <c r="C1309" t="s">
        <v>40</v>
      </c>
      <c r="D1309">
        <v>5.4562109999999997</v>
      </c>
      <c r="E1309">
        <v>0.52034590000000003</v>
      </c>
      <c r="F1309" t="s">
        <v>41</v>
      </c>
      <c r="G1309">
        <v>-308.4991</v>
      </c>
      <c r="H1309">
        <v>0.88607669999999905</v>
      </c>
      <c r="I1309">
        <v>283.54450000000003</v>
      </c>
      <c r="J1309">
        <v>-307.8535</v>
      </c>
      <c r="K1309">
        <v>1.110225</v>
      </c>
      <c r="L1309">
        <v>283.50779999999997</v>
      </c>
      <c r="M1309">
        <v>-0.99966980000000005</v>
      </c>
      <c r="N1309">
        <v>0</v>
      </c>
      <c r="O1309">
        <v>2.2039400000000001E-2</v>
      </c>
      <c r="P1309">
        <v>-0.9890333</v>
      </c>
      <c r="Q1309">
        <v>0.147426</v>
      </c>
      <c r="R1309">
        <v>-8.8657900000000001E-3</v>
      </c>
      <c r="S1309">
        <v>-3.1695250000000001</v>
      </c>
      <c r="T1309">
        <v>-0.90197499999999997</v>
      </c>
      <c r="U1309">
        <v>0.1608887</v>
      </c>
      <c r="V1309">
        <v>-3.0518340000000001E-2</v>
      </c>
      <c r="W1309">
        <v>0.16050639999999999</v>
      </c>
      <c r="X1309">
        <v>0.98656290000000002</v>
      </c>
      <c r="Y1309">
        <v>2.8417979999999999E-2</v>
      </c>
      <c r="Z1309">
        <v>-2.1829699999999998E-3</v>
      </c>
      <c r="AA1309">
        <v>0.99959370000000003</v>
      </c>
      <c r="AB1309">
        <v>24</v>
      </c>
      <c r="AC1309">
        <v>-0.64560000000000095</v>
      </c>
      <c r="AD1309">
        <v>-0.22414829999999999</v>
      </c>
      <c r="AE1309">
        <v>3.6700000000053003E-2</v>
      </c>
      <c r="AF1309">
        <v>2.00518685238616E-2</v>
      </c>
      <c r="AG1309">
        <v>-0.22414829999999999</v>
      </c>
      <c r="AH1309">
        <v>0.57693081762545695</v>
      </c>
      <c r="AI1309">
        <v>111.220397483352</v>
      </c>
      <c r="AJ1309">
        <v>88.009423098854299</v>
      </c>
      <c r="AK1309">
        <v>0.61926868655710898</v>
      </c>
      <c r="AL1309">
        <v>80.763709435470005</v>
      </c>
      <c r="AM1309">
        <v>91.771822816594096</v>
      </c>
      <c r="AN1309">
        <v>1.0000000145868599</v>
      </c>
    </row>
    <row r="1310" spans="1:40" x14ac:dyDescent="0.3">
      <c r="A1310" t="str">
        <f>"20200111150748191"</f>
        <v>20200111150748191</v>
      </c>
      <c r="B1310" t="str">
        <f>"1578726468182989"</f>
        <v>1578726468182989</v>
      </c>
      <c r="C1310" t="s">
        <v>40</v>
      </c>
      <c r="D1310">
        <v>5.3943459999999996</v>
      </c>
      <c r="E1310">
        <v>0.52046130000000002</v>
      </c>
      <c r="F1310" t="s">
        <v>41</v>
      </c>
      <c r="G1310">
        <v>-308.70780000000002</v>
      </c>
      <c r="H1310">
        <v>0.86697649999999904</v>
      </c>
      <c r="I1310">
        <v>283.5514</v>
      </c>
      <c r="J1310">
        <v>-307.98410000000001</v>
      </c>
      <c r="K1310">
        <v>1.1102270000000001</v>
      </c>
      <c r="L1310">
        <v>283.51100000000002</v>
      </c>
      <c r="M1310">
        <v>-0.99966339999999998</v>
      </c>
      <c r="N1310">
        <v>0</v>
      </c>
      <c r="O1310">
        <v>2.2329419999999999E-2</v>
      </c>
      <c r="P1310">
        <v>-0.98897860000000004</v>
      </c>
      <c r="Q1310">
        <v>0.14779629999999999</v>
      </c>
      <c r="R1310">
        <v>-8.8148859999999992E-3</v>
      </c>
      <c r="S1310">
        <v>-3.1692200000000001</v>
      </c>
      <c r="T1310">
        <v>-0.90233810000000003</v>
      </c>
      <c r="U1310">
        <v>0.16067500000000001</v>
      </c>
      <c r="V1310">
        <v>-3.0753079999999999E-2</v>
      </c>
      <c r="W1310">
        <v>0.1608782</v>
      </c>
      <c r="X1310">
        <v>0.98649500000000001</v>
      </c>
      <c r="Y1310">
        <v>2.8089909999999999E-2</v>
      </c>
      <c r="Z1310">
        <v>-2.3106730000000001E-3</v>
      </c>
      <c r="AA1310">
        <v>0.99960269999999996</v>
      </c>
      <c r="AB1310">
        <v>24</v>
      </c>
      <c r="AC1310">
        <v>-0.723700000000007</v>
      </c>
      <c r="AD1310">
        <v>-0.24325050000000001</v>
      </c>
      <c r="AE1310">
        <v>4.0400000000033701E-2</v>
      </c>
      <c r="AF1310">
        <v>2.1776151071524901E-2</v>
      </c>
      <c r="AG1310">
        <v>-0.24325050000000001</v>
      </c>
      <c r="AH1310">
        <v>0.65109178752554497</v>
      </c>
      <c r="AI1310">
        <v>110.475391688245</v>
      </c>
      <c r="AJ1310">
        <v>88.084422712343596</v>
      </c>
      <c r="AK1310">
        <v>0.69538875622844898</v>
      </c>
      <c r="AL1310">
        <v>80.742125930507697</v>
      </c>
      <c r="AM1310">
        <v>91.7855652914389</v>
      </c>
      <c r="AN1310">
        <v>0.99999996609486197</v>
      </c>
    </row>
    <row r="1311" spans="1:40" x14ac:dyDescent="0.3">
      <c r="A1311" t="str">
        <f>"20200111150748211"</f>
        <v>20200111150748211</v>
      </c>
      <c r="B1311" t="str">
        <f>"1578726468202508"</f>
        <v>1578726468202508</v>
      </c>
      <c r="C1311" t="s">
        <v>40</v>
      </c>
      <c r="D1311">
        <v>5.4509650000000001</v>
      </c>
      <c r="E1311">
        <v>0.52075499999999997</v>
      </c>
      <c r="F1311" t="s">
        <v>41</v>
      </c>
      <c r="G1311">
        <v>-308.72269999999997</v>
      </c>
      <c r="H1311">
        <v>0.90046579999999998</v>
      </c>
      <c r="I1311">
        <v>283.5487</v>
      </c>
      <c r="J1311">
        <v>-308.18759999999997</v>
      </c>
      <c r="K1311">
        <v>1.1102299999999901</v>
      </c>
      <c r="L1311">
        <v>283.51609999999999</v>
      </c>
      <c r="M1311">
        <v>-0.99965300000000001</v>
      </c>
      <c r="N1311">
        <v>0</v>
      </c>
      <c r="O1311">
        <v>2.2781719999999998E-2</v>
      </c>
      <c r="P1311">
        <v>-0.98895860000000002</v>
      </c>
      <c r="Q1311">
        <v>0.14789189999999999</v>
      </c>
      <c r="R1311">
        <v>-9.420332E-3</v>
      </c>
      <c r="S1311">
        <v>-3.1693730000000002</v>
      </c>
      <c r="T1311">
        <v>-0.90019740000000004</v>
      </c>
      <c r="U1311">
        <v>0.16091920000000001</v>
      </c>
      <c r="V1311">
        <v>-3.1804819999999998E-2</v>
      </c>
      <c r="W1311">
        <v>0.16097800000000001</v>
      </c>
      <c r="X1311">
        <v>0.98644540000000003</v>
      </c>
      <c r="Y1311">
        <v>2.774453E-2</v>
      </c>
      <c r="Z1311">
        <v>-2.4792059999999999E-3</v>
      </c>
      <c r="AA1311">
        <v>0.99961199999999995</v>
      </c>
      <c r="AB1311">
        <v>24</v>
      </c>
      <c r="AC1311">
        <v>-0.53509999999999902</v>
      </c>
      <c r="AD1311">
        <v>-0.20976419999999901</v>
      </c>
      <c r="AE1311">
        <v>3.26000000000021E-2</v>
      </c>
      <c r="AF1311">
        <v>1.7691370233533201E-2</v>
      </c>
      <c r="AG1311">
        <v>-0.20976419999999901</v>
      </c>
      <c r="AH1311">
        <v>0.46457585934177198</v>
      </c>
      <c r="AI1311">
        <v>114.284449925941</v>
      </c>
      <c r="AJ1311">
        <v>87.819190816144598</v>
      </c>
      <c r="AK1311">
        <v>0.51004385425718601</v>
      </c>
      <c r="AL1311">
        <v>80.736332569321604</v>
      </c>
      <c r="AM1311">
        <v>91.846681939824904</v>
      </c>
      <c r="AN1311">
        <v>0.99999999512019599</v>
      </c>
    </row>
    <row r="1312" spans="1:40" x14ac:dyDescent="0.3">
      <c r="A1312" t="str">
        <f>"20200111150748225"</f>
        <v>20200111150748225</v>
      </c>
      <c r="B1312" t="str">
        <f>"1578726468222029"</f>
        <v>1578726468222029</v>
      </c>
      <c r="C1312" t="s">
        <v>40</v>
      </c>
      <c r="D1312">
        <v>5.4661499999999998</v>
      </c>
      <c r="E1312">
        <v>0.52086350000000003</v>
      </c>
      <c r="F1312" t="s">
        <v>41</v>
      </c>
      <c r="G1312">
        <v>-308.93860000000001</v>
      </c>
      <c r="H1312">
        <v>0.89798049999999996</v>
      </c>
      <c r="I1312">
        <v>283.55439999999999</v>
      </c>
      <c r="J1312">
        <v>-308.33620000000002</v>
      </c>
      <c r="K1312">
        <v>1.1102240000000001</v>
      </c>
      <c r="L1312">
        <v>283.51990000000001</v>
      </c>
      <c r="M1312">
        <v>-0.99964549999999996</v>
      </c>
      <c r="N1312">
        <v>0</v>
      </c>
      <c r="O1312">
        <v>2.311231E-2</v>
      </c>
      <c r="P1312">
        <v>-0.98900960000000004</v>
      </c>
      <c r="Q1312">
        <v>0.1475156</v>
      </c>
      <c r="R1312">
        <v>-9.956543E-3</v>
      </c>
      <c r="S1312">
        <v>-3.1689759999999998</v>
      </c>
      <c r="T1312">
        <v>-0.89552809999999905</v>
      </c>
      <c r="U1312">
        <v>0.16052249999999901</v>
      </c>
      <c r="V1312">
        <v>-3.266902E-2</v>
      </c>
      <c r="W1312">
        <v>0.16060529999999901</v>
      </c>
      <c r="X1312">
        <v>0.98647790000000002</v>
      </c>
      <c r="Y1312">
        <v>2.7326639999999999E-2</v>
      </c>
      <c r="Z1312">
        <v>-2.6165519999999999E-3</v>
      </c>
      <c r="AA1312">
        <v>0.99962309999999999</v>
      </c>
      <c r="AB1312">
        <v>24</v>
      </c>
      <c r="AC1312">
        <v>-0.60239999999998795</v>
      </c>
      <c r="AD1312">
        <v>-0.212243499999999</v>
      </c>
      <c r="AE1312">
        <v>3.4499999999979901E-2</v>
      </c>
      <c r="AF1312">
        <v>1.8302173798781199E-2</v>
      </c>
      <c r="AG1312">
        <v>-0.212243499999999</v>
      </c>
      <c r="AH1312">
        <v>0.53663801522549304</v>
      </c>
      <c r="AI1312">
        <v>111.567701831603</v>
      </c>
      <c r="AJ1312">
        <v>88.046670217403204</v>
      </c>
      <c r="AK1312">
        <v>0.57737564223230597</v>
      </c>
      <c r="AL1312">
        <v>80.757968148028894</v>
      </c>
      <c r="AM1312">
        <v>91.896761331374293</v>
      </c>
      <c r="AN1312">
        <v>0.99999998722213002</v>
      </c>
    </row>
    <row r="1313" spans="1:40" x14ac:dyDescent="0.3">
      <c r="A1313" t="str">
        <f>"20200111150748238"</f>
        <v>20200111150748238</v>
      </c>
      <c r="B1313" t="str">
        <f>"1578726468232765"</f>
        <v>1578726468232765</v>
      </c>
      <c r="C1313" t="s">
        <v>40</v>
      </c>
      <c r="D1313">
        <v>5.4207839999999896</v>
      </c>
      <c r="E1313">
        <v>0.52129429999999999</v>
      </c>
      <c r="F1313" t="s">
        <v>41</v>
      </c>
      <c r="G1313">
        <v>-309.14769999999999</v>
      </c>
      <c r="H1313">
        <v>0.880648599999999</v>
      </c>
      <c r="I1313">
        <v>283.56110000000001</v>
      </c>
      <c r="J1313">
        <v>-308.48759999999999</v>
      </c>
      <c r="K1313">
        <v>1.110223</v>
      </c>
      <c r="L1313">
        <v>283.52370000000002</v>
      </c>
      <c r="M1313">
        <v>-0.99963760000000002</v>
      </c>
      <c r="N1313">
        <v>0</v>
      </c>
      <c r="O1313">
        <v>2.3449339999999999E-2</v>
      </c>
      <c r="P1313">
        <v>-0.9890582</v>
      </c>
      <c r="Q1313">
        <v>0.14714749999999999</v>
      </c>
      <c r="R1313">
        <v>-1.056842E-2</v>
      </c>
      <c r="S1313">
        <v>-3.168701</v>
      </c>
      <c r="T1313">
        <v>-0.89646859999999995</v>
      </c>
      <c r="U1313">
        <v>0.16003419999999999</v>
      </c>
      <c r="V1313">
        <v>-3.3615560000000003E-2</v>
      </c>
      <c r="W1313">
        <v>0.16024099999999999</v>
      </c>
      <c r="X1313">
        <v>0.98650539999999998</v>
      </c>
      <c r="Y1313">
        <v>2.6870990000000001E-2</v>
      </c>
      <c r="Z1313">
        <v>-2.7760240000000002E-3</v>
      </c>
      <c r="AA1313">
        <v>0.99963500000000005</v>
      </c>
      <c r="AB1313">
        <v>24</v>
      </c>
      <c r="AC1313">
        <v>-0.66009999999999902</v>
      </c>
      <c r="AD1313">
        <v>-0.22957440000000001</v>
      </c>
      <c r="AE1313">
        <v>3.7399999999991003E-2</v>
      </c>
      <c r="AF1313">
        <v>1.9552078007246499E-2</v>
      </c>
      <c r="AG1313">
        <v>-0.22957440000000001</v>
      </c>
      <c r="AH1313">
        <v>0.58969644883302197</v>
      </c>
      <c r="AI1313">
        <v>111.260794375796</v>
      </c>
      <c r="AJ1313">
        <v>88.100986848587496</v>
      </c>
      <c r="AK1313">
        <v>0.63311025158027401</v>
      </c>
      <c r="AL1313">
        <v>80.779115415373596</v>
      </c>
      <c r="AM1313">
        <v>91.951621120717704</v>
      </c>
      <c r="AN1313">
        <v>1.0000000440921299</v>
      </c>
    </row>
    <row r="1314" spans="1:40" x14ac:dyDescent="0.3">
      <c r="A1314" t="str">
        <f>"20200111150748255"</f>
        <v>20200111150748255</v>
      </c>
      <c r="B1314" t="str">
        <f>"1578726468252284"</f>
        <v>1578726468252284</v>
      </c>
      <c r="C1314" t="s">
        <v>40</v>
      </c>
      <c r="D1314">
        <v>5.439629</v>
      </c>
      <c r="E1314">
        <v>0.52134219999999998</v>
      </c>
      <c r="F1314" t="s">
        <v>41</v>
      </c>
      <c r="G1314">
        <v>-309.16500000000002</v>
      </c>
      <c r="H1314">
        <v>0.91961009999999999</v>
      </c>
      <c r="I1314">
        <v>283.55860000000001</v>
      </c>
      <c r="J1314">
        <v>-308.66379999999998</v>
      </c>
      <c r="K1314">
        <v>1.1102240000000001</v>
      </c>
      <c r="L1314">
        <v>283.5283</v>
      </c>
      <c r="M1314">
        <v>-0.99962819999999997</v>
      </c>
      <c r="N1314">
        <v>0</v>
      </c>
      <c r="O1314">
        <v>2.3841250000000001E-2</v>
      </c>
      <c r="P1314">
        <v>-0.98912990000000001</v>
      </c>
      <c r="Q1314">
        <v>0.14658119999999999</v>
      </c>
      <c r="R1314">
        <v>-1.16515E-2</v>
      </c>
      <c r="S1314">
        <v>-3.1676030000000002</v>
      </c>
      <c r="T1314">
        <v>-0.89140249999999999</v>
      </c>
      <c r="U1314">
        <v>0.16195680000000001</v>
      </c>
      <c r="V1314">
        <v>-3.5088759999999997E-2</v>
      </c>
      <c r="W1314">
        <v>0.1596794</v>
      </c>
      <c r="X1314">
        <v>0.98654509999999995</v>
      </c>
      <c r="Y1314">
        <v>2.7109069999999999E-2</v>
      </c>
      <c r="Z1314">
        <v>-2.8370270000000002E-3</v>
      </c>
      <c r="AA1314">
        <v>0.99962850000000003</v>
      </c>
      <c r="AB1314">
        <v>24</v>
      </c>
      <c r="AC1314">
        <v>-0.50120000000003895</v>
      </c>
      <c r="AD1314">
        <v>-0.190613899999999</v>
      </c>
      <c r="AE1314">
        <v>3.0300000000010999E-2</v>
      </c>
      <c r="AF1314">
        <v>1.60308537066647E-2</v>
      </c>
      <c r="AG1314">
        <v>-0.190613899999999</v>
      </c>
      <c r="AH1314">
        <v>0.43857559550124797</v>
      </c>
      <c r="AI1314">
        <v>113.476769218619</v>
      </c>
      <c r="AJ1314">
        <v>87.906651576739804</v>
      </c>
      <c r="AK1314">
        <v>0.478475913827487</v>
      </c>
      <c r="AL1314">
        <v>80.811711895890994</v>
      </c>
      <c r="AM1314">
        <v>92.036998351015896</v>
      </c>
      <c r="AN1314">
        <v>0.99999998309835303</v>
      </c>
    </row>
    <row r="1315" spans="1:40" x14ac:dyDescent="0.3">
      <c r="A1315" t="str">
        <f>"20200111150748269"</f>
        <v>20200111150748269</v>
      </c>
      <c r="B1315" t="str">
        <f>"1578726468262046"</f>
        <v>1578726468262046</v>
      </c>
      <c r="C1315" t="s">
        <v>40</v>
      </c>
      <c r="D1315">
        <v>5.418609</v>
      </c>
      <c r="E1315">
        <v>0.52145640000000004</v>
      </c>
      <c r="F1315" t="s">
        <v>41</v>
      </c>
      <c r="G1315">
        <v>-309.37689999999998</v>
      </c>
      <c r="H1315">
        <v>0.90899589999999997</v>
      </c>
      <c r="I1315">
        <v>283.5641</v>
      </c>
      <c r="J1315">
        <v>-308.8229</v>
      </c>
      <c r="K1315">
        <v>1.1102240000000001</v>
      </c>
      <c r="L1315">
        <v>283.53250000000003</v>
      </c>
      <c r="M1315">
        <v>-0.99961990000000001</v>
      </c>
      <c r="N1315">
        <v>0</v>
      </c>
      <c r="O1315">
        <v>2.4193429999999998E-2</v>
      </c>
      <c r="P1315">
        <v>-0.98912650000000002</v>
      </c>
      <c r="Q1315">
        <v>0.14657049999999999</v>
      </c>
      <c r="R1315">
        <v>-1.2088150000000001E-2</v>
      </c>
      <c r="S1315">
        <v>-3.1672669999999998</v>
      </c>
      <c r="T1315">
        <v>-0.89378089999999999</v>
      </c>
      <c r="U1315">
        <v>0.15869140000000001</v>
      </c>
      <c r="V1315">
        <v>-3.5873950000000002E-2</v>
      </c>
      <c r="W1315">
        <v>0.1596677</v>
      </c>
      <c r="X1315">
        <v>0.98651880000000003</v>
      </c>
      <c r="Y1315">
        <v>2.5798359999999999E-2</v>
      </c>
      <c r="Z1315">
        <v>-3.1233570000000002E-3</v>
      </c>
      <c r="AA1315">
        <v>0.9996623</v>
      </c>
      <c r="AB1315">
        <v>24</v>
      </c>
      <c r="AC1315">
        <v>-0.55399999999997296</v>
      </c>
      <c r="AD1315">
        <v>-0.20122809999999899</v>
      </c>
      <c r="AE1315">
        <v>3.1599999999968903E-2</v>
      </c>
      <c r="AF1315">
        <v>1.6072747712282402E-2</v>
      </c>
      <c r="AG1315">
        <v>-0.20122809999999899</v>
      </c>
      <c r="AH1315">
        <v>0.49014514837234202</v>
      </c>
      <c r="AI1315">
        <v>112.30968764120399</v>
      </c>
      <c r="AJ1315">
        <v>88.121840555665997</v>
      </c>
      <c r="AK1315">
        <v>0.53008805676187198</v>
      </c>
      <c r="AL1315">
        <v>80.812391392020103</v>
      </c>
      <c r="AM1315">
        <v>92.082596548110203</v>
      </c>
      <c r="AN1315">
        <v>1.00000002873266</v>
      </c>
    </row>
    <row r="1316" spans="1:40" x14ac:dyDescent="0.3">
      <c r="A1316" t="str">
        <f>"20200111150748282"</f>
        <v>20200111150748282</v>
      </c>
      <c r="B1316" t="str">
        <f>"1578726468272781"</f>
        <v>1578726468272781</v>
      </c>
      <c r="C1316" t="s">
        <v>40</v>
      </c>
      <c r="D1316">
        <v>5.4715879999999997</v>
      </c>
      <c r="E1316">
        <v>0.52153739999999904</v>
      </c>
      <c r="F1316" t="s">
        <v>41</v>
      </c>
      <c r="G1316">
        <v>-309.58679999999998</v>
      </c>
      <c r="H1316">
        <v>0.89437949999999999</v>
      </c>
      <c r="I1316">
        <v>283.57069999999999</v>
      </c>
      <c r="J1316">
        <v>-308.96289999999999</v>
      </c>
      <c r="K1316">
        <v>1.1102259999999999</v>
      </c>
      <c r="L1316">
        <v>283.53620000000001</v>
      </c>
      <c r="M1316">
        <v>-0.99961230000000001</v>
      </c>
      <c r="N1316">
        <v>0</v>
      </c>
      <c r="O1316">
        <v>2.4502530000000002E-2</v>
      </c>
      <c r="P1316">
        <v>-0.98912509999999998</v>
      </c>
      <c r="Q1316">
        <v>0.1465264</v>
      </c>
      <c r="R1316">
        <v>-1.271017E-2</v>
      </c>
      <c r="S1316">
        <v>-3.1675110000000002</v>
      </c>
      <c r="T1316">
        <v>-0.89492929999999904</v>
      </c>
      <c r="U1316">
        <v>0.15789790000000001</v>
      </c>
      <c r="V1316">
        <v>-3.680187E-2</v>
      </c>
      <c r="W1316">
        <v>0.15962009999999999</v>
      </c>
      <c r="X1316">
        <v>0.98649229999999999</v>
      </c>
      <c r="Y1316">
        <v>2.5268220000000001E-2</v>
      </c>
      <c r="Z1316">
        <v>-3.285989E-3</v>
      </c>
      <c r="AA1316">
        <v>0.99967530000000004</v>
      </c>
      <c r="AB1316">
        <v>24</v>
      </c>
      <c r="AC1316">
        <v>-0.62389999999999102</v>
      </c>
      <c r="AD1316">
        <v>-0.215846499999999</v>
      </c>
      <c r="AE1316">
        <v>3.4499999999979901E-2</v>
      </c>
      <c r="AF1316">
        <v>1.7154233464809002E-2</v>
      </c>
      <c r="AG1316">
        <v>-0.215846499999999</v>
      </c>
      <c r="AH1316">
        <v>0.55797704625691502</v>
      </c>
      <c r="AI1316">
        <v>111.139238974544</v>
      </c>
      <c r="AJ1316">
        <v>88.239075062060493</v>
      </c>
      <c r="AK1316">
        <v>0.59851680297014798</v>
      </c>
      <c r="AL1316">
        <v>80.815153892760407</v>
      </c>
      <c r="AM1316">
        <v>92.1364732945745</v>
      </c>
      <c r="AN1316">
        <v>1.0000000059593901</v>
      </c>
    </row>
    <row r="1317" spans="1:40" x14ac:dyDescent="0.3">
      <c r="A1317" t="str">
        <f>"20200111150748312"</f>
        <v>20200111150748312</v>
      </c>
      <c r="B1317" t="str">
        <f>"1578726468302062"</f>
        <v>1578726468302062</v>
      </c>
      <c r="C1317" t="s">
        <v>40</v>
      </c>
      <c r="D1317">
        <v>5.4589499999999997</v>
      </c>
      <c r="E1317">
        <v>0.47362159999999898</v>
      </c>
      <c r="F1317" t="s">
        <v>41</v>
      </c>
      <c r="G1317">
        <v>-309.7946</v>
      </c>
      <c r="H1317">
        <v>0.87512160000000005</v>
      </c>
      <c r="I1317">
        <v>283.57740000000001</v>
      </c>
      <c r="J1317">
        <v>-309.29230000000001</v>
      </c>
      <c r="K1317">
        <v>1.1102379999999901</v>
      </c>
      <c r="L1317">
        <v>283.54520000000002</v>
      </c>
      <c r="M1317">
        <v>-0.9995946</v>
      </c>
      <c r="N1317">
        <v>0</v>
      </c>
      <c r="O1317">
        <v>2.52193E-2</v>
      </c>
      <c r="P1317">
        <v>-0.98903419999999997</v>
      </c>
      <c r="Q1317">
        <v>0.14697289999999999</v>
      </c>
      <c r="R1317">
        <v>-1.4501719999999999E-2</v>
      </c>
      <c r="S1317">
        <v>-3.1676329999999999</v>
      </c>
      <c r="T1317">
        <v>-0.89539959999999996</v>
      </c>
      <c r="U1317">
        <v>0.1564941</v>
      </c>
      <c r="V1317">
        <v>-3.9300979999999999E-2</v>
      </c>
      <c r="W1317">
        <v>0.160055</v>
      </c>
      <c r="X1317">
        <v>0.98632540000000002</v>
      </c>
      <c r="Y1317">
        <v>2.4178089999999999E-2</v>
      </c>
      <c r="Z1317">
        <v>-3.6371120000000001E-3</v>
      </c>
      <c r="AA1317">
        <v>0.99970099999999995</v>
      </c>
      <c r="AB1317">
        <v>24</v>
      </c>
      <c r="AC1317">
        <v>-0.50229999999999098</v>
      </c>
      <c r="AD1317">
        <v>-0.235116399999999</v>
      </c>
      <c r="AE1317">
        <v>3.2199999999988897E-2</v>
      </c>
      <c r="AF1317">
        <v>1.6024434867855E-2</v>
      </c>
      <c r="AG1317">
        <v>-0.235116399999999</v>
      </c>
      <c r="AH1317">
        <v>0.41286453817712898</v>
      </c>
      <c r="AI1317">
        <v>119.641929242166</v>
      </c>
      <c r="AJ1317">
        <v>87.777305186314905</v>
      </c>
      <c r="AK1317">
        <v>0.47538787421011097</v>
      </c>
      <c r="AL1317">
        <v>80.789911204987504</v>
      </c>
      <c r="AM1317">
        <v>92.281792304359598</v>
      </c>
      <c r="AN1317">
        <v>0.99999998236956</v>
      </c>
    </row>
    <row r="1318" spans="1:40" x14ac:dyDescent="0.3">
      <c r="A1318" t="str">
        <f>"20200111150748325"</f>
        <v>20200111150748325</v>
      </c>
      <c r="B1318" t="str">
        <f>"1578726468322556"</f>
        <v>1578726468322556</v>
      </c>
      <c r="C1318" t="s">
        <v>40</v>
      </c>
      <c r="D1318">
        <v>7.3635339999999996</v>
      </c>
      <c r="E1318">
        <v>0.47362159999999898</v>
      </c>
      <c r="F1318" t="s">
        <v>57</v>
      </c>
      <c r="G1318">
        <v>-512.83010000000002</v>
      </c>
      <c r="H1318">
        <v>14.896509999999999</v>
      </c>
      <c r="I1318">
        <v>266.6096</v>
      </c>
      <c r="J1318">
        <v>-309.42160000000001</v>
      </c>
      <c r="K1318">
        <v>1.1102449999999999</v>
      </c>
      <c r="L1318">
        <v>283.5487</v>
      </c>
      <c r="M1318">
        <v>-0.99958769999999997</v>
      </c>
      <c r="N1318">
        <v>0</v>
      </c>
      <c r="O1318">
        <v>2.549775E-2</v>
      </c>
      <c r="P1318">
        <v>-0.98894579999999999</v>
      </c>
      <c r="Q1318">
        <v>0.14750250000000001</v>
      </c>
      <c r="R1318">
        <v>-1.513771E-2</v>
      </c>
      <c r="S1318">
        <v>-2.9994510000000001</v>
      </c>
      <c r="T1318">
        <v>0.20316339999999999</v>
      </c>
      <c r="U1318">
        <v>-0.24957280000000001</v>
      </c>
      <c r="V1318">
        <v>-4.0210370000000002E-2</v>
      </c>
      <c r="W1318">
        <v>0.16058029999999901</v>
      </c>
      <c r="X1318">
        <v>0.98620339999999995</v>
      </c>
      <c r="Y1318">
        <v>-0.1080009</v>
      </c>
      <c r="Z1318">
        <v>5.3697500000000004E-3</v>
      </c>
      <c r="AA1318">
        <v>0.99413629999999997</v>
      </c>
      <c r="AB1318">
        <v>24</v>
      </c>
      <c r="AC1318">
        <v>-203.4085</v>
      </c>
      <c r="AD1318">
        <v>13.786265</v>
      </c>
      <c r="AE1318">
        <v>-16.9390999999999</v>
      </c>
      <c r="AF1318">
        <v>-22.020047838860901</v>
      </c>
      <c r="AG1318">
        <v>13.786265</v>
      </c>
      <c r="AH1318">
        <v>201.98893955641799</v>
      </c>
      <c r="AI1318">
        <v>86.118397462339004</v>
      </c>
      <c r="AJ1318">
        <v>96.221593588971203</v>
      </c>
      <c r="AK1318">
        <v>203.652830357455</v>
      </c>
      <c r="AL1318">
        <v>80.7594197435062</v>
      </c>
      <c r="AM1318">
        <v>92.3348216848552</v>
      </c>
      <c r="AN1318">
        <v>1.0000000263875899</v>
      </c>
    </row>
    <row r="1319" spans="1:40" x14ac:dyDescent="0.3">
      <c r="A1319" t="str">
        <f>"20200111150748337"</f>
        <v>20200111150748337</v>
      </c>
      <c r="B1319" t="str">
        <f>"1578726468332317"</f>
        <v>1578726468332317</v>
      </c>
      <c r="C1319" t="s">
        <v>40</v>
      </c>
      <c r="D1319">
        <v>4.7083069999999996</v>
      </c>
      <c r="E1319">
        <v>0.46964790000000001</v>
      </c>
      <c r="F1319" t="s">
        <v>57</v>
      </c>
      <c r="G1319">
        <v>-512.83010000000002</v>
      </c>
      <c r="H1319">
        <v>14.99588</v>
      </c>
      <c r="I1319">
        <v>266.49160000000001</v>
      </c>
      <c r="J1319">
        <v>-309.553</v>
      </c>
      <c r="K1319">
        <v>1.110249</v>
      </c>
      <c r="L1319">
        <v>283.55239999999998</v>
      </c>
      <c r="M1319">
        <v>-0.99958049999999998</v>
      </c>
      <c r="N1319">
        <v>0</v>
      </c>
      <c r="O1319">
        <v>2.577977E-2</v>
      </c>
      <c r="P1319">
        <v>-0.98885339999999999</v>
      </c>
      <c r="Q1319">
        <v>0.14808170000000001</v>
      </c>
      <c r="R1319">
        <v>-1.5515579999999999E-2</v>
      </c>
      <c r="S1319">
        <v>-2.9991150000000002</v>
      </c>
      <c r="T1319">
        <v>0.20473479999999999</v>
      </c>
      <c r="U1319">
        <v>-0.25149539999999998</v>
      </c>
      <c r="V1319">
        <v>-4.0864839999999999E-2</v>
      </c>
      <c r="W1319">
        <v>0.16115539999999901</v>
      </c>
      <c r="X1319">
        <v>0.98608269999999998</v>
      </c>
      <c r="Y1319">
        <v>-0.108915899999999</v>
      </c>
      <c r="Z1319">
        <v>5.4619940000000004E-3</v>
      </c>
      <c r="AA1319">
        <v>0.99403600000000003</v>
      </c>
      <c r="AB1319">
        <v>24</v>
      </c>
      <c r="AC1319">
        <v>-203.27709999999999</v>
      </c>
      <c r="AD1319">
        <v>13.885631</v>
      </c>
      <c r="AE1319">
        <v>-17.060799999999901</v>
      </c>
      <c r="AF1319">
        <v>-22.1931908854657</v>
      </c>
      <c r="AG1319">
        <v>13.885631</v>
      </c>
      <c r="AH1319">
        <v>201.834473630768</v>
      </c>
      <c r="AI1319">
        <v>86.087921329622503</v>
      </c>
      <c r="AJ1319">
        <v>96.274885999044201</v>
      </c>
      <c r="AK1319">
        <v>203.525190617172</v>
      </c>
      <c r="AL1319">
        <v>80.726034296319298</v>
      </c>
      <c r="AM1319">
        <v>92.373070609377294</v>
      </c>
      <c r="AN1319">
        <v>1.0000000446683299</v>
      </c>
    </row>
    <row r="1320" spans="1:40" x14ac:dyDescent="0.3">
      <c r="A1320" t="str">
        <f>"20200111150748355"</f>
        <v>20200111150748355</v>
      </c>
      <c r="B1320" t="str">
        <f>"1578726468352813"</f>
        <v>1578726468352813</v>
      </c>
      <c r="C1320" t="s">
        <v>40</v>
      </c>
      <c r="D1320">
        <v>5.4412599999999998</v>
      </c>
      <c r="E1320">
        <v>0.4703985</v>
      </c>
      <c r="F1320" t="s">
        <v>59</v>
      </c>
      <c r="G1320">
        <v>-452.4939</v>
      </c>
      <c r="H1320">
        <v>8.4315199999999901</v>
      </c>
      <c r="I1320">
        <v>270.08409999999998</v>
      </c>
      <c r="J1320">
        <v>-309.74889999999999</v>
      </c>
      <c r="K1320">
        <v>1.11026</v>
      </c>
      <c r="L1320">
        <v>283.55790000000002</v>
      </c>
      <c r="M1320">
        <v>-0.99956970000000001</v>
      </c>
      <c r="N1320">
        <v>0</v>
      </c>
      <c r="O1320">
        <v>2.6198989999999998E-2</v>
      </c>
      <c r="P1320">
        <v>-0.98870670000000005</v>
      </c>
      <c r="Q1320">
        <v>0.1489799</v>
      </c>
      <c r="R1320">
        <v>-1.626054E-2</v>
      </c>
      <c r="S1320">
        <v>-3.0063170000000001</v>
      </c>
      <c r="T1320">
        <v>0.15398039999999999</v>
      </c>
      <c r="U1320">
        <v>-0.28326420000000002</v>
      </c>
      <c r="V1320">
        <v>-4.2020469999999997E-2</v>
      </c>
      <c r="W1320">
        <v>0.1620462</v>
      </c>
      <c r="X1320">
        <v>0.98588810000000004</v>
      </c>
      <c r="Y1320">
        <v>-0.1196714</v>
      </c>
      <c r="Z1320">
        <v>4.3944209999999999E-3</v>
      </c>
      <c r="AA1320">
        <v>0.99280380000000001</v>
      </c>
      <c r="AB1320">
        <v>24</v>
      </c>
      <c r="AC1320">
        <v>-142.745</v>
      </c>
      <c r="AD1320">
        <v>7.3212599999999899</v>
      </c>
      <c r="AE1320">
        <v>-13.473800000000001</v>
      </c>
      <c r="AF1320">
        <v>-17.164520828121301</v>
      </c>
      <c r="AG1320">
        <v>7.3212599999999899</v>
      </c>
      <c r="AH1320">
        <v>141.972791950481</v>
      </c>
      <c r="AI1320">
        <v>87.069286819240503</v>
      </c>
      <c r="AJ1320">
        <v>96.893606266392197</v>
      </c>
      <c r="AK1320">
        <v>143.19390796210999</v>
      </c>
      <c r="AL1320">
        <v>80.674315186289704</v>
      </c>
      <c r="AM1320">
        <v>92.440580495347405</v>
      </c>
      <c r="AN1320">
        <v>1.0000000182775299</v>
      </c>
    </row>
    <row r="1321" spans="1:40" x14ac:dyDescent="0.3">
      <c r="A1321" t="str">
        <f>"20200111150748370"</f>
        <v>20200111150748370</v>
      </c>
      <c r="B1321" t="str">
        <f>"1578726468362572"</f>
        <v>1578726468362572</v>
      </c>
      <c r="C1321" t="s">
        <v>40</v>
      </c>
      <c r="D1321">
        <v>5.1410439999999999</v>
      </c>
      <c r="E1321">
        <v>0.46942210000000001</v>
      </c>
      <c r="F1321" t="s">
        <v>59</v>
      </c>
      <c r="G1321">
        <v>-450.81029999999998</v>
      </c>
      <c r="H1321">
        <v>8.5520549999999993</v>
      </c>
      <c r="I1321">
        <v>270.43329999999997</v>
      </c>
      <c r="J1321">
        <v>-309.90170000000001</v>
      </c>
      <c r="K1321">
        <v>1.1102609999999999</v>
      </c>
      <c r="L1321">
        <v>283.56229999999999</v>
      </c>
      <c r="M1321">
        <v>-0.99956109999999998</v>
      </c>
      <c r="N1321">
        <v>0</v>
      </c>
      <c r="O1321">
        <v>2.6525670000000001E-2</v>
      </c>
      <c r="P1321">
        <v>-0.98866960000000004</v>
      </c>
      <c r="Q1321">
        <v>0.1492</v>
      </c>
      <c r="R1321">
        <v>-1.6491599999999999E-2</v>
      </c>
      <c r="S1321">
        <v>-3.0057680000000002</v>
      </c>
      <c r="T1321">
        <v>0.15857170000000001</v>
      </c>
      <c r="U1321">
        <v>-0.2796631</v>
      </c>
      <c r="V1321">
        <v>-4.2574140000000003E-2</v>
      </c>
      <c r="W1321">
        <v>0.16226119999999999</v>
      </c>
      <c r="X1321">
        <v>0.98582890000000001</v>
      </c>
      <c r="Y1321">
        <v>-0.11882280000000001</v>
      </c>
      <c r="Z1321">
        <v>4.5212150000000003E-3</v>
      </c>
      <c r="AA1321">
        <v>0.99290520000000004</v>
      </c>
      <c r="AB1321">
        <v>24</v>
      </c>
      <c r="AC1321">
        <v>-140.90859999999901</v>
      </c>
      <c r="AD1321">
        <v>7.4417939999999998</v>
      </c>
      <c r="AE1321">
        <v>-13.129</v>
      </c>
      <c r="AF1321">
        <v>-16.815900466094899</v>
      </c>
      <c r="AG1321">
        <v>7.4417939999999998</v>
      </c>
      <c r="AH1321">
        <v>140.12325579693999</v>
      </c>
      <c r="AI1321">
        <v>86.981556901398207</v>
      </c>
      <c r="AJ1321">
        <v>96.843220750769802</v>
      </c>
      <c r="AK1321">
        <v>141.32473817969299</v>
      </c>
      <c r="AL1321">
        <v>80.661830613655496</v>
      </c>
      <c r="AM1321">
        <v>92.472846713798006</v>
      </c>
      <c r="AN1321">
        <v>0.99999993724869196</v>
      </c>
    </row>
    <row r="1322" spans="1:40" x14ac:dyDescent="0.3">
      <c r="A1322" t="str">
        <f>"20200111150748383"</f>
        <v>20200111150748383</v>
      </c>
      <c r="B1322" t="str">
        <f>"1578726468372333"</f>
        <v>1578726468372333</v>
      </c>
      <c r="C1322" t="s">
        <v>40</v>
      </c>
      <c r="D1322">
        <v>6.8849770000000001</v>
      </c>
      <c r="E1322">
        <v>0.46942210000000001</v>
      </c>
      <c r="F1322" t="s">
        <v>59</v>
      </c>
      <c r="G1322">
        <v>-448.28190000000001</v>
      </c>
      <c r="H1322">
        <v>7.858619</v>
      </c>
      <c r="I1322">
        <v>270.32499999999999</v>
      </c>
      <c r="J1322">
        <v>-310.04239999999999</v>
      </c>
      <c r="K1322">
        <v>1.1102620000000001</v>
      </c>
      <c r="L1322">
        <v>283.56639999999999</v>
      </c>
      <c r="M1322">
        <v>-0.99955320000000003</v>
      </c>
      <c r="N1322">
        <v>0</v>
      </c>
      <c r="O1322">
        <v>2.6825689999999999E-2</v>
      </c>
      <c r="P1322">
        <v>-0.98870349999999996</v>
      </c>
      <c r="Q1322">
        <v>0.14893629999999999</v>
      </c>
      <c r="R1322">
        <v>-1.6840219999999999E-2</v>
      </c>
      <c r="S1322">
        <v>-3.0074459999999998</v>
      </c>
      <c r="T1322">
        <v>0.14666379999999901</v>
      </c>
      <c r="U1322">
        <v>-0.28768919999999998</v>
      </c>
      <c r="V1322">
        <v>-4.3221460000000003E-2</v>
      </c>
      <c r="W1322">
        <v>0.1619949</v>
      </c>
      <c r="X1322">
        <v>0.98584459999999996</v>
      </c>
      <c r="Y1322">
        <v>-0.1217211</v>
      </c>
      <c r="Z1322">
        <v>4.2643439999999998E-3</v>
      </c>
      <c r="AA1322">
        <v>0.99255519999999997</v>
      </c>
      <c r="AB1322">
        <v>24</v>
      </c>
      <c r="AC1322">
        <v>-138.23949999999999</v>
      </c>
      <c r="AD1322">
        <v>6.7483570000000004</v>
      </c>
      <c r="AE1322">
        <v>-13.241400000000001</v>
      </c>
      <c r="AF1322">
        <v>-16.9054061443173</v>
      </c>
      <c r="AG1322">
        <v>6.7483570000000004</v>
      </c>
      <c r="AH1322">
        <v>137.50978959243599</v>
      </c>
      <c r="AI1322">
        <v>87.211398134550507</v>
      </c>
      <c r="AJ1322">
        <v>97.008754114913899</v>
      </c>
      <c r="AK1322">
        <v>138.70931948812799</v>
      </c>
      <c r="AL1322">
        <v>80.677293725963906</v>
      </c>
      <c r="AM1322">
        <v>92.510357528792497</v>
      </c>
      <c r="AN1322">
        <v>1.00000000878985</v>
      </c>
    </row>
    <row r="1323" spans="1:40" x14ac:dyDescent="0.3">
      <c r="A1323" t="str">
        <f>"20200111150748401"</f>
        <v>20200111150748401</v>
      </c>
      <c r="B1323" t="str">
        <f>"1578726468392832"</f>
        <v>1578726468392832</v>
      </c>
      <c r="C1323" t="s">
        <v>40</v>
      </c>
      <c r="D1323">
        <v>5.3643869999999998</v>
      </c>
      <c r="E1323">
        <v>0.47036670000000003</v>
      </c>
      <c r="F1323" t="s">
        <v>59</v>
      </c>
      <c r="G1323">
        <v>-448.28190000000001</v>
      </c>
      <c r="H1323">
        <v>7.812519</v>
      </c>
      <c r="I1323">
        <v>270.28489999999999</v>
      </c>
      <c r="J1323">
        <v>-310.2423</v>
      </c>
      <c r="K1323">
        <v>1.110258</v>
      </c>
      <c r="L1323">
        <v>283.57220000000001</v>
      </c>
      <c r="M1323">
        <v>-0.99954160000000003</v>
      </c>
      <c r="N1323">
        <v>0</v>
      </c>
      <c r="O1323">
        <v>2.72505E-2</v>
      </c>
      <c r="P1323">
        <v>-0.98876779999999997</v>
      </c>
      <c r="Q1323">
        <v>0.1484337</v>
      </c>
      <c r="R1323">
        <v>-1.748825E-2</v>
      </c>
      <c r="S1323">
        <v>-3.0074160000000001</v>
      </c>
      <c r="T1323">
        <v>0.14580860000000001</v>
      </c>
      <c r="U1323">
        <v>-0.28894039999999999</v>
      </c>
      <c r="V1323">
        <v>-4.4291749999999998E-2</v>
      </c>
      <c r="W1323">
        <v>0.16149469999999999</v>
      </c>
      <c r="X1323">
        <v>0.98587910000000001</v>
      </c>
      <c r="Y1323">
        <v>-0.1225536</v>
      </c>
      <c r="Z1323">
        <v>4.2801360000000004E-3</v>
      </c>
      <c r="AA1323">
        <v>0.99245269999999997</v>
      </c>
      <c r="AB1323">
        <v>24</v>
      </c>
      <c r="AC1323">
        <v>-138.03960000000001</v>
      </c>
      <c r="AD1323">
        <v>6.702261</v>
      </c>
      <c r="AE1323">
        <v>-13.2873</v>
      </c>
      <c r="AF1323">
        <v>-17.004621277797</v>
      </c>
      <c r="AG1323">
        <v>6.702261</v>
      </c>
      <c r="AH1323">
        <v>137.30549716787601</v>
      </c>
      <c r="AI1323">
        <v>87.226606903635897</v>
      </c>
      <c r="AJ1323">
        <v>97.059857623584705</v>
      </c>
      <c r="AK1323">
        <v>138.51670296332901</v>
      </c>
      <c r="AL1323">
        <v>80.706334913762404</v>
      </c>
      <c r="AM1323">
        <v>92.5723489389581</v>
      </c>
      <c r="AN1323">
        <v>0.99999994853148</v>
      </c>
    </row>
    <row r="1324" spans="1:40" x14ac:dyDescent="0.3">
      <c r="A1324" t="str">
        <f>"20200111150748414"</f>
        <v>20200111150748414</v>
      </c>
      <c r="B1324" t="str">
        <f>"1578726468402589"</f>
        <v>1578726468402589</v>
      </c>
      <c r="C1324" t="s">
        <v>40</v>
      </c>
      <c r="D1324">
        <v>5.3665520000000004</v>
      </c>
      <c r="E1324">
        <v>0.47136610000000001</v>
      </c>
      <c r="F1324" t="s">
        <v>59</v>
      </c>
      <c r="G1324">
        <v>-448.87610000000001</v>
      </c>
      <c r="H1324">
        <v>8.6074219999999997</v>
      </c>
      <c r="I1324">
        <v>270.4941</v>
      </c>
      <c r="J1324">
        <v>-310.37869999999998</v>
      </c>
      <c r="K1324">
        <v>1.1102590000000001</v>
      </c>
      <c r="L1324">
        <v>283.5763</v>
      </c>
      <c r="M1324">
        <v>-0.99953369999999997</v>
      </c>
      <c r="N1324">
        <v>0</v>
      </c>
      <c r="O1324">
        <v>2.7539580000000001E-2</v>
      </c>
      <c r="P1324">
        <v>-0.98877619999999999</v>
      </c>
      <c r="Q1324">
        <v>0.14834600000000001</v>
      </c>
      <c r="R1324">
        <v>-1.7757309999999998E-2</v>
      </c>
      <c r="S1324">
        <v>-3.0046689999999998</v>
      </c>
      <c r="T1324">
        <v>0.16248950000000001</v>
      </c>
      <c r="U1324">
        <v>-0.28344730000000001</v>
      </c>
      <c r="V1324">
        <v>-4.4847560000000002E-2</v>
      </c>
      <c r="W1324">
        <v>0.16141</v>
      </c>
      <c r="X1324">
        <v>0.98586790000000002</v>
      </c>
      <c r="Y1324">
        <v>-0.1210878</v>
      </c>
      <c r="Z1324">
        <v>4.7499400000000002E-3</v>
      </c>
      <c r="AA1324">
        <v>0.99263040000000002</v>
      </c>
      <c r="AB1324">
        <v>24</v>
      </c>
      <c r="AC1324">
        <v>-138.4974</v>
      </c>
      <c r="AD1324">
        <v>7.4971629999999996</v>
      </c>
      <c r="AE1324">
        <v>-13.0822</v>
      </c>
      <c r="AF1324">
        <v>-16.842811386428998</v>
      </c>
      <c r="AG1324">
        <v>7.4971629999999996</v>
      </c>
      <c r="AH1324">
        <v>137.68466296313201</v>
      </c>
      <c r="AI1324">
        <v>86.906242555562102</v>
      </c>
      <c r="AJ1324">
        <v>96.974278076697203</v>
      </c>
      <c r="AK1324">
        <v>138.91347725731501</v>
      </c>
      <c r="AL1324">
        <v>80.711252900956595</v>
      </c>
      <c r="AM1324">
        <v>92.604614300641103</v>
      </c>
      <c r="AN1324">
        <v>1.0000000039941801</v>
      </c>
    </row>
    <row r="1325" spans="1:40" x14ac:dyDescent="0.3">
      <c r="A1325" t="str">
        <f>"20200111150748428"</f>
        <v>20200111150748428</v>
      </c>
      <c r="B1325" t="str">
        <f>"1578726468422109"</f>
        <v>1578726468422109</v>
      </c>
      <c r="C1325" t="s">
        <v>40</v>
      </c>
      <c r="D1325">
        <v>5.3653779999999998</v>
      </c>
      <c r="E1325">
        <v>0.47186299999999998</v>
      </c>
      <c r="F1325" t="s">
        <v>57</v>
      </c>
      <c r="G1325">
        <v>-512.82950000000005</v>
      </c>
      <c r="H1325">
        <v>13.164829999999901</v>
      </c>
      <c r="I1325">
        <v>264.92989999999998</v>
      </c>
      <c r="J1325">
        <v>-310.53160000000003</v>
      </c>
      <c r="K1325">
        <v>1.1102639999999999</v>
      </c>
      <c r="L1325">
        <v>283.58089999999999</v>
      </c>
      <c r="M1325">
        <v>-0.99952459999999999</v>
      </c>
      <c r="N1325">
        <v>0</v>
      </c>
      <c r="O1325">
        <v>2.7863530000000001E-2</v>
      </c>
      <c r="P1325">
        <v>-0.98876470000000005</v>
      </c>
      <c r="Q1325">
        <v>0.148383399999999</v>
      </c>
      <c r="R1325">
        <v>-1.8079060000000001E-2</v>
      </c>
      <c r="S1325">
        <v>-3.0022890000000002</v>
      </c>
      <c r="T1325">
        <v>0.178766799999999</v>
      </c>
      <c r="U1325">
        <v>-0.27651979999999998</v>
      </c>
      <c r="V1325">
        <v>-4.5489399999999999E-2</v>
      </c>
      <c r="W1325">
        <v>0.1614505</v>
      </c>
      <c r="X1325">
        <v>0.98583189999999998</v>
      </c>
      <c r="Y1325">
        <v>-0.11916930000000001</v>
      </c>
      <c r="Z1325">
        <v>5.1919230000000002E-3</v>
      </c>
      <c r="AA1325">
        <v>0.99286039999999998</v>
      </c>
      <c r="AB1325">
        <v>24</v>
      </c>
      <c r="AC1325">
        <v>-202.2979</v>
      </c>
      <c r="AD1325">
        <v>12.0545659999999</v>
      </c>
      <c r="AE1325">
        <v>-18.651</v>
      </c>
      <c r="AF1325">
        <v>-24.195792696994499</v>
      </c>
      <c r="AG1325">
        <v>12.0545659999999</v>
      </c>
      <c r="AH1325">
        <v>200.991955871404</v>
      </c>
      <c r="AI1325">
        <v>86.592320322050995</v>
      </c>
      <c r="AJ1325">
        <v>96.864342843340097</v>
      </c>
      <c r="AK1325">
        <v>202.80166486174801</v>
      </c>
      <c r="AL1325">
        <v>80.708901940973803</v>
      </c>
      <c r="AM1325">
        <v>92.641934376221499</v>
      </c>
      <c r="AN1325">
        <v>1.0000000422601001</v>
      </c>
    </row>
    <row r="1326" spans="1:40" x14ac:dyDescent="0.3">
      <c r="A1326" t="str">
        <f>"20200111150748447"</f>
        <v>20200111150748447</v>
      </c>
      <c r="B1326" t="str">
        <f>"1578726468442605"</f>
        <v>1578726468442605</v>
      </c>
      <c r="C1326" t="s">
        <v>40</v>
      </c>
      <c r="D1326">
        <v>6.0391209999999997</v>
      </c>
      <c r="E1326">
        <v>0.47191309999999898</v>
      </c>
      <c r="F1326" t="s">
        <v>57</v>
      </c>
      <c r="G1326">
        <v>-512.83000000000004</v>
      </c>
      <c r="H1326">
        <v>14.51877</v>
      </c>
      <c r="I1326">
        <v>265.1044</v>
      </c>
      <c r="J1326">
        <v>-310.72460000000001</v>
      </c>
      <c r="K1326">
        <v>1.110266</v>
      </c>
      <c r="L1326">
        <v>283.58670000000001</v>
      </c>
      <c r="M1326">
        <v>-0.99951319999999999</v>
      </c>
      <c r="N1326">
        <v>0</v>
      </c>
      <c r="O1326">
        <v>2.8269309999999999E-2</v>
      </c>
      <c r="P1326">
        <v>-0.98882550000000002</v>
      </c>
      <c r="Q1326">
        <v>0.14786759999999999</v>
      </c>
      <c r="R1326">
        <v>-1.8964789999999999E-2</v>
      </c>
      <c r="S1326">
        <v>-2.9992070000000002</v>
      </c>
      <c r="T1326">
        <v>0.19879079999999999</v>
      </c>
      <c r="U1326">
        <v>-0.2739258</v>
      </c>
      <c r="V1326">
        <v>-4.6779479999999998E-2</v>
      </c>
      <c r="W1326">
        <v>0.160938</v>
      </c>
      <c r="X1326">
        <v>0.98585529999999999</v>
      </c>
      <c r="Y1326">
        <v>-0.11875230000000001</v>
      </c>
      <c r="Z1326">
        <v>5.7914389999999998E-3</v>
      </c>
      <c r="AA1326">
        <v>0.99290699999999998</v>
      </c>
      <c r="AB1326">
        <v>24</v>
      </c>
      <c r="AC1326">
        <v>-202.1054</v>
      </c>
      <c r="AD1326">
        <v>13.408504000000001</v>
      </c>
      <c r="AE1326">
        <v>-18.482299999999999</v>
      </c>
      <c r="AF1326">
        <v>-24.0836639747709</v>
      </c>
      <c r="AG1326">
        <v>13.408504000000001</v>
      </c>
      <c r="AH1326">
        <v>200.62634425388401</v>
      </c>
      <c r="AI1326">
        <v>86.203599856150603</v>
      </c>
      <c r="AJ1326">
        <v>96.845167159854498</v>
      </c>
      <c r="AK1326">
        <v>202.511088236288</v>
      </c>
      <c r="AL1326">
        <v>80.738654873581098</v>
      </c>
      <c r="AM1326">
        <v>92.716684575306999</v>
      </c>
      <c r="AN1326">
        <v>1.00000001606558</v>
      </c>
    </row>
    <row r="1327" spans="1:40" x14ac:dyDescent="0.3">
      <c r="A1327" t="str">
        <f>"20200111150748468"</f>
        <v>20200111150748468</v>
      </c>
      <c r="B1327" t="str">
        <f>"1578726468462124"</f>
        <v>1578726468462124</v>
      </c>
      <c r="C1327" t="s">
        <v>40</v>
      </c>
      <c r="D1327">
        <v>8.2603919999999995</v>
      </c>
      <c r="E1327">
        <v>0.4029064</v>
      </c>
      <c r="F1327" t="s">
        <v>57</v>
      </c>
      <c r="G1327">
        <v>-512.83040000000005</v>
      </c>
      <c r="H1327">
        <v>15.99235</v>
      </c>
      <c r="I1327">
        <v>264.92829999999998</v>
      </c>
      <c r="J1327">
        <v>-310.96390000000002</v>
      </c>
      <c r="K1327">
        <v>1.110263</v>
      </c>
      <c r="L1327">
        <v>283.59399999999999</v>
      </c>
      <c r="M1327">
        <v>-0.99949909999999997</v>
      </c>
      <c r="N1327">
        <v>0</v>
      </c>
      <c r="O1327">
        <v>2.8760009999999999E-2</v>
      </c>
      <c r="P1327">
        <v>-0.98901229999999996</v>
      </c>
      <c r="Q1327">
        <v>0.14645929999999999</v>
      </c>
      <c r="R1327">
        <v>-2.010866E-2</v>
      </c>
      <c r="S1327">
        <v>-2.9955750000000001</v>
      </c>
      <c r="T1327">
        <v>0.22058030000000001</v>
      </c>
      <c r="U1327">
        <v>-0.27655030000000003</v>
      </c>
      <c r="V1327">
        <v>-4.8417099999999998E-2</v>
      </c>
      <c r="W1327">
        <v>0.15953489999999901</v>
      </c>
      <c r="X1327">
        <v>0.9860042</v>
      </c>
      <c r="Y1327">
        <v>-0.1201314</v>
      </c>
      <c r="Z1327">
        <v>6.5187369999999897E-3</v>
      </c>
      <c r="AA1327">
        <v>0.99273659999999997</v>
      </c>
      <c r="AB1327">
        <v>24</v>
      </c>
      <c r="AC1327">
        <v>-201.8665</v>
      </c>
      <c r="AD1327">
        <v>14.882087</v>
      </c>
      <c r="AE1327">
        <v>-18.665700000000001</v>
      </c>
      <c r="AF1327">
        <v>-24.3330376025148</v>
      </c>
      <c r="AG1327">
        <v>14.882087</v>
      </c>
      <c r="AH1327">
        <v>200.167423513324</v>
      </c>
      <c r="AI1327">
        <v>85.778945881129204</v>
      </c>
      <c r="AJ1327">
        <v>96.931063068334893</v>
      </c>
      <c r="AK1327">
        <v>202.18944252458701</v>
      </c>
      <c r="AL1327">
        <v>80.820098260866601</v>
      </c>
      <c r="AM1327">
        <v>92.811214230773899</v>
      </c>
      <c r="AN1327">
        <v>0.99999994115402802</v>
      </c>
    </row>
    <row r="1328" spans="1:40" x14ac:dyDescent="0.3">
      <c r="A1328" t="str">
        <f>"20200111150751450"</f>
        <v>20200111150751450</v>
      </c>
      <c r="B1328" t="str">
        <f>"1578726471442321"</f>
        <v>1578726471442321</v>
      </c>
      <c r="C1328" t="s">
        <v>40</v>
      </c>
      <c r="D1328">
        <v>9.0282959999999992</v>
      </c>
      <c r="E1328">
        <v>0.53293690000000005</v>
      </c>
      <c r="F1328" t="s">
        <v>56</v>
      </c>
      <c r="G1328">
        <v>-366.41239999999999</v>
      </c>
      <c r="H1328">
        <v>10.39091</v>
      </c>
      <c r="I1328">
        <v>267.85000000000002</v>
      </c>
      <c r="J1328">
        <v>-343.08690000000001</v>
      </c>
      <c r="K1328">
        <v>1.110336</v>
      </c>
      <c r="L1328">
        <v>284.13170000000002</v>
      </c>
      <c r="M1328">
        <v>-0.99992110000000001</v>
      </c>
      <c r="N1328">
        <v>0</v>
      </c>
      <c r="O1328">
        <v>6.0761779999999998E-3</v>
      </c>
      <c r="P1328">
        <v>-0.98888929999999997</v>
      </c>
      <c r="Q1328">
        <v>0.14365020000000001</v>
      </c>
      <c r="R1328">
        <v>-3.8241249999999997E-2</v>
      </c>
      <c r="S1328">
        <v>-2.9434200000000001</v>
      </c>
      <c r="T1328">
        <v>0.49265680000000001</v>
      </c>
      <c r="U1328">
        <v>-0.83575440000000001</v>
      </c>
      <c r="V1328">
        <v>-4.4272789999999999E-2</v>
      </c>
      <c r="W1328">
        <v>0.15450120000000001</v>
      </c>
      <c r="X1328">
        <v>0.98700019999999999</v>
      </c>
      <c r="Y1328">
        <v>-0.27535690000000002</v>
      </c>
      <c r="Z1328">
        <v>2.3441070000000001E-2</v>
      </c>
      <c r="AA1328">
        <v>0.96105620000000003</v>
      </c>
      <c r="AB1328">
        <v>25</v>
      </c>
      <c r="AC1328">
        <v>-23.325499999999899</v>
      </c>
      <c r="AD1328">
        <v>9.2805739999999997</v>
      </c>
      <c r="AE1328">
        <v>-16.281700000000001</v>
      </c>
      <c r="AF1328">
        <v>-14.8432132014786</v>
      </c>
      <c r="AG1328">
        <v>9.2805739999999997</v>
      </c>
      <c r="AH1328">
        <v>20.991752307570199</v>
      </c>
      <c r="AI1328">
        <v>70.151461019211595</v>
      </c>
      <c r="AJ1328">
        <v>125.264030842837</v>
      </c>
      <c r="AK1328">
        <v>27.3331977063864</v>
      </c>
      <c r="AL1328">
        <v>81.1121317846426</v>
      </c>
      <c r="AM1328">
        <v>92.568332588199894</v>
      </c>
      <c r="AN1328">
        <v>1.0000000477679301</v>
      </c>
    </row>
    <row r="1329" spans="1:40" x14ac:dyDescent="0.3">
      <c r="A1329" t="str">
        <f>"20200111150751483"</f>
        <v>20200111150751483</v>
      </c>
      <c r="B1329" t="str">
        <f>"1578726471472577"</f>
        <v>1578726471472577</v>
      </c>
      <c r="C1329" t="s">
        <v>40</v>
      </c>
      <c r="D1329">
        <v>4.6823189999999997</v>
      </c>
      <c r="E1329">
        <v>0.57674989999999904</v>
      </c>
      <c r="F1329" t="s">
        <v>55</v>
      </c>
      <c r="G1329">
        <v>-388.01519999999999</v>
      </c>
      <c r="H1329" s="1">
        <v>2.7285100000000001E-6</v>
      </c>
      <c r="I1329">
        <v>286.44619999999998</v>
      </c>
      <c r="J1329">
        <v>-343.45859999999999</v>
      </c>
      <c r="K1329">
        <v>1.1103240000000001</v>
      </c>
      <c r="L1329">
        <v>284.13369999999998</v>
      </c>
      <c r="M1329">
        <v>-0.99992320000000001</v>
      </c>
      <c r="N1329">
        <v>0</v>
      </c>
      <c r="O1329">
        <v>5.908628E-3</v>
      </c>
      <c r="P1329">
        <v>-0.98886280000000004</v>
      </c>
      <c r="Q1329">
        <v>0.1439262</v>
      </c>
      <c r="R1329">
        <v>-3.7884859999999999E-2</v>
      </c>
      <c r="S1329">
        <v>-3.050751</v>
      </c>
      <c r="T1329">
        <v>-7.5394630000000004E-2</v>
      </c>
      <c r="U1329">
        <v>0.15716550000000001</v>
      </c>
      <c r="V1329">
        <v>-4.3750520000000001E-2</v>
      </c>
      <c r="W1329">
        <v>0.1546835</v>
      </c>
      <c r="X1329">
        <v>0.98699490000000001</v>
      </c>
      <c r="Y1329">
        <v>4.5534659999999998E-2</v>
      </c>
      <c r="Z1329">
        <v>4.1629500000000001E-4</v>
      </c>
      <c r="AA1329">
        <v>0.99896269999999998</v>
      </c>
      <c r="AB1329">
        <v>25</v>
      </c>
      <c r="AC1329">
        <v>-44.556600000000003</v>
      </c>
      <c r="AD1329">
        <v>-1.1103212714899999</v>
      </c>
      <c r="AE1329">
        <v>2.3125</v>
      </c>
      <c r="AF1329">
        <v>2.0479073492256998</v>
      </c>
      <c r="AG1329">
        <v>-1.1103212714899999</v>
      </c>
      <c r="AH1329">
        <v>44.541901589645697</v>
      </c>
      <c r="AI1329">
        <v>91.426442454836106</v>
      </c>
      <c r="AJ1329">
        <v>87.367560217488801</v>
      </c>
      <c r="AK1329">
        <v>44.6027772123958</v>
      </c>
      <c r="AL1329">
        <v>81.101559357398401</v>
      </c>
      <c r="AM1329">
        <v>92.538088369763699</v>
      </c>
      <c r="AN1329">
        <v>1.0000000128992601</v>
      </c>
    </row>
    <row r="1330" spans="1:40" x14ac:dyDescent="0.3">
      <c r="A1330" t="str">
        <f>"20200111150751517"</f>
        <v>20200111150751517</v>
      </c>
      <c r="B1330" t="str">
        <f>"1578726471512593"</f>
        <v>1578726471512593</v>
      </c>
      <c r="C1330" t="s">
        <v>40</v>
      </c>
      <c r="D1330">
        <v>7.8960100000000004</v>
      </c>
      <c r="E1330">
        <v>0.58405359999999995</v>
      </c>
      <c r="F1330" t="s">
        <v>41</v>
      </c>
      <c r="G1330">
        <v>-344.28629999999998</v>
      </c>
      <c r="H1330">
        <v>0.85574689999999998</v>
      </c>
      <c r="I1330">
        <v>284.26960000000003</v>
      </c>
      <c r="J1330">
        <v>-343.8415</v>
      </c>
      <c r="K1330">
        <v>1.110303</v>
      </c>
      <c r="L1330">
        <v>284.13580000000002</v>
      </c>
      <c r="M1330">
        <v>-0.99992539999999996</v>
      </c>
      <c r="N1330">
        <v>0</v>
      </c>
      <c r="O1330">
        <v>5.736985E-3</v>
      </c>
      <c r="P1330">
        <v>-0.98887970000000003</v>
      </c>
      <c r="Q1330">
        <v>0.14396039999999999</v>
      </c>
      <c r="R1330">
        <v>-3.7310719999999999E-2</v>
      </c>
      <c r="S1330">
        <v>-3.1969910000000001</v>
      </c>
      <c r="T1330">
        <v>-0.98339069999999995</v>
      </c>
      <c r="U1330">
        <v>0.52410889999999999</v>
      </c>
      <c r="V1330">
        <v>-4.3006540000000003E-2</v>
      </c>
      <c r="W1330">
        <v>0.15459729999999999</v>
      </c>
      <c r="X1330">
        <v>0.9870411</v>
      </c>
      <c r="Y1330">
        <v>0.1496325</v>
      </c>
      <c r="Z1330">
        <v>2.0639879999999999E-2</v>
      </c>
      <c r="AA1330">
        <v>0.98852620000000002</v>
      </c>
      <c r="AB1330">
        <v>25</v>
      </c>
      <c r="AC1330">
        <v>-0.44479999999998598</v>
      </c>
      <c r="AD1330">
        <v>-0.25455609999999901</v>
      </c>
      <c r="AE1330">
        <v>0.133800000000007</v>
      </c>
      <c r="AF1330">
        <v>0.10093172057666</v>
      </c>
      <c r="AG1330">
        <v>-0.25455609999999901</v>
      </c>
      <c r="AH1330">
        <v>0.34264835728242399</v>
      </c>
      <c r="AI1330">
        <v>125.474961545094</v>
      </c>
      <c r="AJ1330">
        <v>73.586947629734894</v>
      </c>
      <c r="AK1330">
        <v>0.43862730992736698</v>
      </c>
      <c r="AL1330">
        <v>81.106558365071194</v>
      </c>
      <c r="AM1330">
        <v>92.4948664145994</v>
      </c>
      <c r="AN1330">
        <v>1.00000001036963</v>
      </c>
    </row>
    <row r="1331" spans="1:40" x14ac:dyDescent="0.3">
      <c r="A1331" t="str">
        <f>"20200111150751539"</f>
        <v>20200111150751539</v>
      </c>
      <c r="B1331" t="str">
        <f>"1578726471532112"</f>
        <v>1578726471532112</v>
      </c>
      <c r="C1331" t="s">
        <v>40</v>
      </c>
      <c r="D1331">
        <v>5.5038679999999998</v>
      </c>
      <c r="E1331">
        <v>0.58009239999999995</v>
      </c>
      <c r="F1331" t="s">
        <v>41</v>
      </c>
      <c r="G1331">
        <v>-344.52199999999999</v>
      </c>
      <c r="H1331">
        <v>0.88551689999999905</v>
      </c>
      <c r="I1331">
        <v>284.2602</v>
      </c>
      <c r="J1331">
        <v>-344.08600000000001</v>
      </c>
      <c r="K1331">
        <v>1.110274</v>
      </c>
      <c r="L1331">
        <v>284.13709999999998</v>
      </c>
      <c r="M1331">
        <v>-0.99992749999999997</v>
      </c>
      <c r="N1331">
        <v>0</v>
      </c>
      <c r="O1331">
        <v>5.6263600000000004E-3</v>
      </c>
      <c r="P1331">
        <v>-0.98893699999999995</v>
      </c>
      <c r="Q1331">
        <v>0.14362929999999999</v>
      </c>
      <c r="R1331">
        <v>-3.707531E-2</v>
      </c>
      <c r="S1331">
        <v>-3.2102050000000002</v>
      </c>
      <c r="T1331">
        <v>-1.0603579999999999</v>
      </c>
      <c r="U1331">
        <v>0.58602909999999997</v>
      </c>
      <c r="V1331">
        <v>-4.2662230000000002E-2</v>
      </c>
      <c r="W1331">
        <v>0.154148799999999</v>
      </c>
      <c r="X1331">
        <v>0.98712619999999895</v>
      </c>
      <c r="Y1331">
        <v>0.16580420000000001</v>
      </c>
      <c r="Z1331">
        <v>2.4675579999999999E-2</v>
      </c>
      <c r="AA1331">
        <v>0.98584989999999995</v>
      </c>
      <c r="AB1331">
        <v>25</v>
      </c>
      <c r="AC1331">
        <v>-0.43599999999997802</v>
      </c>
      <c r="AD1331">
        <v>-0.22475709999999999</v>
      </c>
      <c r="AE1331">
        <v>0.123100000000022</v>
      </c>
      <c r="AF1331">
        <v>9.6816479501698194E-2</v>
      </c>
      <c r="AG1331">
        <v>-0.22475709999999999</v>
      </c>
      <c r="AH1331">
        <v>0.35043673195594</v>
      </c>
      <c r="AI1331">
        <v>121.72451242924799</v>
      </c>
      <c r="AJ1331">
        <v>74.555920050045998</v>
      </c>
      <c r="AK1331">
        <v>0.427428459285846</v>
      </c>
      <c r="AL1331">
        <v>81.132567445622897</v>
      </c>
      <c r="AM1331">
        <v>92.474704374160297</v>
      </c>
      <c r="AN1331">
        <v>1.0000000265682201</v>
      </c>
    </row>
    <row r="1332" spans="1:40" x14ac:dyDescent="0.3">
      <c r="A1332" t="str">
        <f>"20200111150751553"</f>
        <v>20200111150751553</v>
      </c>
      <c r="B1332" t="str">
        <f>"1578726471542849"</f>
        <v>1578726471542849</v>
      </c>
      <c r="C1332" t="s">
        <v>40</v>
      </c>
      <c r="D1332">
        <v>5.3741719999999997</v>
      </c>
      <c r="E1332">
        <v>0.57774590000000003</v>
      </c>
      <c r="F1332" t="s">
        <v>41</v>
      </c>
      <c r="G1332">
        <v>-344.7527</v>
      </c>
      <c r="H1332">
        <v>0.90210659999999998</v>
      </c>
      <c r="I1332">
        <v>284.2527</v>
      </c>
      <c r="J1332">
        <v>-344.24709999999999</v>
      </c>
      <c r="K1332">
        <v>1.1102510000000001</v>
      </c>
      <c r="L1332">
        <v>284.1379</v>
      </c>
      <c r="M1332">
        <v>-0.99992899999999996</v>
      </c>
      <c r="N1332">
        <v>0</v>
      </c>
      <c r="O1332">
        <v>5.5537950000000003E-3</v>
      </c>
      <c r="P1332">
        <v>-0.98897579999999996</v>
      </c>
      <c r="Q1332">
        <v>0.14337539999999999</v>
      </c>
      <c r="R1332">
        <v>-3.7019099999999999E-2</v>
      </c>
      <c r="S1332">
        <v>-3.1994020000000001</v>
      </c>
      <c r="T1332">
        <v>-0.99887239999999999</v>
      </c>
      <c r="U1332">
        <v>0.55380249999999998</v>
      </c>
      <c r="V1332">
        <v>-4.2534710000000003E-2</v>
      </c>
      <c r="W1332">
        <v>0.1537917</v>
      </c>
      <c r="X1332">
        <v>0.98718740000000005</v>
      </c>
      <c r="Y1332">
        <v>0.1580337</v>
      </c>
      <c r="Z1332">
        <v>2.2248170000000001E-2</v>
      </c>
      <c r="AA1332">
        <v>0.98718300000000003</v>
      </c>
      <c r="AB1332">
        <v>25</v>
      </c>
      <c r="AC1332">
        <v>-0.50560000000001504</v>
      </c>
      <c r="AD1332">
        <v>-0.20814440000000001</v>
      </c>
      <c r="AE1332">
        <v>0.114800000000002</v>
      </c>
      <c r="AF1332">
        <v>9.6445915343302699E-2</v>
      </c>
      <c r="AG1332">
        <v>-0.20814440000000001</v>
      </c>
      <c r="AH1332">
        <v>0.43596540031512698</v>
      </c>
      <c r="AI1332">
        <v>114.993171033759</v>
      </c>
      <c r="AJ1332">
        <v>77.525718064221607</v>
      </c>
      <c r="AK1332">
        <v>0.492637530147365</v>
      </c>
      <c r="AL1332">
        <v>81.153274683583305</v>
      </c>
      <c r="AM1332">
        <v>92.467163716740899</v>
      </c>
      <c r="AN1332">
        <v>1.00000002563121</v>
      </c>
    </row>
    <row r="1333" spans="1:40" x14ac:dyDescent="0.3">
      <c r="A1333" t="str">
        <f>"20200111150751569"</f>
        <v>20200111150751569</v>
      </c>
      <c r="B1333" t="str">
        <f>"1578726471562369"</f>
        <v>1578726471562369</v>
      </c>
      <c r="C1333" t="s">
        <v>40</v>
      </c>
      <c r="D1333">
        <v>5.8047129999999996</v>
      </c>
      <c r="E1333">
        <v>0.57790459999999999</v>
      </c>
      <c r="F1333" t="s">
        <v>41</v>
      </c>
      <c r="G1333">
        <v>-344.97320000000002</v>
      </c>
      <c r="H1333">
        <v>0.892169199999999</v>
      </c>
      <c r="I1333">
        <v>284.25970000000001</v>
      </c>
      <c r="J1333">
        <v>-344.4187</v>
      </c>
      <c r="K1333">
        <v>1.1102270000000001</v>
      </c>
      <c r="L1333">
        <v>284.1388</v>
      </c>
      <c r="M1333">
        <v>-0.99993089999999996</v>
      </c>
      <c r="N1333">
        <v>0</v>
      </c>
      <c r="O1333">
        <v>5.4763659999999999E-3</v>
      </c>
      <c r="P1333">
        <v>-0.98900739999999998</v>
      </c>
      <c r="Q1333">
        <v>0.14312529999999901</v>
      </c>
      <c r="R1333">
        <v>-3.7147260000000001E-2</v>
      </c>
      <c r="S1333">
        <v>-3.1924440000000001</v>
      </c>
      <c r="T1333">
        <v>-0.95886479999999996</v>
      </c>
      <c r="U1333">
        <v>0.5344238</v>
      </c>
      <c r="V1333">
        <v>-4.2586209999999999E-2</v>
      </c>
      <c r="W1333">
        <v>0.15341050000000001</v>
      </c>
      <c r="X1333">
        <v>0.98724449999999997</v>
      </c>
      <c r="Y1333">
        <v>0.15335099999999999</v>
      </c>
      <c r="Z1333">
        <v>2.0787770000000001E-2</v>
      </c>
      <c r="AA1333">
        <v>0.98795310000000003</v>
      </c>
      <c r="AB1333">
        <v>25</v>
      </c>
      <c r="AC1333">
        <v>-0.55450000000001798</v>
      </c>
      <c r="AD1333">
        <v>-0.2180578</v>
      </c>
      <c r="AE1333">
        <v>0.120900000000006</v>
      </c>
      <c r="AF1333">
        <v>0.102699946635468</v>
      </c>
      <c r="AG1333">
        <v>-0.2180578</v>
      </c>
      <c r="AH1333">
        <v>0.483740035006061</v>
      </c>
      <c r="AI1333">
        <v>113.794931645772</v>
      </c>
      <c r="AJ1333">
        <v>78.013845644744507</v>
      </c>
      <c r="AK1333">
        <v>0.54046360159351503</v>
      </c>
      <c r="AL1333">
        <v>81.175378218809698</v>
      </c>
      <c r="AM1333">
        <v>92.470004510366905</v>
      </c>
      <c r="AN1333">
        <v>1.00000003478633</v>
      </c>
    </row>
    <row r="1334" spans="1:40" x14ac:dyDescent="0.3">
      <c r="A1334" t="str">
        <f>"20200111150751583"</f>
        <v>20200111150751583</v>
      </c>
      <c r="B1334" t="str">
        <f>"1578726471572129"</f>
        <v>1578726471572129</v>
      </c>
      <c r="C1334" t="s">
        <v>40</v>
      </c>
      <c r="D1334">
        <v>5.5075260000000004</v>
      </c>
      <c r="E1334">
        <v>0.57604180000000005</v>
      </c>
      <c r="F1334" t="s">
        <v>41</v>
      </c>
      <c r="G1334">
        <v>-345.19920000000002</v>
      </c>
      <c r="H1334">
        <v>0.89332440000000002</v>
      </c>
      <c r="I1334">
        <v>284.2697</v>
      </c>
      <c r="J1334">
        <v>-344.58409999999998</v>
      </c>
      <c r="K1334">
        <v>1.110195</v>
      </c>
      <c r="L1334">
        <v>284.13959999999997</v>
      </c>
      <c r="M1334">
        <v>-0.99993270000000001</v>
      </c>
      <c r="N1334">
        <v>0</v>
      </c>
      <c r="O1334">
        <v>5.4016239999999998E-3</v>
      </c>
      <c r="P1334">
        <v>-0.98899809999999999</v>
      </c>
      <c r="Q1334">
        <v>0.14320939999999999</v>
      </c>
      <c r="R1334">
        <v>-3.7065099999999997E-2</v>
      </c>
      <c r="S1334">
        <v>-3.1813349999999998</v>
      </c>
      <c r="T1334">
        <v>-0.88404450000000001</v>
      </c>
      <c r="U1334">
        <v>0.53384399999999999</v>
      </c>
      <c r="V1334">
        <v>-4.2430339999999997E-2</v>
      </c>
      <c r="W1334">
        <v>0.15334879999999901</v>
      </c>
      <c r="X1334">
        <v>0.98726080000000005</v>
      </c>
      <c r="Y1334">
        <v>0.15465909999999999</v>
      </c>
      <c r="Z1334">
        <v>1.9487230000000001E-2</v>
      </c>
      <c r="AA1334">
        <v>0.98777570000000003</v>
      </c>
      <c r="AB1334">
        <v>25</v>
      </c>
      <c r="AC1334">
        <v>-0.61510000000003995</v>
      </c>
      <c r="AD1334">
        <v>-0.2168706</v>
      </c>
      <c r="AE1334">
        <v>0.130100000000027</v>
      </c>
      <c r="AF1334">
        <v>0.113294682338913</v>
      </c>
      <c r="AG1334">
        <v>-0.2168706</v>
      </c>
      <c r="AH1334">
        <v>0.55031316227409</v>
      </c>
      <c r="AI1334">
        <v>111.106130122526</v>
      </c>
      <c r="AJ1334">
        <v>78.366874033912893</v>
      </c>
      <c r="AK1334">
        <v>0.60225668843338298</v>
      </c>
      <c r="AL1334">
        <v>81.178955725450606</v>
      </c>
      <c r="AM1334">
        <v>92.460934588326197</v>
      </c>
      <c r="AN1334">
        <v>1.00000003771529</v>
      </c>
    </row>
    <row r="1335" spans="1:40" x14ac:dyDescent="0.3">
      <c r="A1335" t="str">
        <f>"20200111150751598"</f>
        <v>20200111150751598</v>
      </c>
      <c r="B1335" t="str">
        <f>"1578726471592625"</f>
        <v>1578726471592625</v>
      </c>
      <c r="C1335" t="s">
        <v>40</v>
      </c>
      <c r="D1335">
        <v>5.2900410000000004</v>
      </c>
      <c r="E1335">
        <v>0.5712391</v>
      </c>
      <c r="F1335" t="s">
        <v>41</v>
      </c>
      <c r="G1335">
        <v>-345.42219999999998</v>
      </c>
      <c r="H1335">
        <v>0.88655130000000004</v>
      </c>
      <c r="I1335">
        <v>284.27640000000002</v>
      </c>
      <c r="J1335">
        <v>-344.75549999999998</v>
      </c>
      <c r="K1335">
        <v>1.110166</v>
      </c>
      <c r="L1335">
        <v>284.1404</v>
      </c>
      <c r="M1335">
        <v>-0.99993489999999996</v>
      </c>
      <c r="N1335">
        <v>0</v>
      </c>
      <c r="O1335">
        <v>5.3241859999999998E-3</v>
      </c>
      <c r="P1335">
        <v>-0.9889635</v>
      </c>
      <c r="Q1335">
        <v>0.14344749999999901</v>
      </c>
      <c r="R1335">
        <v>-3.7063430000000001E-2</v>
      </c>
      <c r="S1335">
        <v>-3.1755070000000001</v>
      </c>
      <c r="T1335">
        <v>-0.84743799999999903</v>
      </c>
      <c r="U1335">
        <v>0.51788329999999905</v>
      </c>
      <c r="V1335">
        <v>-4.23522E-2</v>
      </c>
      <c r="W1335">
        <v>0.153419</v>
      </c>
      <c r="X1335">
        <v>0.98725320000000005</v>
      </c>
      <c r="Y1335">
        <v>0.15074460000000001</v>
      </c>
      <c r="Z1335">
        <v>1.8257559999999999E-2</v>
      </c>
      <c r="AA1335">
        <v>0.98840419999999996</v>
      </c>
      <c r="AB1335">
        <v>25</v>
      </c>
      <c r="AC1335">
        <v>-0.66669999999999097</v>
      </c>
      <c r="AD1335">
        <v>-0.223614699999999</v>
      </c>
      <c r="AE1335">
        <v>0.13600000000002399</v>
      </c>
      <c r="AF1335">
        <v>0.119537866048196</v>
      </c>
      <c r="AG1335">
        <v>-0.223614699999999</v>
      </c>
      <c r="AH1335">
        <v>0.60235844653814696</v>
      </c>
      <c r="AI1335">
        <v>110.00813474376601</v>
      </c>
      <c r="AJ1335">
        <v>78.775501016280103</v>
      </c>
      <c r="AK1335">
        <v>0.65355071233324802</v>
      </c>
      <c r="AL1335">
        <v>81.174884968862699</v>
      </c>
      <c r="AM1335">
        <v>92.456426957687995</v>
      </c>
      <c r="AN1335">
        <v>0.99999998965804004</v>
      </c>
    </row>
    <row r="1336" spans="1:40" x14ac:dyDescent="0.3">
      <c r="A1336" t="str">
        <f>"20200111150751617"</f>
        <v>20200111150751617</v>
      </c>
      <c r="B1336" t="str">
        <f>"1578726471612145"</f>
        <v>1578726471612145</v>
      </c>
      <c r="C1336" t="s">
        <v>40</v>
      </c>
      <c r="D1336">
        <v>5.3058990000000001</v>
      </c>
      <c r="E1336">
        <v>0.55196820000000002</v>
      </c>
      <c r="F1336" t="s">
        <v>41</v>
      </c>
      <c r="G1336">
        <v>-345.44450000000001</v>
      </c>
      <c r="H1336">
        <v>0.93966749999999999</v>
      </c>
      <c r="I1336">
        <v>284.2448</v>
      </c>
      <c r="J1336">
        <v>-344.95859999999999</v>
      </c>
      <c r="K1336">
        <v>1.110131</v>
      </c>
      <c r="L1336">
        <v>284.14150000000001</v>
      </c>
      <c r="M1336">
        <v>-0.99993759999999998</v>
      </c>
      <c r="N1336">
        <v>0</v>
      </c>
      <c r="O1336">
        <v>5.2327629999999997E-3</v>
      </c>
      <c r="P1336">
        <v>-0.98891180000000001</v>
      </c>
      <c r="Q1336">
        <v>0.14382420000000001</v>
      </c>
      <c r="R1336">
        <v>-3.6985900000000002E-2</v>
      </c>
      <c r="S1336">
        <v>-3.1650390000000002</v>
      </c>
      <c r="T1336">
        <v>-0.78321689999999999</v>
      </c>
      <c r="U1336">
        <v>0.47851559999999999</v>
      </c>
      <c r="V1336">
        <v>-4.2184449999999998E-2</v>
      </c>
      <c r="W1336">
        <v>0.1535849</v>
      </c>
      <c r="X1336">
        <v>0.98723459999999996</v>
      </c>
      <c r="Y1336">
        <v>0.14032849999999999</v>
      </c>
      <c r="Z1336">
        <v>1.5743630000000002E-2</v>
      </c>
      <c r="AA1336">
        <v>0.98997979999999997</v>
      </c>
      <c r="AB1336">
        <v>25</v>
      </c>
      <c r="AC1336">
        <v>-0.48590000000001499</v>
      </c>
      <c r="AD1336">
        <v>-0.17046349999999999</v>
      </c>
      <c r="AE1336">
        <v>0.10329999999999</v>
      </c>
      <c r="AF1336">
        <v>9.0141459607662594E-2</v>
      </c>
      <c r="AG1336">
        <v>-0.17046349999999999</v>
      </c>
      <c r="AH1336">
        <v>0.43518920275872403</v>
      </c>
      <c r="AI1336">
        <v>110.984723639997</v>
      </c>
      <c r="AJ1336">
        <v>78.297713974725298</v>
      </c>
      <c r="AK1336">
        <v>0.47599677495779702</v>
      </c>
      <c r="AL1336">
        <v>81.165265706733294</v>
      </c>
      <c r="AM1336">
        <v>92.446755348802796</v>
      </c>
      <c r="AN1336">
        <v>1.0000000023834801</v>
      </c>
    </row>
    <row r="1337" spans="1:40" x14ac:dyDescent="0.3">
      <c r="A1337" t="str">
        <f>"20200111150751630"</f>
        <v>20200111150751630</v>
      </c>
      <c r="B1337" t="str">
        <f>"1578726471622881"</f>
        <v>1578726471622881</v>
      </c>
      <c r="C1337" t="s">
        <v>40</v>
      </c>
      <c r="D1337">
        <v>5.1743499999999996</v>
      </c>
      <c r="E1337">
        <v>0.55196820000000002</v>
      </c>
      <c r="F1337" t="s">
        <v>41</v>
      </c>
      <c r="G1337">
        <v>-345.71499999999997</v>
      </c>
      <c r="H1337">
        <v>1.030583</v>
      </c>
      <c r="I1337">
        <v>284.21910000000003</v>
      </c>
      <c r="J1337">
        <v>-345.11930000000001</v>
      </c>
      <c r="K1337">
        <v>1.1101030000000001</v>
      </c>
      <c r="L1337">
        <v>284.1422</v>
      </c>
      <c r="M1337">
        <v>-0.99993960000000004</v>
      </c>
      <c r="N1337">
        <v>0</v>
      </c>
      <c r="O1337">
        <v>5.160329E-3</v>
      </c>
      <c r="P1337">
        <v>-0.98888849999999995</v>
      </c>
      <c r="Q1337">
        <v>0.14395179999999999</v>
      </c>
      <c r="R1337">
        <v>-3.7114559999999998E-2</v>
      </c>
      <c r="S1337">
        <v>-3.0927730000000002</v>
      </c>
      <c r="T1337">
        <v>-0.32528879999999999</v>
      </c>
      <c r="U1337">
        <v>0.31689450000000002</v>
      </c>
      <c r="V1337">
        <v>-4.2240779999999999E-2</v>
      </c>
      <c r="W1337">
        <v>0.15353820000000001</v>
      </c>
      <c r="X1337">
        <v>0.98723950000000005</v>
      </c>
      <c r="Y1337">
        <v>9.6296779999999998E-2</v>
      </c>
      <c r="Z1337">
        <v>4.4972579999999996E-3</v>
      </c>
      <c r="AA1337">
        <v>0.99534250000000002</v>
      </c>
      <c r="AB1337">
        <v>25</v>
      </c>
      <c r="AC1337">
        <v>-0.59569999999996504</v>
      </c>
      <c r="AD1337">
        <v>-7.9519999999999993E-2</v>
      </c>
      <c r="AE1337">
        <v>7.69000000000232E-2</v>
      </c>
      <c r="AF1337">
        <v>7.2553148490027197E-2</v>
      </c>
      <c r="AG1337">
        <v>-7.9519999999999993E-2</v>
      </c>
      <c r="AH1337">
        <v>0.58582094334884105</v>
      </c>
      <c r="AI1337">
        <v>97.672237262352894</v>
      </c>
      <c r="AJ1337">
        <v>82.939943945378005</v>
      </c>
      <c r="AK1337">
        <v>0.595628716082378</v>
      </c>
      <c r="AL1337">
        <v>81.167973928459006</v>
      </c>
      <c r="AM1337">
        <v>92.450006441186602</v>
      </c>
      <c r="AN1337">
        <v>1.00000004635724</v>
      </c>
    </row>
    <row r="1338" spans="1:40" x14ac:dyDescent="0.3">
      <c r="A1338" t="str">
        <f>"20200111150751644"</f>
        <v>20200111150751644</v>
      </c>
      <c r="B1338" t="str">
        <f>"1578726471632642"</f>
        <v>1578726471632642</v>
      </c>
      <c r="C1338" t="s">
        <v>40</v>
      </c>
      <c r="D1338">
        <v>5.3925299999999998</v>
      </c>
      <c r="E1338">
        <v>0.54856719999999903</v>
      </c>
      <c r="F1338" t="s">
        <v>41</v>
      </c>
      <c r="G1338">
        <v>-345.93889999999999</v>
      </c>
      <c r="H1338">
        <v>1.024062</v>
      </c>
      <c r="I1338">
        <v>284.22629999999998</v>
      </c>
      <c r="J1338">
        <v>-345.26960000000003</v>
      </c>
      <c r="K1338">
        <v>1.110077</v>
      </c>
      <c r="L1338">
        <v>284.1429</v>
      </c>
      <c r="M1338">
        <v>-0.99994150000000004</v>
      </c>
      <c r="N1338">
        <v>0</v>
      </c>
      <c r="O1338">
        <v>5.0921780000000002E-3</v>
      </c>
      <c r="P1338">
        <v>-0.98887780000000003</v>
      </c>
      <c r="Q1338">
        <v>0.14405109999999999</v>
      </c>
      <c r="R1338">
        <v>-3.7017639999999997E-2</v>
      </c>
      <c r="S1338">
        <v>-3.0928960000000001</v>
      </c>
      <c r="T1338">
        <v>-0.32485429999999998</v>
      </c>
      <c r="U1338">
        <v>0.31637569999999998</v>
      </c>
      <c r="V1338">
        <v>-4.2076429999999998E-2</v>
      </c>
      <c r="W1338">
        <v>0.1534751</v>
      </c>
      <c r="X1338">
        <v>0.98725629999999998</v>
      </c>
      <c r="Y1338">
        <v>9.6196900000000002E-2</v>
      </c>
      <c r="Z1338">
        <v>4.4930480000000004E-3</v>
      </c>
      <c r="AA1338">
        <v>0.99535220000000002</v>
      </c>
      <c r="AB1338">
        <v>25</v>
      </c>
      <c r="AC1338">
        <v>-0.66929999999996403</v>
      </c>
      <c r="AD1338">
        <v>-8.6014999999999897E-2</v>
      </c>
      <c r="AE1338">
        <v>8.3399999999983196E-2</v>
      </c>
      <c r="AF1338">
        <v>7.8710457592855804E-2</v>
      </c>
      <c r="AG1338">
        <v>-8.6014999999999897E-2</v>
      </c>
      <c r="AH1338">
        <v>0.65899837871418199</v>
      </c>
      <c r="AI1338">
        <v>97.384524128113597</v>
      </c>
      <c r="AJ1338">
        <v>83.188885309095298</v>
      </c>
      <c r="AK1338">
        <v>0.66923297849657504</v>
      </c>
      <c r="AL1338">
        <v>81.171632396145995</v>
      </c>
      <c r="AM1338">
        <v>92.440444049758895</v>
      </c>
      <c r="AN1338">
        <v>1.00000001708562</v>
      </c>
    </row>
    <row r="1339" spans="1:40" x14ac:dyDescent="0.3">
      <c r="A1339" t="str">
        <f>"20200111150751657"</f>
        <v>20200111150751657</v>
      </c>
      <c r="B1339" t="str">
        <f>"1578726471652161"</f>
        <v>1578726471652161</v>
      </c>
      <c r="C1339" t="s">
        <v>40</v>
      </c>
      <c r="D1339">
        <v>4.6181179999999999</v>
      </c>
      <c r="E1339">
        <v>0.55173559999999999</v>
      </c>
      <c r="F1339" t="s">
        <v>41</v>
      </c>
      <c r="G1339">
        <v>-346.1635</v>
      </c>
      <c r="H1339">
        <v>1.0176339999999999</v>
      </c>
      <c r="I1339">
        <v>284.22669999999999</v>
      </c>
      <c r="J1339">
        <v>-345.4178</v>
      </c>
      <c r="K1339">
        <v>1.1100540000000001</v>
      </c>
      <c r="L1339">
        <v>284.14359999999999</v>
      </c>
      <c r="M1339">
        <v>-0.99994340000000004</v>
      </c>
      <c r="N1339">
        <v>0</v>
      </c>
      <c r="O1339">
        <v>5.0253590000000001E-3</v>
      </c>
      <c r="P1339">
        <v>-0.98888719999999997</v>
      </c>
      <c r="Q1339">
        <v>0.14399379999999901</v>
      </c>
      <c r="R1339">
        <v>-3.6991389999999999E-2</v>
      </c>
      <c r="S1339">
        <v>-3.0911559999999998</v>
      </c>
      <c r="T1339">
        <v>-0.31966430000000001</v>
      </c>
      <c r="U1339">
        <v>0.28945920000000003</v>
      </c>
      <c r="V1339">
        <v>-4.1984170000000001E-2</v>
      </c>
      <c r="W1339">
        <v>0.1532597</v>
      </c>
      <c r="X1339">
        <v>0.98729370000000005</v>
      </c>
      <c r="Y1339">
        <v>8.7790850000000004E-2</v>
      </c>
      <c r="Z1339">
        <v>4.0002909999999996E-3</v>
      </c>
      <c r="AA1339">
        <v>0.99613090000000004</v>
      </c>
      <c r="AB1339">
        <v>25</v>
      </c>
      <c r="AC1339">
        <v>-0.74569999999999903</v>
      </c>
      <c r="AD1339">
        <v>-9.2420000000000099E-2</v>
      </c>
      <c r="AE1339">
        <v>8.31000000000017E-2</v>
      </c>
      <c r="AF1339">
        <v>7.8165447567381696E-2</v>
      </c>
      <c r="AG1339">
        <v>-9.2420000000000099E-2</v>
      </c>
      <c r="AH1339">
        <v>0.73495741739711695</v>
      </c>
      <c r="AI1339">
        <v>97.127474844784999</v>
      </c>
      <c r="AJ1339">
        <v>83.929201841552498</v>
      </c>
      <c r="AK1339">
        <v>0.74485817373540897</v>
      </c>
      <c r="AL1339">
        <v>81.184121762466404</v>
      </c>
      <c r="AM1339">
        <v>92.435007260135706</v>
      </c>
      <c r="AN1339">
        <v>1.0000000281171799</v>
      </c>
    </row>
    <row r="1340" spans="1:40" x14ac:dyDescent="0.3">
      <c r="A1340" t="str">
        <f>"20200111150751672"</f>
        <v>20200111150751672</v>
      </c>
      <c r="B1340" t="str">
        <f>"1578726471662896"</f>
        <v>1578726471662896</v>
      </c>
      <c r="C1340" t="s">
        <v>40</v>
      </c>
      <c r="D1340">
        <v>5.8893199999999997</v>
      </c>
      <c r="E1340">
        <v>0.55254539999999996</v>
      </c>
      <c r="F1340" t="s">
        <v>41</v>
      </c>
      <c r="G1340">
        <v>-346.17649999999998</v>
      </c>
      <c r="H1340">
        <v>1.0439750000000001</v>
      </c>
      <c r="I1340">
        <v>284.22089999999997</v>
      </c>
      <c r="J1340">
        <v>-345.59870000000001</v>
      </c>
      <c r="K1340">
        <v>1.1100289999999999</v>
      </c>
      <c r="L1340">
        <v>284.14440000000002</v>
      </c>
      <c r="M1340">
        <v>-0.99994539999999998</v>
      </c>
      <c r="N1340">
        <v>0</v>
      </c>
      <c r="O1340">
        <v>4.9443009999999999E-3</v>
      </c>
      <c r="P1340">
        <v>-0.98889139999999998</v>
      </c>
      <c r="Q1340">
        <v>0.14396</v>
      </c>
      <c r="R1340">
        <v>-3.7001159999999998E-2</v>
      </c>
      <c r="S1340">
        <v>-3.084625</v>
      </c>
      <c r="T1340">
        <v>-0.26871600000000001</v>
      </c>
      <c r="U1340">
        <v>0.31396479999999999</v>
      </c>
      <c r="V1340">
        <v>-4.1914460000000001E-2</v>
      </c>
      <c r="W1340">
        <v>0.15305050000000001</v>
      </c>
      <c r="X1340">
        <v>0.98732909999999996</v>
      </c>
      <c r="Y1340">
        <v>9.5999009999999996E-2</v>
      </c>
      <c r="Z1340">
        <v>3.7340680000000001E-3</v>
      </c>
      <c r="AA1340">
        <v>0.99537439999999999</v>
      </c>
      <c r="AB1340">
        <v>25</v>
      </c>
      <c r="AC1340">
        <v>-0.57779999999996701</v>
      </c>
      <c r="AD1340">
        <v>-6.6054000000000002E-2</v>
      </c>
      <c r="AE1340">
        <v>7.6499999999953106E-2</v>
      </c>
      <c r="AF1340">
        <v>7.2708270471842598E-2</v>
      </c>
      <c r="AG1340">
        <v>-6.6054000000000002E-2</v>
      </c>
      <c r="AH1340">
        <v>0.57083940001126299</v>
      </c>
      <c r="AI1340">
        <v>96.548119967699705</v>
      </c>
      <c r="AJ1340">
        <v>82.741275929159897</v>
      </c>
      <c r="AK1340">
        <v>0.57922987156760597</v>
      </c>
      <c r="AL1340">
        <v>81.196251019747194</v>
      </c>
      <c r="AM1340">
        <v>92.430882002256098</v>
      </c>
      <c r="AN1340">
        <v>1.00000001460707</v>
      </c>
    </row>
    <row r="1341" spans="1:40" x14ac:dyDescent="0.3">
      <c r="A1341" t="str">
        <f>"20200111150751686"</f>
        <v>20200111150751686</v>
      </c>
      <c r="B1341" t="str">
        <f>"1578726471682416"</f>
        <v>1578726471682416</v>
      </c>
      <c r="C1341" t="s">
        <v>40</v>
      </c>
      <c r="D1341">
        <v>6.2627629999999996</v>
      </c>
      <c r="E1341">
        <v>0.55396119999999904</v>
      </c>
      <c r="F1341" t="s">
        <v>41</v>
      </c>
      <c r="G1341">
        <v>-346.40559999999999</v>
      </c>
      <c r="H1341">
        <v>1.045506</v>
      </c>
      <c r="I1341">
        <v>284.2285</v>
      </c>
      <c r="J1341">
        <v>-345.75229999999999</v>
      </c>
      <c r="K1341">
        <v>1.1100159999999999</v>
      </c>
      <c r="L1341">
        <v>284.14510000000001</v>
      </c>
      <c r="M1341">
        <v>-0.99994709999999998</v>
      </c>
      <c r="N1341">
        <v>0</v>
      </c>
      <c r="O1341">
        <v>4.8751419999999998E-3</v>
      </c>
      <c r="P1341">
        <v>-0.98885270000000003</v>
      </c>
      <c r="Q1341">
        <v>0.14417569999999999</v>
      </c>
      <c r="R1341">
        <v>-3.719985E-2</v>
      </c>
      <c r="S1341">
        <v>-3.0815730000000001</v>
      </c>
      <c r="T1341">
        <v>-0.24650079999999999</v>
      </c>
      <c r="U1341">
        <v>0.32009890000000002</v>
      </c>
      <c r="V1341">
        <v>-4.2044339999999999E-2</v>
      </c>
      <c r="W1341">
        <v>0.15313009999999999</v>
      </c>
      <c r="X1341">
        <v>0.98731120000000006</v>
      </c>
      <c r="Y1341">
        <v>9.8173949999999996E-2</v>
      </c>
      <c r="Z1341">
        <v>3.5215289999999998E-3</v>
      </c>
      <c r="AA1341">
        <v>0.99516300000000002</v>
      </c>
      <c r="AB1341">
        <v>26</v>
      </c>
      <c r="AC1341">
        <v>-0.65330000000000099</v>
      </c>
      <c r="AD1341">
        <v>-6.4509999999999804E-2</v>
      </c>
      <c r="AE1341">
        <v>8.3399999999983196E-2</v>
      </c>
      <c r="AF1341">
        <v>7.9451673778067805E-2</v>
      </c>
      <c r="AG1341">
        <v>-6.4509999999999804E-2</v>
      </c>
      <c r="AH1341">
        <v>0.64748673115241695</v>
      </c>
      <c r="AI1341">
        <v>95.647598659551093</v>
      </c>
      <c r="AJ1341">
        <v>83.004332667089798</v>
      </c>
      <c r="AK1341">
        <v>0.65552511438127203</v>
      </c>
      <c r="AL1341">
        <v>81.191635564761398</v>
      </c>
      <c r="AM1341">
        <v>92.438449633805504</v>
      </c>
      <c r="AN1341">
        <v>0.999999979848742</v>
      </c>
    </row>
    <row r="1342" spans="1:40" x14ac:dyDescent="0.3">
      <c r="A1342" t="str">
        <f>"20200111150751700"</f>
        <v>20200111150751700</v>
      </c>
      <c r="B1342" t="str">
        <f>"1578726471692177"</f>
        <v>1578726471692177</v>
      </c>
      <c r="C1342" t="s">
        <v>40</v>
      </c>
      <c r="D1342">
        <v>6.3908440000000004</v>
      </c>
      <c r="E1342">
        <v>0.55746340000000005</v>
      </c>
      <c r="F1342" t="s">
        <v>41</v>
      </c>
      <c r="G1342">
        <v>-346.63400000000001</v>
      </c>
      <c r="H1342">
        <v>1.043909</v>
      </c>
      <c r="I1342">
        <v>284.23989999999998</v>
      </c>
      <c r="J1342">
        <v>-345.91230000000002</v>
      </c>
      <c r="K1342">
        <v>1.110006</v>
      </c>
      <c r="L1342">
        <v>284.14580000000001</v>
      </c>
      <c r="M1342">
        <v>-0.99994859999999997</v>
      </c>
      <c r="N1342">
        <v>0</v>
      </c>
      <c r="O1342">
        <v>4.803145E-3</v>
      </c>
      <c r="P1342">
        <v>-0.98880760000000001</v>
      </c>
      <c r="Q1342">
        <v>0.14448169999999999</v>
      </c>
      <c r="R1342">
        <v>-3.7214320000000002E-2</v>
      </c>
      <c r="S1342">
        <v>-3.0799259999999999</v>
      </c>
      <c r="T1342">
        <v>-0.2309457</v>
      </c>
      <c r="U1342">
        <v>0.33062740000000002</v>
      </c>
      <c r="V1342">
        <v>-4.1987629999999998E-2</v>
      </c>
      <c r="W1342">
        <v>0.15330589999999999</v>
      </c>
      <c r="X1342">
        <v>0.98728629999999995</v>
      </c>
      <c r="Y1342">
        <v>0.1016899</v>
      </c>
      <c r="Z1342">
        <v>3.437744E-3</v>
      </c>
      <c r="AA1342">
        <v>0.99481019999999998</v>
      </c>
      <c r="AB1342">
        <v>26</v>
      </c>
      <c r="AC1342">
        <v>-0.72169999999999801</v>
      </c>
      <c r="AD1342">
        <v>-6.6097000000000003E-2</v>
      </c>
      <c r="AE1342">
        <v>9.4099999999969E-2</v>
      </c>
      <c r="AF1342">
        <v>8.9890959684610597E-2</v>
      </c>
      <c r="AG1342">
        <v>-6.6097000000000003E-2</v>
      </c>
      <c r="AH1342">
        <v>0.71623641973142804</v>
      </c>
      <c r="AI1342">
        <v>95.231725028897898</v>
      </c>
      <c r="AJ1342">
        <v>82.846519209709797</v>
      </c>
      <c r="AK1342">
        <v>0.72487502853368802</v>
      </c>
      <c r="AL1342">
        <v>81.181442339072703</v>
      </c>
      <c r="AM1342">
        <v>92.435225923033997</v>
      </c>
      <c r="AN1342">
        <v>0.99999994910775702</v>
      </c>
    </row>
    <row r="1343" spans="1:40" x14ac:dyDescent="0.3">
      <c r="A1343" t="str">
        <f>"20200111150751717"</f>
        <v>20200111150751717</v>
      </c>
      <c r="B1343" t="str">
        <f>"1578726471712673"</f>
        <v>1578726471712673</v>
      </c>
      <c r="C1343" t="s">
        <v>40</v>
      </c>
      <c r="D1343">
        <v>5.4545339999999998</v>
      </c>
      <c r="E1343">
        <v>0.55542460000000005</v>
      </c>
      <c r="F1343" t="s">
        <v>41</v>
      </c>
      <c r="G1343">
        <v>-346.86689999999999</v>
      </c>
      <c r="H1343">
        <v>1.047204</v>
      </c>
      <c r="I1343">
        <v>284.25720000000001</v>
      </c>
      <c r="J1343">
        <v>-346.11489999999998</v>
      </c>
      <c r="K1343">
        <v>1.109996</v>
      </c>
      <c r="L1343">
        <v>284.14670000000001</v>
      </c>
      <c r="M1343">
        <v>-0.99995029999999996</v>
      </c>
      <c r="N1343">
        <v>0</v>
      </c>
      <c r="O1343">
        <v>4.7116190000000002E-3</v>
      </c>
      <c r="P1343">
        <v>-0.98873789999999995</v>
      </c>
      <c r="Q1343">
        <v>0.14492160000000001</v>
      </c>
      <c r="R1343">
        <v>-3.7353119999999997E-2</v>
      </c>
      <c r="S1343">
        <v>-3.077026</v>
      </c>
      <c r="T1343">
        <v>-0.20260690000000001</v>
      </c>
      <c r="U1343">
        <v>0.3577881</v>
      </c>
      <c r="V1343">
        <v>-4.2035610000000001E-2</v>
      </c>
      <c r="W1343">
        <v>0.1535957</v>
      </c>
      <c r="X1343">
        <v>0.98723919999999998</v>
      </c>
      <c r="Y1343">
        <v>0.1105913</v>
      </c>
      <c r="Z1343">
        <v>3.315981E-3</v>
      </c>
      <c r="AA1343">
        <v>0.99386039999999998</v>
      </c>
      <c r="AB1343">
        <v>26</v>
      </c>
      <c r="AC1343">
        <v>-0.75200000000000899</v>
      </c>
      <c r="AD1343">
        <v>-6.2791999999999903E-2</v>
      </c>
      <c r="AE1343">
        <v>0.110500000000001</v>
      </c>
      <c r="AF1343">
        <v>0.10623048790534401</v>
      </c>
      <c r="AG1343">
        <v>-6.2791999999999903E-2</v>
      </c>
      <c r="AH1343">
        <v>0.74741130761064101</v>
      </c>
      <c r="AI1343">
        <v>94.754729395790605</v>
      </c>
      <c r="AJ1343">
        <v>81.910661732049107</v>
      </c>
      <c r="AK1343">
        <v>0.75752981101000605</v>
      </c>
      <c r="AL1343">
        <v>81.164638879940398</v>
      </c>
      <c r="AM1343">
        <v>92.438121516414995</v>
      </c>
      <c r="AN1343">
        <v>0.99999993479159799</v>
      </c>
    </row>
    <row r="1344" spans="1:40" x14ac:dyDescent="0.3">
      <c r="A1344" t="str">
        <f>"20200111150751731"</f>
        <v>20200111150751731</v>
      </c>
      <c r="B1344" t="str">
        <f>"1578726471722433"</f>
        <v>1578726471722433</v>
      </c>
      <c r="C1344" t="s">
        <v>40</v>
      </c>
      <c r="D1344">
        <v>5.5568419999999996</v>
      </c>
      <c r="E1344">
        <v>0.5549113</v>
      </c>
      <c r="F1344" t="s">
        <v>55</v>
      </c>
      <c r="G1344">
        <v>-365.3784</v>
      </c>
      <c r="H1344" s="1">
        <v>1.32532E-6</v>
      </c>
      <c r="I1344">
        <v>286.28280000000001</v>
      </c>
      <c r="J1344">
        <v>-346.26429999999999</v>
      </c>
      <c r="K1344">
        <v>1.1099859999999999</v>
      </c>
      <c r="L1344">
        <v>284.14729999999997</v>
      </c>
      <c r="M1344">
        <v>-0.99995149999999999</v>
      </c>
      <c r="N1344">
        <v>0</v>
      </c>
      <c r="O1344">
        <v>4.6448319999999998E-3</v>
      </c>
      <c r="P1344">
        <v>-0.98870769999999997</v>
      </c>
      <c r="Q1344">
        <v>0.145072799999999</v>
      </c>
      <c r="R1344">
        <v>-3.7566719999999998E-2</v>
      </c>
      <c r="S1344">
        <v>-3.0729679999999999</v>
      </c>
      <c r="T1344">
        <v>-0.17706920000000001</v>
      </c>
      <c r="U1344">
        <v>0.34075929999999999</v>
      </c>
      <c r="V1344">
        <v>-4.2183560000000002E-2</v>
      </c>
      <c r="W1344">
        <v>0.15364749999999999</v>
      </c>
      <c r="X1344">
        <v>0.98722489999999996</v>
      </c>
      <c r="Y1344">
        <v>0.1054307</v>
      </c>
      <c r="Z1344">
        <v>2.7591769999999998E-3</v>
      </c>
      <c r="AA1344">
        <v>0.99442280000000005</v>
      </c>
      <c r="AB1344">
        <v>26</v>
      </c>
      <c r="AC1344">
        <v>-19.114100000000001</v>
      </c>
      <c r="AD1344">
        <v>-1.1099846746799999</v>
      </c>
      <c r="AE1344">
        <v>2.1355000000000302</v>
      </c>
      <c r="AF1344">
        <v>2.0398974915532602</v>
      </c>
      <c r="AG1344">
        <v>-1.1099846746799999</v>
      </c>
      <c r="AH1344">
        <v>19.060328483604799</v>
      </c>
      <c r="AI1344">
        <v>93.313992243577999</v>
      </c>
      <c r="AJ1344">
        <v>83.8912741312148</v>
      </c>
      <c r="AK1344">
        <v>19.201285625108198</v>
      </c>
      <c r="AL1344">
        <v>81.1616359314379</v>
      </c>
      <c r="AM1344">
        <v>92.446727801255193</v>
      </c>
      <c r="AN1344">
        <v>1.00000000508526</v>
      </c>
    </row>
    <row r="1345" spans="1:40" x14ac:dyDescent="0.3">
      <c r="A1345" t="str">
        <f>"20200111150751743"</f>
        <v>20200111150751743</v>
      </c>
      <c r="B1345" t="str">
        <f>"1578726471732193"</f>
        <v>1578726471732193</v>
      </c>
      <c r="C1345" t="s">
        <v>40</v>
      </c>
      <c r="D1345">
        <v>5.4935739999999997</v>
      </c>
      <c r="E1345">
        <v>0.55439269999999996</v>
      </c>
      <c r="F1345" t="s">
        <v>55</v>
      </c>
      <c r="G1345">
        <v>-367.7903</v>
      </c>
      <c r="H1345" s="1">
        <v>2.6088060000000001E-6</v>
      </c>
      <c r="I1345">
        <v>286.5018</v>
      </c>
      <c r="J1345">
        <v>-346.41289999999998</v>
      </c>
      <c r="K1345">
        <v>1.10998</v>
      </c>
      <c r="L1345">
        <v>284.14800000000002</v>
      </c>
      <c r="M1345">
        <v>-0.99995259999999997</v>
      </c>
      <c r="N1345">
        <v>0</v>
      </c>
      <c r="O1345">
        <v>4.578248E-3</v>
      </c>
      <c r="P1345">
        <v>-0.98870630000000004</v>
      </c>
      <c r="Q1345">
        <v>0.14508009999999999</v>
      </c>
      <c r="R1345">
        <v>-3.757344E-2</v>
      </c>
      <c r="S1345">
        <v>-3.0702509999999998</v>
      </c>
      <c r="T1345">
        <v>-0.15831729999999899</v>
      </c>
      <c r="U1345">
        <v>0.33581539999999999</v>
      </c>
      <c r="V1345">
        <v>-4.2124349999999998E-2</v>
      </c>
      <c r="W1345">
        <v>0.15356129999999901</v>
      </c>
      <c r="X1345">
        <v>0.98724089999999998</v>
      </c>
      <c r="Y1345">
        <v>0.1040457</v>
      </c>
      <c r="Z1345">
        <v>2.4376060000000001E-3</v>
      </c>
      <c r="AA1345">
        <v>0.9945695</v>
      </c>
      <c r="AB1345">
        <v>26</v>
      </c>
      <c r="AC1345">
        <v>-21.377400000000002</v>
      </c>
      <c r="AD1345">
        <v>-1.1099773911939901</v>
      </c>
      <c r="AE1345">
        <v>2.3538000000000299</v>
      </c>
      <c r="AF1345">
        <v>2.2499076033044298</v>
      </c>
      <c r="AG1345">
        <v>-1.1099773911939901</v>
      </c>
      <c r="AH1345">
        <v>21.331132926624701</v>
      </c>
      <c r="AI1345">
        <v>92.962328337631206</v>
      </c>
      <c r="AJ1345">
        <v>83.9789727748703</v>
      </c>
      <c r="AK1345">
        <v>21.4781602090519</v>
      </c>
      <c r="AL1345">
        <v>81.166634670427797</v>
      </c>
      <c r="AM1345">
        <v>92.443258121958607</v>
      </c>
      <c r="AN1345">
        <v>1.0000000641767</v>
      </c>
    </row>
    <row r="1346" spans="1:40" x14ac:dyDescent="0.3">
      <c r="A1346" t="str">
        <f>"20200111150751756"</f>
        <v>20200111150751756</v>
      </c>
      <c r="B1346" t="str">
        <f>"1578726471752688"</f>
        <v>1578726471752688</v>
      </c>
      <c r="C1346" t="s">
        <v>40</v>
      </c>
      <c r="D1346">
        <v>5.456995</v>
      </c>
      <c r="E1346">
        <v>0.55243569999999997</v>
      </c>
      <c r="F1346" t="s">
        <v>55</v>
      </c>
      <c r="G1346">
        <v>-369.78410000000002</v>
      </c>
      <c r="H1346" s="1">
        <v>3.6698419999999999E-6</v>
      </c>
      <c r="I1346">
        <v>286.67250000000001</v>
      </c>
      <c r="J1346">
        <v>-346.56209999999999</v>
      </c>
      <c r="K1346">
        <v>1.1099760000000001</v>
      </c>
      <c r="L1346">
        <v>284.14859999999999</v>
      </c>
      <c r="M1346">
        <v>-0.99995369999999995</v>
      </c>
      <c r="N1346">
        <v>0</v>
      </c>
      <c r="O1346">
        <v>4.5111989999999996E-3</v>
      </c>
      <c r="P1346">
        <v>-0.98869790000000002</v>
      </c>
      <c r="Q1346">
        <v>0.14507439999999999</v>
      </c>
      <c r="R1346">
        <v>-3.7813890000000003E-2</v>
      </c>
      <c r="S1346">
        <v>-3.0682369999999999</v>
      </c>
      <c r="T1346">
        <v>-0.1457204</v>
      </c>
      <c r="U1346">
        <v>0.33142090000000002</v>
      </c>
      <c r="V1346">
        <v>-4.2298639999999998E-2</v>
      </c>
      <c r="W1346">
        <v>0.15347269999999999</v>
      </c>
      <c r="X1346">
        <v>0.98724719999999999</v>
      </c>
      <c r="Y1346">
        <v>0.1027962</v>
      </c>
      <c r="Z1346">
        <v>2.2191170000000001E-3</v>
      </c>
      <c r="AA1346">
        <v>0.99470000000000003</v>
      </c>
      <c r="AB1346">
        <v>26</v>
      </c>
      <c r="AC1346">
        <v>-23.222000000000001</v>
      </c>
      <c r="AD1346">
        <v>-1.109972330158</v>
      </c>
      <c r="AE1346">
        <v>2.5239000000000198</v>
      </c>
      <c r="AF1346">
        <v>2.4136614079175001</v>
      </c>
      <c r="AG1346">
        <v>-1.109972330158</v>
      </c>
      <c r="AH1346">
        <v>23.1808075239849</v>
      </c>
      <c r="AI1346">
        <v>92.726695389476404</v>
      </c>
      <c r="AJ1346">
        <v>84.055596890625907</v>
      </c>
      <c r="AK1346">
        <v>23.3325445982607</v>
      </c>
      <c r="AL1346">
        <v>81.171771751897893</v>
      </c>
      <c r="AM1346">
        <v>92.453339168390599</v>
      </c>
      <c r="AN1346">
        <v>1.0000000392494801</v>
      </c>
    </row>
    <row r="1347" spans="1:40" x14ac:dyDescent="0.3">
      <c r="A1347" t="str">
        <f>"20200111150751773"</f>
        <v>20200111150751773</v>
      </c>
      <c r="B1347" t="str">
        <f>"1578726471762449"</f>
        <v>1578726471762449</v>
      </c>
      <c r="C1347" t="s">
        <v>40</v>
      </c>
      <c r="D1347">
        <v>5.7038250000000001</v>
      </c>
      <c r="E1347">
        <v>0.55168189999999995</v>
      </c>
      <c r="F1347" t="s">
        <v>55</v>
      </c>
      <c r="G1347">
        <v>-374.6644</v>
      </c>
      <c r="H1347" s="1">
        <v>9.4538600000000002E-7</v>
      </c>
      <c r="I1347">
        <v>287.03710000000001</v>
      </c>
      <c r="J1347">
        <v>-346.75229999999999</v>
      </c>
      <c r="K1347">
        <v>1.1099730000000001</v>
      </c>
      <c r="L1347">
        <v>284.14940000000001</v>
      </c>
      <c r="M1347">
        <v>-0.99995489999999998</v>
      </c>
      <c r="N1347">
        <v>0</v>
      </c>
      <c r="O1347">
        <v>4.4254619999999998E-3</v>
      </c>
      <c r="P1347">
        <v>-0.98866989999999999</v>
      </c>
      <c r="Q1347">
        <v>0.14522769999999999</v>
      </c>
      <c r="R1347">
        <v>-3.7961370000000001E-2</v>
      </c>
      <c r="S1347">
        <v>-3.0640559999999999</v>
      </c>
      <c r="T1347">
        <v>-0.1210228</v>
      </c>
      <c r="U1347">
        <v>0.31494139999999998</v>
      </c>
      <c r="V1347">
        <v>-4.2361299999999998E-2</v>
      </c>
      <c r="W1347">
        <v>0.15353629999999999</v>
      </c>
      <c r="X1347">
        <v>0.98723459999999996</v>
      </c>
      <c r="Y1347">
        <v>9.7771640000000007E-2</v>
      </c>
      <c r="Z1347">
        <v>1.7507899999999999E-3</v>
      </c>
      <c r="AA1347">
        <v>0.99520730000000002</v>
      </c>
      <c r="AB1347">
        <v>26</v>
      </c>
      <c r="AC1347">
        <v>-27.912099999999999</v>
      </c>
      <c r="AD1347">
        <v>-1.1099720546139999</v>
      </c>
      <c r="AE1347">
        <v>2.8876999999999899</v>
      </c>
      <c r="AF1347">
        <v>2.75982527879634</v>
      </c>
      <c r="AG1347">
        <v>-1.1099720546139999</v>
      </c>
      <c r="AH1347">
        <v>27.8809827169969</v>
      </c>
      <c r="AI1347">
        <v>92.268727002823098</v>
      </c>
      <c r="AJ1347">
        <v>84.346938723943595</v>
      </c>
      <c r="AK1347">
        <v>28.039220224481699</v>
      </c>
      <c r="AL1347">
        <v>81.168083820193701</v>
      </c>
      <c r="AM1347">
        <v>92.457000344355507</v>
      </c>
      <c r="AN1347">
        <v>1.00000001529626</v>
      </c>
    </row>
    <row r="1348" spans="1:40" x14ac:dyDescent="0.3">
      <c r="A1348" t="str">
        <f>"20200111150751786"</f>
        <v>20200111150751786</v>
      </c>
      <c r="B1348" t="str">
        <f>"1578726471782945"</f>
        <v>1578726471782945</v>
      </c>
      <c r="C1348" t="s">
        <v>40</v>
      </c>
      <c r="D1348">
        <v>4.6843959999999996</v>
      </c>
      <c r="E1348">
        <v>0.54980459999999998</v>
      </c>
      <c r="F1348" t="s">
        <v>55</v>
      </c>
      <c r="G1348">
        <v>-377.74689999999998</v>
      </c>
      <c r="H1348" s="1">
        <v>2.585698E-6</v>
      </c>
      <c r="I1348">
        <v>287.26929999999999</v>
      </c>
      <c r="J1348">
        <v>-346.90570000000002</v>
      </c>
      <c r="K1348">
        <v>1.109972</v>
      </c>
      <c r="L1348">
        <v>284.14999999999998</v>
      </c>
      <c r="M1348">
        <v>-0.9999557</v>
      </c>
      <c r="N1348">
        <v>0</v>
      </c>
      <c r="O1348">
        <v>4.3564119999999996E-3</v>
      </c>
      <c r="P1348">
        <v>-0.98866370000000003</v>
      </c>
      <c r="Q1348">
        <v>0.1452592</v>
      </c>
      <c r="R1348">
        <v>-3.8001800000000002E-2</v>
      </c>
      <c r="S1348">
        <v>-3.0623469999999999</v>
      </c>
      <c r="T1348">
        <v>-0.1096683</v>
      </c>
      <c r="U1348">
        <v>0.30825809999999998</v>
      </c>
      <c r="V1348">
        <v>-4.233373E-2</v>
      </c>
      <c r="W1348">
        <v>0.15350520000000001</v>
      </c>
      <c r="X1348">
        <v>0.98724060000000002</v>
      </c>
      <c r="Y1348">
        <v>9.5760970000000001E-2</v>
      </c>
      <c r="Z1348">
        <v>1.5542570000000001E-3</v>
      </c>
      <c r="AA1348">
        <v>0.99540320000000004</v>
      </c>
      <c r="AB1348">
        <v>26</v>
      </c>
      <c r="AC1348">
        <v>-30.841199999999901</v>
      </c>
      <c r="AD1348">
        <v>-1.109969414302</v>
      </c>
      <c r="AE1348">
        <v>3.1193</v>
      </c>
      <c r="AF1348">
        <v>2.9810865416158299</v>
      </c>
      <c r="AG1348">
        <v>-1.109969414302</v>
      </c>
      <c r="AH1348">
        <v>30.814987256663599</v>
      </c>
      <c r="AI1348">
        <v>92.053349413067096</v>
      </c>
      <c r="AJ1348">
        <v>84.474318527992594</v>
      </c>
      <c r="AK1348">
        <v>30.9787402697015</v>
      </c>
      <c r="AL1348">
        <v>81.169886930508099</v>
      </c>
      <c r="AM1348">
        <v>92.455388308320707</v>
      </c>
      <c r="AN1348">
        <v>0.99999999670555595</v>
      </c>
    </row>
    <row r="1349" spans="1:40" x14ac:dyDescent="0.3">
      <c r="A1349" t="str">
        <f>"20200111150751807"</f>
        <v>20200111150751807</v>
      </c>
      <c r="B1349" t="str">
        <f>"1578726471802465"</f>
        <v>1578726471802465</v>
      </c>
      <c r="C1349" t="s">
        <v>40</v>
      </c>
      <c r="D1349">
        <v>4.7050359999999998</v>
      </c>
      <c r="E1349">
        <v>0.52132869999999998</v>
      </c>
      <c r="F1349" t="s">
        <v>55</v>
      </c>
      <c r="G1349">
        <v>-381.53230000000002</v>
      </c>
      <c r="H1349" s="1">
        <v>-7.2136379999999996E-7</v>
      </c>
      <c r="I1349">
        <v>287.46609999999998</v>
      </c>
      <c r="J1349">
        <v>-347.1499</v>
      </c>
      <c r="K1349">
        <v>1.109972</v>
      </c>
      <c r="L1349">
        <v>284.15089999999998</v>
      </c>
      <c r="M1349">
        <v>-0.99995679999999998</v>
      </c>
      <c r="N1349">
        <v>0</v>
      </c>
      <c r="O1349">
        <v>4.2472739999999997E-3</v>
      </c>
      <c r="P1349">
        <v>-0.98864719999999995</v>
      </c>
      <c r="Q1349">
        <v>0.14529149999999999</v>
      </c>
      <c r="R1349">
        <v>-3.8307180000000003E-2</v>
      </c>
      <c r="S1349">
        <v>-3.0600890000000001</v>
      </c>
      <c r="T1349">
        <v>-9.8092680000000002E-2</v>
      </c>
      <c r="U1349">
        <v>0.2930603</v>
      </c>
      <c r="V1349">
        <v>-4.2531329999999999E-2</v>
      </c>
      <c r="W1349">
        <v>0.1534529</v>
      </c>
      <c r="X1349">
        <v>0.98724029999999996</v>
      </c>
      <c r="Y1349">
        <v>9.1059260000000003E-2</v>
      </c>
      <c r="Z1349">
        <v>1.319972E-3</v>
      </c>
      <c r="AA1349">
        <v>0.99584459999999997</v>
      </c>
      <c r="AB1349">
        <v>26</v>
      </c>
      <c r="AC1349">
        <v>-34.382399999999997</v>
      </c>
      <c r="AD1349">
        <v>-1.1099727213638</v>
      </c>
      <c r="AE1349">
        <v>3.3151999999999999</v>
      </c>
      <c r="AF1349">
        <v>3.1658645507600802</v>
      </c>
      <c r="AG1349">
        <v>-1.1099727213638</v>
      </c>
      <c r="AH1349">
        <v>34.360689965938001</v>
      </c>
      <c r="AI1349">
        <v>91.842416162210796</v>
      </c>
      <c r="AJ1349">
        <v>84.735845067590105</v>
      </c>
      <c r="AK1349">
        <v>34.524074972854002</v>
      </c>
      <c r="AL1349">
        <v>81.172919976698793</v>
      </c>
      <c r="AM1349">
        <v>92.466835881006602</v>
      </c>
      <c r="AN1349">
        <v>1.0000000582470301</v>
      </c>
    </row>
    <row r="1350" spans="1:40" x14ac:dyDescent="0.3">
      <c r="A1350" t="str">
        <f>"20200111150751821"</f>
        <v>20200111150751821</v>
      </c>
      <c r="B1350" t="str">
        <f>"1578726471812225"</f>
        <v>1578726471812225</v>
      </c>
      <c r="C1350" t="s">
        <v>40</v>
      </c>
      <c r="D1350">
        <v>4.6979340000000001</v>
      </c>
      <c r="E1350">
        <v>0.52115540000000005</v>
      </c>
      <c r="F1350" t="s">
        <v>55</v>
      </c>
      <c r="G1350">
        <v>-385.26639999999998</v>
      </c>
      <c r="H1350" s="1">
        <v>1.2657419999999999E-6</v>
      </c>
      <c r="I1350">
        <v>284.96019999999999</v>
      </c>
      <c r="J1350">
        <v>-347.3168</v>
      </c>
      <c r="K1350">
        <v>1.109972</v>
      </c>
      <c r="L1350">
        <v>284.15159999999997</v>
      </c>
      <c r="M1350">
        <v>-0.9999576</v>
      </c>
      <c r="N1350">
        <v>0</v>
      </c>
      <c r="O1350">
        <v>4.172444E-3</v>
      </c>
      <c r="P1350">
        <v>-0.98867419999999995</v>
      </c>
      <c r="Q1350">
        <v>0.14502470000000001</v>
      </c>
      <c r="R1350">
        <v>-3.8619519999999997E-2</v>
      </c>
      <c r="S1350">
        <v>-3.050049</v>
      </c>
      <c r="T1350">
        <v>-8.8818910000000001E-2</v>
      </c>
      <c r="U1350">
        <v>6.4758300000000005E-2</v>
      </c>
      <c r="V1350">
        <v>-4.2769769999999999E-2</v>
      </c>
      <c r="W1350">
        <v>0.15313579999999999</v>
      </c>
      <c r="X1350">
        <v>0.98727920000000002</v>
      </c>
      <c r="Y1350">
        <v>1.704982E-2</v>
      </c>
      <c r="Z1350">
        <v>1.2670239999999999E-4</v>
      </c>
      <c r="AA1350">
        <v>0.99985460000000004</v>
      </c>
      <c r="AB1350">
        <v>26</v>
      </c>
      <c r="AC1350">
        <v>-37.949599999999897</v>
      </c>
      <c r="AD1350">
        <v>-1.1099707342580001</v>
      </c>
      <c r="AE1350">
        <v>0.80860000000001198</v>
      </c>
      <c r="AF1350">
        <v>0.64968950194785302</v>
      </c>
      <c r="AG1350">
        <v>-1.1099707342580001</v>
      </c>
      <c r="AH1350">
        <v>37.920218413269403</v>
      </c>
      <c r="AI1350">
        <v>91.676392253821902</v>
      </c>
      <c r="AJ1350">
        <v>89.018443818590896</v>
      </c>
      <c r="AK1350">
        <v>37.942022824170898</v>
      </c>
      <c r="AL1350">
        <v>81.191305460619304</v>
      </c>
      <c r="AM1350">
        <v>92.480550659737006</v>
      </c>
      <c r="AN1350">
        <v>1.00000002261006</v>
      </c>
    </row>
    <row r="1351" spans="1:40" x14ac:dyDescent="0.3">
      <c r="A1351" t="str">
        <f>"20200111150751834"</f>
        <v>20200111150751834</v>
      </c>
      <c r="B1351" t="str">
        <f>"1578726471832724"</f>
        <v>1578726471832724</v>
      </c>
      <c r="C1351" t="s">
        <v>40</v>
      </c>
      <c r="D1351">
        <v>4.7150030000000003</v>
      </c>
      <c r="E1351">
        <v>0.51758679999999901</v>
      </c>
      <c r="F1351" t="s">
        <v>55</v>
      </c>
      <c r="G1351">
        <v>-385.16609999999997</v>
      </c>
      <c r="H1351" s="1">
        <v>1.2123710000000001E-6</v>
      </c>
      <c r="I1351">
        <v>284.9314</v>
      </c>
      <c r="J1351">
        <v>-347.47109999999998</v>
      </c>
      <c r="K1351">
        <v>1.1099669999999999</v>
      </c>
      <c r="L1351">
        <v>284.15210000000002</v>
      </c>
      <c r="M1351">
        <v>-0.99995820000000002</v>
      </c>
      <c r="N1351">
        <v>0</v>
      </c>
      <c r="O1351">
        <v>4.1030009999999898E-3</v>
      </c>
      <c r="P1351">
        <v>-0.98869640000000003</v>
      </c>
      <c r="Q1351">
        <v>0.14479310000000001</v>
      </c>
      <c r="R1351">
        <v>-3.8915949999999998E-2</v>
      </c>
      <c r="S1351">
        <v>-3.0498660000000002</v>
      </c>
      <c r="T1351">
        <v>-8.9440459999999999E-2</v>
      </c>
      <c r="U1351">
        <v>6.283569E-2</v>
      </c>
      <c r="V1351">
        <v>-4.2998059999999998E-2</v>
      </c>
      <c r="W1351">
        <v>0.15286250000000001</v>
      </c>
      <c r="X1351">
        <v>0.98731159999999996</v>
      </c>
      <c r="Y1351">
        <v>1.6490640000000001E-2</v>
      </c>
      <c r="Z1351">
        <v>1.214363E-4</v>
      </c>
      <c r="AA1351">
        <v>0.99986399999999998</v>
      </c>
      <c r="AB1351">
        <v>26</v>
      </c>
      <c r="AC1351">
        <v>-37.694999999999901</v>
      </c>
      <c r="AD1351">
        <v>-1.1099657876289999</v>
      </c>
      <c r="AE1351">
        <v>0.77929999999997701</v>
      </c>
      <c r="AF1351">
        <v>0.62408476313540795</v>
      </c>
      <c r="AG1351">
        <v>-1.1099657876289999</v>
      </c>
      <c r="AH1351">
        <v>37.665236004399802</v>
      </c>
      <c r="AI1351">
        <v>91.687742891662296</v>
      </c>
      <c r="AJ1351">
        <v>89.050738690744694</v>
      </c>
      <c r="AK1351">
        <v>37.686755088604002</v>
      </c>
      <c r="AL1351">
        <v>81.207150634690194</v>
      </c>
      <c r="AM1351">
        <v>92.493692563062098</v>
      </c>
      <c r="AN1351">
        <v>0.99999998628228604</v>
      </c>
    </row>
    <row r="1352" spans="1:40" x14ac:dyDescent="0.3">
      <c r="A1352" t="str">
        <f>"20200111150751848"</f>
        <v>20200111150751848</v>
      </c>
      <c r="B1352" t="str">
        <f>"1578726471842481"</f>
        <v>1578726471842481</v>
      </c>
      <c r="C1352" t="s">
        <v>40</v>
      </c>
      <c r="D1352">
        <v>4.6976190000000004</v>
      </c>
      <c r="E1352">
        <v>0.51770340000000004</v>
      </c>
      <c r="F1352" t="s">
        <v>55</v>
      </c>
      <c r="G1352">
        <v>-447.65089999999998</v>
      </c>
      <c r="H1352" s="1">
        <v>2.5082450000000002E-6</v>
      </c>
      <c r="I1352">
        <v>285.2199</v>
      </c>
      <c r="J1352">
        <v>-347.62439999999998</v>
      </c>
      <c r="K1352">
        <v>1.109964</v>
      </c>
      <c r="L1352">
        <v>284.15269999999998</v>
      </c>
      <c r="M1352">
        <v>-0.99995880000000004</v>
      </c>
      <c r="N1352">
        <v>0</v>
      </c>
      <c r="O1352">
        <v>4.0341350000000003E-3</v>
      </c>
      <c r="P1352">
        <v>-0.98866849999999995</v>
      </c>
      <c r="Q1352">
        <v>0.14491679999999901</v>
      </c>
      <c r="R1352">
        <v>-3.916563E-2</v>
      </c>
      <c r="S1352">
        <v>-3.040527</v>
      </c>
      <c r="T1352">
        <v>-3.368819E-2</v>
      </c>
      <c r="U1352">
        <v>3.2409670000000002E-2</v>
      </c>
      <c r="V1352">
        <v>-4.3179200000000001E-2</v>
      </c>
      <c r="W1352">
        <v>0.15294869999999999</v>
      </c>
      <c r="X1352">
        <v>0.98729040000000001</v>
      </c>
      <c r="Y1352">
        <v>6.6243350000000003E-3</v>
      </c>
      <c r="Z1352" s="1">
        <v>-7.9998790000000003E-6</v>
      </c>
      <c r="AA1352">
        <v>0.99997809999999998</v>
      </c>
      <c r="AB1352">
        <v>26</v>
      </c>
      <c r="AC1352">
        <v>-100.0265</v>
      </c>
      <c r="AD1352">
        <v>-1.109961491755</v>
      </c>
      <c r="AE1352">
        <v>1.0672000000000099</v>
      </c>
      <c r="AF1352">
        <v>0.66357586811307401</v>
      </c>
      <c r="AG1352">
        <v>-1.109961491755</v>
      </c>
      <c r="AH1352">
        <v>100.017676993225</v>
      </c>
      <c r="AI1352">
        <v>90.635808596607703</v>
      </c>
      <c r="AJ1352">
        <v>89.6198718073192</v>
      </c>
      <c r="AK1352">
        <v>100.02603690323301</v>
      </c>
      <c r="AL1352">
        <v>81.202153455438506</v>
      </c>
      <c r="AM1352">
        <v>92.504238220298902</v>
      </c>
      <c r="AN1352">
        <v>1.0000000410382399</v>
      </c>
    </row>
    <row r="1353" spans="1:40" x14ac:dyDescent="0.3">
      <c r="A1353" t="str">
        <f>"20200111150751862"</f>
        <v>20200111150751862</v>
      </c>
      <c r="B1353" t="str">
        <f>"1578726471852240"</f>
        <v>1578726471852240</v>
      </c>
      <c r="C1353" t="s">
        <v>40</v>
      </c>
      <c r="D1353">
        <v>5.5364250000000004</v>
      </c>
      <c r="E1353">
        <v>0.51756579999999996</v>
      </c>
      <c r="F1353" t="s">
        <v>58</v>
      </c>
      <c r="G1353">
        <v>-407.31380000000001</v>
      </c>
      <c r="H1353" s="1">
        <v>5.120785E-6</v>
      </c>
      <c r="I1353">
        <v>284.80079999999998</v>
      </c>
      <c r="J1353">
        <v>-347.7987</v>
      </c>
      <c r="K1353">
        <v>1.1099669999999999</v>
      </c>
      <c r="L1353">
        <v>284.1533</v>
      </c>
      <c r="M1353">
        <v>-0.99995940000000005</v>
      </c>
      <c r="N1353">
        <v>0</v>
      </c>
      <c r="O1353">
        <v>3.9560940000000003E-3</v>
      </c>
      <c r="P1353">
        <v>-0.98867559999999999</v>
      </c>
      <c r="Q1353">
        <v>0.1450698</v>
      </c>
      <c r="R1353">
        <v>-3.840826E-2</v>
      </c>
      <c r="S1353">
        <v>-3.044006</v>
      </c>
      <c r="T1353">
        <v>-5.6605099999999901E-2</v>
      </c>
      <c r="U1353">
        <v>3.3050540000000003E-2</v>
      </c>
      <c r="V1353">
        <v>-4.2345609999999999E-2</v>
      </c>
      <c r="W1353">
        <v>0.1530637</v>
      </c>
      <c r="X1353">
        <v>0.98730859999999998</v>
      </c>
      <c r="Y1353">
        <v>6.9003529999999997E-3</v>
      </c>
      <c r="Z1353" s="1">
        <v>-9.4086279999999999E-6</v>
      </c>
      <c r="AA1353">
        <v>0.99997619999999998</v>
      </c>
      <c r="AB1353">
        <v>26</v>
      </c>
      <c r="AC1353">
        <v>-59.515099999999997</v>
      </c>
      <c r="AD1353">
        <v>-1.1099618792149999</v>
      </c>
      <c r="AE1353">
        <v>0.64749999999997898</v>
      </c>
      <c r="AF1353">
        <v>0.411896634509408</v>
      </c>
      <c r="AG1353">
        <v>-1.1099618792149999</v>
      </c>
      <c r="AH1353">
        <v>59.4965039267694</v>
      </c>
      <c r="AI1353">
        <v>91.068755757513998</v>
      </c>
      <c r="AJ1353">
        <v>89.603345404015997</v>
      </c>
      <c r="AK1353">
        <v>59.508282227929598</v>
      </c>
      <c r="AL1353">
        <v>81.195485207028</v>
      </c>
      <c r="AM1353">
        <v>92.455907560661203</v>
      </c>
      <c r="AN1353">
        <v>0.99999995928896002</v>
      </c>
    </row>
    <row r="1354" spans="1:40" x14ac:dyDescent="0.3">
      <c r="A1354" t="str">
        <f>"20200111150751874"</f>
        <v>20200111150751874</v>
      </c>
      <c r="B1354" t="str">
        <f>"1578726471872737"</f>
        <v>1578726471872737</v>
      </c>
      <c r="C1354" t="s">
        <v>40</v>
      </c>
      <c r="D1354">
        <v>7.2271919999999996</v>
      </c>
      <c r="E1354">
        <v>0.51891089999999995</v>
      </c>
      <c r="F1354" t="s">
        <v>58</v>
      </c>
      <c r="G1354">
        <v>-435.19229999999999</v>
      </c>
      <c r="H1354" s="1">
        <v>4.4775379999999997E-6</v>
      </c>
      <c r="I1354">
        <v>285.09690000000001</v>
      </c>
      <c r="J1354">
        <v>-347.94540000000001</v>
      </c>
      <c r="K1354">
        <v>1.109966</v>
      </c>
      <c r="L1354">
        <v>284.15379999999999</v>
      </c>
      <c r="M1354">
        <v>-0.99995999999999996</v>
      </c>
      <c r="N1354">
        <v>0</v>
      </c>
      <c r="O1354">
        <v>3.8904069999999998E-3</v>
      </c>
      <c r="P1354">
        <v>-0.98867280000000002</v>
      </c>
      <c r="Q1354">
        <v>0.1451547</v>
      </c>
      <c r="R1354">
        <v>-3.8164089999999998E-2</v>
      </c>
      <c r="S1354">
        <v>-3.0413209999999999</v>
      </c>
      <c r="T1354">
        <v>-3.862703E-2</v>
      </c>
      <c r="U1354">
        <v>3.2836909999999997E-2</v>
      </c>
      <c r="V1354">
        <v>-4.2036410000000003E-2</v>
      </c>
      <c r="W1354">
        <v>0.1531198</v>
      </c>
      <c r="X1354">
        <v>0.9873132</v>
      </c>
      <c r="Y1354">
        <v>6.9056650000000001E-3</v>
      </c>
      <c r="Z1354" s="1">
        <v>-5.5583879999999997E-6</v>
      </c>
      <c r="AA1354">
        <v>0.99997619999999998</v>
      </c>
      <c r="AB1354">
        <v>26</v>
      </c>
      <c r="AC1354">
        <v>-87.246899999999897</v>
      </c>
      <c r="AD1354">
        <v>-1.1099615224619901</v>
      </c>
      <c r="AE1354">
        <v>0.94310000000001504</v>
      </c>
      <c r="AF1354">
        <v>0.60355822814460602</v>
      </c>
      <c r="AG1354">
        <v>-1.1099615224619901</v>
      </c>
      <c r="AH1354">
        <v>87.235791298827607</v>
      </c>
      <c r="AI1354">
        <v>90.728957189653201</v>
      </c>
      <c r="AJ1354">
        <v>89.603594042312494</v>
      </c>
      <c r="AK1354">
        <v>87.244940143533299</v>
      </c>
      <c r="AL1354">
        <v>81.192233322742098</v>
      </c>
      <c r="AM1354">
        <v>92.437985339152107</v>
      </c>
      <c r="AN1354">
        <v>1.00000004390598</v>
      </c>
    </row>
    <row r="1355" spans="1:40" x14ac:dyDescent="0.3">
      <c r="A1355" t="str">
        <f>"20200111150751889"</f>
        <v>20200111150751889</v>
      </c>
      <c r="B1355" t="str">
        <f>"1578726471882497"</f>
        <v>1578726471882497</v>
      </c>
      <c r="C1355" t="s">
        <v>40</v>
      </c>
      <c r="D1355">
        <v>5.7576640000000001</v>
      </c>
      <c r="E1355">
        <v>0.51909019999999995</v>
      </c>
      <c r="F1355" t="s">
        <v>60</v>
      </c>
      <c r="G1355">
        <v>-580.56960000000004</v>
      </c>
      <c r="H1355">
        <v>-0.1</v>
      </c>
      <c r="I1355">
        <v>287.50200000000001</v>
      </c>
      <c r="J1355">
        <v>-348.10289999999998</v>
      </c>
      <c r="K1355">
        <v>1.1099650000000001</v>
      </c>
      <c r="L1355">
        <v>284.15440000000001</v>
      </c>
      <c r="M1355">
        <v>-0.99996039999999997</v>
      </c>
      <c r="N1355">
        <v>0</v>
      </c>
      <c r="O1355">
        <v>3.8198300000000002E-3</v>
      </c>
      <c r="P1355">
        <v>-0.98863849999999998</v>
      </c>
      <c r="Q1355">
        <v>0.14548469999999999</v>
      </c>
      <c r="R1355">
        <v>-3.7791320000000003E-2</v>
      </c>
      <c r="S1355">
        <v>-3.0383909999999998</v>
      </c>
      <c r="T1355">
        <v>-1.5803810000000001E-2</v>
      </c>
      <c r="U1355">
        <v>4.3731689999999997E-2</v>
      </c>
      <c r="V1355">
        <v>-4.1593779999999997E-2</v>
      </c>
      <c r="W1355">
        <v>0.1534218</v>
      </c>
      <c r="X1355">
        <v>0.98728499999999997</v>
      </c>
      <c r="Y1355">
        <v>1.0571799999999999E-2</v>
      </c>
      <c r="Z1355" s="1">
        <v>7.6246669999999998E-6</v>
      </c>
      <c r="AA1355">
        <v>0.9999441</v>
      </c>
      <c r="AB1355">
        <v>26</v>
      </c>
      <c r="AC1355">
        <v>-232.4667</v>
      </c>
      <c r="AD1355">
        <v>-1.209965</v>
      </c>
      <c r="AE1355">
        <v>3.3475999999999999</v>
      </c>
      <c r="AF1355">
        <v>2.45949699830458</v>
      </c>
      <c r="AG1355">
        <v>-1.209965</v>
      </c>
      <c r="AH1355">
        <v>232.47149502147201</v>
      </c>
      <c r="AI1355">
        <v>90.298193042555297</v>
      </c>
      <c r="AJ1355">
        <v>89.393845940953398</v>
      </c>
      <c r="AK1355">
        <v>232.48765373306199</v>
      </c>
      <c r="AL1355">
        <v>81.1747225437081</v>
      </c>
      <c r="AM1355">
        <v>92.412413441777502</v>
      </c>
      <c r="AN1355">
        <v>0.99999998123746403</v>
      </c>
    </row>
    <row r="1356" spans="1:40" x14ac:dyDescent="0.3">
      <c r="A1356" t="str">
        <f>"20200111150751902"</f>
        <v>20200111150751902</v>
      </c>
      <c r="B1356" t="str">
        <f>"1578726471892256"</f>
        <v>1578726471892256</v>
      </c>
      <c r="C1356" t="s">
        <v>40</v>
      </c>
      <c r="D1356">
        <v>7.6395309999999998</v>
      </c>
      <c r="E1356">
        <v>0.51909019999999995</v>
      </c>
      <c r="F1356" t="s">
        <v>49</v>
      </c>
      <c r="G1356">
        <v>0</v>
      </c>
      <c r="H1356">
        <v>0</v>
      </c>
      <c r="I1356">
        <v>0</v>
      </c>
      <c r="J1356">
        <v>-348.26889999999997</v>
      </c>
      <c r="K1356">
        <v>1.10997099999999</v>
      </c>
      <c r="L1356">
        <v>284.1549</v>
      </c>
      <c r="M1356">
        <v>-0.99996099999999999</v>
      </c>
      <c r="N1356">
        <v>0</v>
      </c>
      <c r="O1356">
        <v>3.7454340000000002E-3</v>
      </c>
      <c r="P1356">
        <v>-0.98862059999999996</v>
      </c>
      <c r="Q1356">
        <v>0.14566499999999999</v>
      </c>
      <c r="R1356">
        <v>-3.7562520000000002E-2</v>
      </c>
      <c r="S1356">
        <v>-3.0364689999999999</v>
      </c>
      <c r="T1356">
        <v>-1.359463E-3</v>
      </c>
      <c r="U1356">
        <v>4.6112060000000003E-2</v>
      </c>
      <c r="V1356">
        <v>-4.1291479999999998E-2</v>
      </c>
      <c r="W1356">
        <v>0.15357589999999999</v>
      </c>
      <c r="X1356">
        <v>0.98727379999999998</v>
      </c>
      <c r="Y1356">
        <v>1.1439100000000001E-2</v>
      </c>
      <c r="Z1356" s="1">
        <v>8.8374589999999996E-7</v>
      </c>
      <c r="AA1356">
        <v>0.99993460000000001</v>
      </c>
      <c r="AB1356">
        <v>26</v>
      </c>
      <c r="AC1356">
        <v>-3.0364689999999999</v>
      </c>
      <c r="AD1356">
        <v>-1.359463E-3</v>
      </c>
      <c r="AE1356">
        <v>4.6112060000000003E-2</v>
      </c>
      <c r="AF1356">
        <v>3.4738471567071202E-2</v>
      </c>
      <c r="AG1356">
        <v>-1.359463E-3</v>
      </c>
      <c r="AH1356">
        <v>3.0366198070146</v>
      </c>
      <c r="AI1356">
        <v>90.025649042592093</v>
      </c>
      <c r="AJ1356">
        <v>89.344573534304203</v>
      </c>
      <c r="AK1356">
        <v>3.0368188062345598</v>
      </c>
      <c r="AL1356">
        <v>81.1657879819398</v>
      </c>
      <c r="AM1356">
        <v>92.3949278558202</v>
      </c>
      <c r="AN1356">
        <v>1.0000000497739101</v>
      </c>
    </row>
    <row r="1357" spans="1:40" x14ac:dyDescent="0.3">
      <c r="A1357" t="str">
        <f>"20200111150751997"</f>
        <v>20200111150751997</v>
      </c>
      <c r="B1357" t="str">
        <f>"1578726471992785"</f>
        <v>1578726471992785</v>
      </c>
      <c r="C1357" t="s">
        <v>40</v>
      </c>
      <c r="D1357">
        <v>5.1281929999999996</v>
      </c>
      <c r="E1357">
        <v>0.52249889999999999</v>
      </c>
      <c r="F1357" t="s">
        <v>49</v>
      </c>
      <c r="G1357">
        <v>0</v>
      </c>
      <c r="H1357">
        <v>0</v>
      </c>
      <c r="I1357">
        <v>0</v>
      </c>
      <c r="J1357">
        <v>-349.38979999999998</v>
      </c>
      <c r="K1357">
        <v>1.109945</v>
      </c>
      <c r="L1357">
        <v>284.15839999999997</v>
      </c>
      <c r="M1357">
        <v>-0.99996359999999995</v>
      </c>
      <c r="N1357">
        <v>0</v>
      </c>
      <c r="O1357">
        <v>3.2427459999999999E-3</v>
      </c>
      <c r="P1357">
        <v>-0.9886374</v>
      </c>
      <c r="Q1357">
        <v>0.14541119999999999</v>
      </c>
      <c r="R1357">
        <v>-3.8104279999999997E-2</v>
      </c>
      <c r="S1357">
        <v>-3.0364070000000001</v>
      </c>
      <c r="T1357">
        <v>-6.771088E-4</v>
      </c>
      <c r="U1357">
        <v>4.7241209999999999E-2</v>
      </c>
      <c r="V1357">
        <v>-4.1337220000000001E-2</v>
      </c>
      <c r="W1357">
        <v>0.1531999</v>
      </c>
      <c r="X1357">
        <v>0.98733029999999999</v>
      </c>
      <c r="Y1357">
        <v>1.231384E-2</v>
      </c>
      <c r="Z1357" s="1">
        <v>6.4979460000000001E-7</v>
      </c>
      <c r="AA1357">
        <v>0.99992420000000004</v>
      </c>
      <c r="AB1357">
        <v>27</v>
      </c>
      <c r="AC1357">
        <v>-3.0364070000000001</v>
      </c>
      <c r="AD1357">
        <v>-6.771088E-4</v>
      </c>
      <c r="AE1357">
        <v>4.7241209999999999E-2</v>
      </c>
      <c r="AF1357">
        <v>3.7394356446909201E-2</v>
      </c>
      <c r="AG1357">
        <v>-6.771088E-4</v>
      </c>
      <c r="AH1357">
        <v>3.03654407949639</v>
      </c>
      <c r="AI1357">
        <v>90.012775225206298</v>
      </c>
      <c r="AJ1357">
        <v>89.294451044404994</v>
      </c>
      <c r="AK1357">
        <v>3.0367743977936499</v>
      </c>
      <c r="AL1357">
        <v>81.187589174444994</v>
      </c>
      <c r="AM1357">
        <v>92.397440664685504</v>
      </c>
      <c r="AN1357">
        <v>1.00000004820771</v>
      </c>
    </row>
    <row r="1358" spans="1:40" x14ac:dyDescent="0.3">
      <c r="A1358" t="str">
        <f>"20200111150752011"</f>
        <v>20200111150752011</v>
      </c>
      <c r="B1358" t="str">
        <f>"1578726472002544"</f>
        <v>1578726472002544</v>
      </c>
      <c r="C1358" t="s">
        <v>40</v>
      </c>
      <c r="D1358">
        <v>5.5787409999999999</v>
      </c>
      <c r="E1358">
        <v>0.51962419999999998</v>
      </c>
      <c r="F1358" t="s">
        <v>49</v>
      </c>
      <c r="G1358">
        <v>0</v>
      </c>
      <c r="H1358">
        <v>0</v>
      </c>
      <c r="I1358">
        <v>0</v>
      </c>
      <c r="J1358">
        <v>-349.5566</v>
      </c>
      <c r="K1358">
        <v>1.109942</v>
      </c>
      <c r="L1358">
        <v>284.15879999999999</v>
      </c>
      <c r="M1358">
        <v>-0.99996399999999996</v>
      </c>
      <c r="N1358">
        <v>0</v>
      </c>
      <c r="O1358">
        <v>3.168049E-3</v>
      </c>
      <c r="P1358">
        <v>-0.9886218</v>
      </c>
      <c r="Q1358">
        <v>0.14541889999999999</v>
      </c>
      <c r="R1358">
        <v>-3.8477879999999999E-2</v>
      </c>
      <c r="S1358">
        <v>-3.0332029999999999</v>
      </c>
      <c r="T1358">
        <v>2.7748470000000001E-2</v>
      </c>
      <c r="U1358">
        <v>7.2387699999999999E-2</v>
      </c>
      <c r="V1358">
        <v>-4.163621E-2</v>
      </c>
      <c r="W1358">
        <v>0.15319559999999999</v>
      </c>
      <c r="X1358">
        <v>0.98731829999999998</v>
      </c>
      <c r="Y1358">
        <v>2.0690210000000001E-2</v>
      </c>
      <c r="Z1358" s="1">
        <v>-6.5646129999999997E-5</v>
      </c>
      <c r="AA1358">
        <v>0.99978599999999995</v>
      </c>
      <c r="AB1358">
        <v>27</v>
      </c>
      <c r="AC1358">
        <v>-3.0332029999999999</v>
      </c>
      <c r="AD1358">
        <v>2.7748470000000001E-2</v>
      </c>
      <c r="AE1358">
        <v>7.2387699999999999E-2</v>
      </c>
      <c r="AF1358">
        <v>6.2772452808215196E-2</v>
      </c>
      <c r="AG1358">
        <v>2.7748470000000001E-2</v>
      </c>
      <c r="AH1358">
        <v>3.0331634106162801</v>
      </c>
      <c r="AI1358">
        <v>89.475964423650595</v>
      </c>
      <c r="AJ1358">
        <v>88.814411626299005</v>
      </c>
      <c r="AK1358">
        <v>3.0339397874579301</v>
      </c>
      <c r="AL1358">
        <v>81.187837578614705</v>
      </c>
      <c r="AM1358">
        <v>92.414790091884001</v>
      </c>
      <c r="AN1358">
        <v>0.99999994567870498</v>
      </c>
    </row>
    <row r="1359" spans="1:40" x14ac:dyDescent="0.3">
      <c r="A1359" t="str">
        <f>"20200111150752023"</f>
        <v>20200111150752023</v>
      </c>
      <c r="B1359" t="str">
        <f>"1578726472012304"</f>
        <v>1578726472012304</v>
      </c>
      <c r="C1359" t="s">
        <v>40</v>
      </c>
      <c r="D1359">
        <v>5.1253080000000004</v>
      </c>
      <c r="E1359">
        <v>0.51907809999999999</v>
      </c>
      <c r="F1359" t="s">
        <v>49</v>
      </c>
      <c r="G1359">
        <v>0</v>
      </c>
      <c r="H1359">
        <v>0</v>
      </c>
      <c r="I1359">
        <v>0</v>
      </c>
      <c r="J1359">
        <v>-349.70589999999999</v>
      </c>
      <c r="K1359">
        <v>1.109939</v>
      </c>
      <c r="L1359">
        <v>284.15929999999997</v>
      </c>
      <c r="M1359">
        <v>-0.99996419999999997</v>
      </c>
      <c r="N1359">
        <v>0</v>
      </c>
      <c r="O1359">
        <v>3.1013909999999998E-3</v>
      </c>
      <c r="P1359">
        <v>-0.98862859999999997</v>
      </c>
      <c r="Q1359">
        <v>0.14534259999999999</v>
      </c>
      <c r="R1359">
        <v>-3.8588400000000002E-2</v>
      </c>
      <c r="S1359">
        <v>-3.0296630000000002</v>
      </c>
      <c r="T1359">
        <v>4.5762539999999997E-2</v>
      </c>
      <c r="U1359">
        <v>4.8004150000000002E-2</v>
      </c>
      <c r="V1359">
        <v>-4.1681490000000002E-2</v>
      </c>
      <c r="W1359">
        <v>0.15310940000000001</v>
      </c>
      <c r="X1359">
        <v>0.98732980000000004</v>
      </c>
      <c r="Y1359">
        <v>1.274046E-2</v>
      </c>
      <c r="Z1359" s="1">
        <v>-4.9368230000000001E-5</v>
      </c>
      <c r="AA1359">
        <v>0.9999188</v>
      </c>
      <c r="AB1359">
        <v>27</v>
      </c>
      <c r="AC1359">
        <v>-3.0296630000000002</v>
      </c>
      <c r="AD1359">
        <v>4.5762539999999997E-2</v>
      </c>
      <c r="AE1359">
        <v>4.8004150000000002E-2</v>
      </c>
      <c r="AF1359">
        <v>3.85986540575309E-2</v>
      </c>
      <c r="AG1359">
        <v>4.5762539999999997E-2</v>
      </c>
      <c r="AH1359">
        <v>3.0291063778579899</v>
      </c>
      <c r="AI1359">
        <v>89.134534141989803</v>
      </c>
      <c r="AJ1359">
        <v>89.269943009701095</v>
      </c>
      <c r="AK1359">
        <v>3.02969792463576</v>
      </c>
      <c r="AL1359">
        <v>81.1928357813687</v>
      </c>
      <c r="AM1359">
        <v>92.417384974766605</v>
      </c>
      <c r="AN1359">
        <v>0.99999998447250904</v>
      </c>
    </row>
    <row r="1360" spans="1:40" x14ac:dyDescent="0.3">
      <c r="A1360" t="str">
        <f>"20200111150752036"</f>
        <v>20200111150752036</v>
      </c>
      <c r="B1360" t="str">
        <f>"1578726472032802"</f>
        <v>1578726472032802</v>
      </c>
      <c r="C1360" t="s">
        <v>40</v>
      </c>
      <c r="D1360">
        <v>5.440925</v>
      </c>
      <c r="E1360">
        <v>0.51905939999999995</v>
      </c>
      <c r="F1360" t="s">
        <v>49</v>
      </c>
      <c r="G1360">
        <v>0</v>
      </c>
      <c r="H1360">
        <v>0</v>
      </c>
      <c r="I1360">
        <v>0</v>
      </c>
      <c r="J1360">
        <v>-349.86470000000003</v>
      </c>
      <c r="K1360">
        <v>1.109934</v>
      </c>
      <c r="L1360">
        <v>284.15969999999999</v>
      </c>
      <c r="M1360">
        <v>-0.99996450000000003</v>
      </c>
      <c r="N1360">
        <v>0</v>
      </c>
      <c r="O1360">
        <v>3.0306170000000002E-3</v>
      </c>
      <c r="P1360">
        <v>-0.98865380000000003</v>
      </c>
      <c r="Q1360">
        <v>0.14518689999999901</v>
      </c>
      <c r="R1360">
        <v>-3.8527539999999999E-2</v>
      </c>
      <c r="S1360">
        <v>-3.029846</v>
      </c>
      <c r="T1360">
        <v>4.3296809999999998E-2</v>
      </c>
      <c r="U1360">
        <v>4.3243410000000003E-2</v>
      </c>
      <c r="V1360">
        <v>-4.155122E-2</v>
      </c>
      <c r="W1360">
        <v>0.152944</v>
      </c>
      <c r="X1360">
        <v>0.98736100000000004</v>
      </c>
      <c r="Y1360">
        <v>1.123972E-2</v>
      </c>
      <c r="Z1360" s="1">
        <v>-3.6995719999999997E-5</v>
      </c>
      <c r="AA1360">
        <v>0.99993679999999996</v>
      </c>
      <c r="AB1360">
        <v>27</v>
      </c>
      <c r="AC1360">
        <v>-3.029846</v>
      </c>
      <c r="AD1360">
        <v>4.3296809999999998E-2</v>
      </c>
      <c r="AE1360">
        <v>4.3243410000000003E-2</v>
      </c>
      <c r="AF1360">
        <v>3.4053672210660697E-2</v>
      </c>
      <c r="AG1360">
        <v>4.3296809999999998E-2</v>
      </c>
      <c r="AH1360">
        <v>3.0293446558624799</v>
      </c>
      <c r="AI1360">
        <v>89.181209412384206</v>
      </c>
      <c r="AJ1360">
        <v>89.355949970425499</v>
      </c>
      <c r="AK1360">
        <v>3.0298454268080701</v>
      </c>
      <c r="AL1360">
        <v>81.202426099128999</v>
      </c>
      <c r="AM1360">
        <v>92.409762618148704</v>
      </c>
      <c r="AN1360">
        <v>1.0000000576702399</v>
      </c>
    </row>
    <row r="1361" spans="1:40" x14ac:dyDescent="0.3">
      <c r="A1361" t="str">
        <f>"20200111150752052"</f>
        <v>20200111150752052</v>
      </c>
      <c r="B1361" t="str">
        <f>"1578726472042561"</f>
        <v>1578726472042561</v>
      </c>
      <c r="C1361" t="s">
        <v>40</v>
      </c>
      <c r="D1361">
        <v>5.4042070000000004</v>
      </c>
      <c r="E1361">
        <v>0.53277959999999902</v>
      </c>
      <c r="F1361" t="s">
        <v>49</v>
      </c>
      <c r="G1361">
        <v>0</v>
      </c>
      <c r="H1361">
        <v>0</v>
      </c>
      <c r="I1361">
        <v>0</v>
      </c>
      <c r="J1361">
        <v>-350.05599999999998</v>
      </c>
      <c r="K1361">
        <v>1.1099330000000001</v>
      </c>
      <c r="L1361">
        <v>284.16019999999997</v>
      </c>
      <c r="M1361">
        <v>-0.99996499999999999</v>
      </c>
      <c r="N1361">
        <v>0</v>
      </c>
      <c r="O1361">
        <v>2.9452879999999999E-3</v>
      </c>
      <c r="P1361">
        <v>-0.98863350000000005</v>
      </c>
      <c r="Q1361">
        <v>0.14531659999999999</v>
      </c>
      <c r="R1361">
        <v>-3.855985E-2</v>
      </c>
      <c r="S1361">
        <v>-3.0284119999999999</v>
      </c>
      <c r="T1361">
        <v>5.2475210000000001E-2</v>
      </c>
      <c r="U1361">
        <v>4.3029789999999998E-2</v>
      </c>
      <c r="V1361">
        <v>-4.1499099999999997E-2</v>
      </c>
      <c r="W1361">
        <v>0.15306600000000001</v>
      </c>
      <c r="X1361">
        <v>0.98734420000000001</v>
      </c>
      <c r="Y1361">
        <v>1.1260869999999999E-2</v>
      </c>
      <c r="Z1361" s="1">
        <v>-4.6520210000000003E-5</v>
      </c>
      <c r="AA1361">
        <v>0.99993659999999995</v>
      </c>
      <c r="AB1361">
        <v>27</v>
      </c>
      <c r="AC1361">
        <v>-3.0284119999999999</v>
      </c>
      <c r="AD1361">
        <v>5.2475210000000001E-2</v>
      </c>
      <c r="AE1361">
        <v>4.3029789999999998E-2</v>
      </c>
      <c r="AF1361">
        <v>3.4099548110645098E-2</v>
      </c>
      <c r="AG1361">
        <v>5.2475210000000001E-2</v>
      </c>
      <c r="AH1361">
        <v>3.02761675396511</v>
      </c>
      <c r="AI1361">
        <v>89.007101402386496</v>
      </c>
      <c r="AJ1361">
        <v>89.354714370194998</v>
      </c>
      <c r="AK1361">
        <v>3.0282634686790599</v>
      </c>
      <c r="AL1361">
        <v>81.195351972267005</v>
      </c>
      <c r="AM1361">
        <v>92.406784379256493</v>
      </c>
      <c r="AN1361">
        <v>0.99999997246522399</v>
      </c>
    </row>
    <row r="1362" spans="1:40" x14ac:dyDescent="0.3">
      <c r="A1362" t="str">
        <f>"20200111150752065"</f>
        <v>20200111150752065</v>
      </c>
      <c r="B1362" t="str">
        <f>"1578726472063057"</f>
        <v>1578726472063057</v>
      </c>
      <c r="C1362" t="s">
        <v>40</v>
      </c>
      <c r="D1362">
        <v>5.0441229999999999</v>
      </c>
      <c r="E1362">
        <v>0.51459979999999905</v>
      </c>
      <c r="F1362" t="s">
        <v>41</v>
      </c>
      <c r="G1362">
        <v>-350.80770000000001</v>
      </c>
      <c r="H1362">
        <v>0.91381290000000004</v>
      </c>
      <c r="I1362">
        <v>284.20010000000002</v>
      </c>
      <c r="J1362">
        <v>-350.2167</v>
      </c>
      <c r="K1362">
        <v>1.1099330000000001</v>
      </c>
      <c r="L1362">
        <v>284.16059999999999</v>
      </c>
      <c r="M1362">
        <v>-0.99996510000000005</v>
      </c>
      <c r="N1362">
        <v>0</v>
      </c>
      <c r="O1362">
        <v>2.873591E-3</v>
      </c>
      <c r="P1362">
        <v>-0.98858550000000001</v>
      </c>
      <c r="Q1362">
        <v>0.1456297</v>
      </c>
      <c r="R1362">
        <v>-3.8610360000000003E-2</v>
      </c>
      <c r="S1362">
        <v>-3.1622919999999999</v>
      </c>
      <c r="T1362">
        <v>-0.824976499999999</v>
      </c>
      <c r="U1362">
        <v>0.16802979999999901</v>
      </c>
      <c r="V1362">
        <v>-4.1478260000000003E-2</v>
      </c>
      <c r="W1362">
        <v>0.1533766</v>
      </c>
      <c r="X1362">
        <v>0.98729690000000003</v>
      </c>
      <c r="Y1362">
        <v>4.8662530000000002E-2</v>
      </c>
      <c r="Z1362">
        <v>5.5020260000000001E-3</v>
      </c>
      <c r="AA1362">
        <v>0.99880009999999997</v>
      </c>
      <c r="AB1362">
        <v>27</v>
      </c>
      <c r="AC1362">
        <v>-0.59100000000000796</v>
      </c>
      <c r="AD1362">
        <v>-0.19612009999999999</v>
      </c>
      <c r="AE1362">
        <v>3.9500000000032197E-2</v>
      </c>
      <c r="AF1362">
        <v>3.4066721960774198E-2</v>
      </c>
      <c r="AG1362">
        <v>-0.19612009999999999</v>
      </c>
      <c r="AH1362">
        <v>0.53270956287402904</v>
      </c>
      <c r="AI1362">
        <v>110.17359808661899</v>
      </c>
      <c r="AJ1362">
        <v>86.340923383238305</v>
      </c>
      <c r="AK1362">
        <v>0.568685425825739</v>
      </c>
      <c r="AL1362">
        <v>81.177343481944106</v>
      </c>
      <c r="AM1362">
        <v>92.405692273943899</v>
      </c>
      <c r="AN1362">
        <v>0.99999999811489804</v>
      </c>
    </row>
    <row r="1363" spans="1:40" x14ac:dyDescent="0.3">
      <c r="A1363" t="str">
        <f>"20200111150752080"</f>
        <v>20200111150752080</v>
      </c>
      <c r="B1363" t="str">
        <f>"1578726472072817"</f>
        <v>1578726472072817</v>
      </c>
      <c r="C1363" t="s">
        <v>40</v>
      </c>
      <c r="D1363">
        <v>5.4661960000000001</v>
      </c>
      <c r="E1363">
        <v>0.51459979999999905</v>
      </c>
      <c r="F1363" t="s">
        <v>55</v>
      </c>
      <c r="G1363">
        <v>-371.65589999999997</v>
      </c>
      <c r="H1363" s="1">
        <v>-6.5557499999999997E-7</v>
      </c>
      <c r="I1363">
        <v>284.23950000000002</v>
      </c>
      <c r="J1363">
        <v>-350.39449999999999</v>
      </c>
      <c r="K1363">
        <v>1.109936</v>
      </c>
      <c r="L1363">
        <v>284.161</v>
      </c>
      <c r="M1363">
        <v>-0.9999654</v>
      </c>
      <c r="N1363">
        <v>0</v>
      </c>
      <c r="O1363">
        <v>2.7939530000000001E-3</v>
      </c>
      <c r="P1363">
        <v>-0.98857919999999999</v>
      </c>
      <c r="Q1363">
        <v>0.14559549999999999</v>
      </c>
      <c r="R1363">
        <v>-3.89018E-2</v>
      </c>
      <c r="S1363">
        <v>-3.058411</v>
      </c>
      <c r="T1363">
        <v>-0.15833729999999999</v>
      </c>
      <c r="U1363">
        <v>1.126099E-2</v>
      </c>
      <c r="V1363">
        <v>-4.1691730000000003E-2</v>
      </c>
      <c r="W1363">
        <v>0.15334410000000001</v>
      </c>
      <c r="X1363">
        <v>0.98729290000000003</v>
      </c>
      <c r="Y1363">
        <v>8.9046389999999996E-4</v>
      </c>
      <c r="Z1363">
        <v>-1.215182E-4</v>
      </c>
      <c r="AA1363">
        <v>0.99999959999999999</v>
      </c>
      <c r="AB1363">
        <v>27</v>
      </c>
      <c r="AC1363">
        <v>-21.261399999999899</v>
      </c>
      <c r="AD1363">
        <v>-1.1099366555750001</v>
      </c>
      <c r="AE1363">
        <v>7.8500000000019499E-2</v>
      </c>
      <c r="AF1363">
        <v>1.9042621772930899E-2</v>
      </c>
      <c r="AG1363">
        <v>-1.1099366555750001</v>
      </c>
      <c r="AH1363">
        <v>21.203750766226399</v>
      </c>
      <c r="AI1363">
        <v>92.9964825773705</v>
      </c>
      <c r="AJ1363">
        <v>89.948543935591701</v>
      </c>
      <c r="AK1363">
        <v>21.2327899381376</v>
      </c>
      <c r="AL1363">
        <v>81.179227386610506</v>
      </c>
      <c r="AM1363">
        <v>92.418068419711105</v>
      </c>
      <c r="AN1363">
        <v>0.99999994187280405</v>
      </c>
    </row>
    <row r="1364" spans="1:40" x14ac:dyDescent="0.3">
      <c r="A1364" t="str">
        <f>"20200111150752097"</f>
        <v>20200111150752097</v>
      </c>
      <c r="B1364" t="str">
        <f>"1578726472092338"</f>
        <v>1578726472092338</v>
      </c>
      <c r="C1364" t="s">
        <v>40</v>
      </c>
      <c r="D1364">
        <v>5.4446139999999996</v>
      </c>
      <c r="E1364">
        <v>0.50897559999999997</v>
      </c>
      <c r="F1364" t="s">
        <v>55</v>
      </c>
      <c r="G1364">
        <v>-371.822</v>
      </c>
      <c r="H1364" s="1">
        <v>-5.671952E-7</v>
      </c>
      <c r="I1364">
        <v>284.23430000000002</v>
      </c>
      <c r="J1364">
        <v>-350.59550000000002</v>
      </c>
      <c r="K1364">
        <v>1.109945</v>
      </c>
      <c r="L1364">
        <v>284.16149999999999</v>
      </c>
      <c r="M1364">
        <v>-0.99996549999999995</v>
      </c>
      <c r="N1364">
        <v>0</v>
      </c>
      <c r="O1364">
        <v>2.704138E-3</v>
      </c>
      <c r="P1364">
        <v>-0.98842070000000004</v>
      </c>
      <c r="Q1364">
        <v>0.1465611</v>
      </c>
      <c r="R1364">
        <v>-3.9299180000000003E-2</v>
      </c>
      <c r="S1364">
        <v>-3.0584410000000002</v>
      </c>
      <c r="T1364">
        <v>-0.15842590000000001</v>
      </c>
      <c r="U1364">
        <v>1.0467529999999999E-2</v>
      </c>
      <c r="V1364">
        <v>-4.1999750000000002E-2</v>
      </c>
      <c r="W1364">
        <v>0.15432029999999999</v>
      </c>
      <c r="X1364">
        <v>0.9871278</v>
      </c>
      <c r="Y1364">
        <v>7.2092529999999997E-4</v>
      </c>
      <c r="Z1364">
        <v>-1.213237E-4</v>
      </c>
      <c r="AA1364">
        <v>0.99999979999999999</v>
      </c>
      <c r="AB1364">
        <v>27</v>
      </c>
      <c r="AC1364">
        <v>-21.226499999999898</v>
      </c>
      <c r="AD1364">
        <v>-1.1099455671951901</v>
      </c>
      <c r="AE1364">
        <v>7.2800000000029202E-2</v>
      </c>
      <c r="AF1364">
        <v>1.5356589024102399E-2</v>
      </c>
      <c r="AG1364">
        <v>-1.1099455671951901</v>
      </c>
      <c r="AH1364">
        <v>21.1687381985065</v>
      </c>
      <c r="AI1364">
        <v>93.001454104812495</v>
      </c>
      <c r="AJ1364">
        <v>89.958435520520794</v>
      </c>
      <c r="AK1364">
        <v>21.197822810464999</v>
      </c>
      <c r="AL1364">
        <v>81.1226221031026</v>
      </c>
      <c r="AM1364">
        <v>92.436318678087801</v>
      </c>
      <c r="AN1364">
        <v>1.00000001376249</v>
      </c>
    </row>
    <row r="1365" spans="1:40" x14ac:dyDescent="0.3">
      <c r="A1365" t="str">
        <f>"20200111150752111"</f>
        <v>20200111150752111</v>
      </c>
      <c r="B1365" t="str">
        <f>"1578726472103073"</f>
        <v>1578726472103073</v>
      </c>
      <c r="C1365" t="s">
        <v>40</v>
      </c>
      <c r="D1365">
        <v>5.4951349999999897</v>
      </c>
      <c r="E1365">
        <v>0.52526209999999995</v>
      </c>
      <c r="F1365" t="s">
        <v>55</v>
      </c>
      <c r="G1365">
        <v>-384.30919999999998</v>
      </c>
      <c r="H1365" s="1">
        <v>7.5634159999999999E-7</v>
      </c>
      <c r="I1365">
        <v>283.7568</v>
      </c>
      <c r="J1365">
        <v>-350.76920000000001</v>
      </c>
      <c r="K1365">
        <v>1.1099509999999999</v>
      </c>
      <c r="L1365">
        <v>284.1619</v>
      </c>
      <c r="M1365">
        <v>-0.99996549999999995</v>
      </c>
      <c r="N1365">
        <v>0</v>
      </c>
      <c r="O1365">
        <v>2.6266459999999998E-3</v>
      </c>
      <c r="P1365">
        <v>-0.98839690000000002</v>
      </c>
      <c r="Q1365">
        <v>0.1466877</v>
      </c>
      <c r="R1365">
        <v>-3.9418969999999998E-2</v>
      </c>
      <c r="S1365">
        <v>-3.0485530000000001</v>
      </c>
      <c r="T1365">
        <v>-0.10036639999999999</v>
      </c>
      <c r="U1365">
        <v>-3.6590579999999998E-2</v>
      </c>
      <c r="V1365">
        <v>-4.2043509999999999E-2</v>
      </c>
      <c r="W1365">
        <v>0.15446260000000001</v>
      </c>
      <c r="X1365">
        <v>0.98710359999999997</v>
      </c>
      <c r="Y1365">
        <v>-1.4618890000000001E-2</v>
      </c>
      <c r="Z1365">
        <v>-3.270247E-4</v>
      </c>
      <c r="AA1365">
        <v>0.99989309999999998</v>
      </c>
      <c r="AB1365">
        <v>27</v>
      </c>
      <c r="AC1365">
        <v>-33.5399999999999</v>
      </c>
      <c r="AD1365">
        <v>-1.1099502436583999</v>
      </c>
      <c r="AE1365">
        <v>-0.40510000000000401</v>
      </c>
      <c r="AF1365">
        <v>-0.49265957833921098</v>
      </c>
      <c r="AG1365">
        <v>-1.1099502436583999</v>
      </c>
      <c r="AH1365">
        <v>33.502135076439103</v>
      </c>
      <c r="AI1365">
        <v>91.897352024968797</v>
      </c>
      <c r="AJ1365">
        <v>90.842491981183002</v>
      </c>
      <c r="AK1365">
        <v>33.524136941664899</v>
      </c>
      <c r="AL1365">
        <v>81.114369257189793</v>
      </c>
      <c r="AM1365">
        <v>92.438913760899496</v>
      </c>
      <c r="AN1365">
        <v>0.99999993433241696</v>
      </c>
    </row>
    <row r="1366" spans="1:40" x14ac:dyDescent="0.3">
      <c r="A1366" t="str">
        <f>"20200111150752132"</f>
        <v>20200111150752132</v>
      </c>
      <c r="B1366" t="str">
        <f>"1578726472122592"</f>
        <v>1578726472122592</v>
      </c>
      <c r="C1366" t="s">
        <v>40</v>
      </c>
      <c r="D1366">
        <v>5.4699970000000002</v>
      </c>
      <c r="E1366">
        <v>0.52532259999999997</v>
      </c>
      <c r="F1366" t="s">
        <v>41</v>
      </c>
      <c r="G1366">
        <v>-351.52870000000001</v>
      </c>
      <c r="H1366">
        <v>0.90171460000000003</v>
      </c>
      <c r="I1366">
        <v>284.18759999999997</v>
      </c>
      <c r="J1366">
        <v>-351.01729999999998</v>
      </c>
      <c r="K1366">
        <v>1.109964</v>
      </c>
      <c r="L1366">
        <v>284.16239999999999</v>
      </c>
      <c r="M1366">
        <v>-0.99996560000000001</v>
      </c>
      <c r="N1366">
        <v>0</v>
      </c>
      <c r="O1366">
        <v>2.5160410000000001E-3</v>
      </c>
      <c r="P1366">
        <v>-0.98821999999999999</v>
      </c>
      <c r="Q1366">
        <v>0.1478245</v>
      </c>
      <c r="R1366">
        <v>-3.9612630000000003E-2</v>
      </c>
      <c r="S1366">
        <v>-3.1683349999999999</v>
      </c>
      <c r="T1366">
        <v>-0.86869319999999906</v>
      </c>
      <c r="U1366">
        <v>0.1058655</v>
      </c>
      <c r="V1366">
        <v>-4.2127449999999997E-2</v>
      </c>
      <c r="W1366">
        <v>0.15563550000000001</v>
      </c>
      <c r="X1366">
        <v>0.98691580000000001</v>
      </c>
      <c r="Y1366">
        <v>2.9871680000000001E-2</v>
      </c>
      <c r="Z1366">
        <v>3.3426609999999998E-3</v>
      </c>
      <c r="AA1366">
        <v>0.99954810000000005</v>
      </c>
      <c r="AB1366">
        <v>27</v>
      </c>
      <c r="AC1366">
        <v>-0.51140000000003705</v>
      </c>
      <c r="AD1366">
        <v>-0.208249399999999</v>
      </c>
      <c r="AE1366">
        <v>2.5199999999983898E-2</v>
      </c>
      <c r="AF1366">
        <v>2.0518902402094499E-2</v>
      </c>
      <c r="AG1366">
        <v>-0.208249399999999</v>
      </c>
      <c r="AH1366">
        <v>0.43886408911485802</v>
      </c>
      <c r="AI1366">
        <v>115.3610134731</v>
      </c>
      <c r="AJ1366">
        <v>87.323109800136393</v>
      </c>
      <c r="AK1366">
        <v>0.48620008913076102</v>
      </c>
      <c r="AL1366">
        <v>81.046344652634104</v>
      </c>
      <c r="AM1366">
        <v>92.444241624369894</v>
      </c>
      <c r="AN1366">
        <v>0.99999996359669496</v>
      </c>
    </row>
    <row r="1367" spans="1:40" x14ac:dyDescent="0.3">
      <c r="A1367" t="str">
        <f>"20200111150752152"</f>
        <v>20200111150752152</v>
      </c>
      <c r="B1367" t="str">
        <f>"1578726472143089"</f>
        <v>1578726472143089</v>
      </c>
      <c r="C1367" t="s">
        <v>40</v>
      </c>
      <c r="D1367">
        <v>5.4929920000000001</v>
      </c>
      <c r="E1367">
        <v>0.5249511</v>
      </c>
      <c r="F1367" t="s">
        <v>41</v>
      </c>
      <c r="G1367">
        <v>-351.77190000000002</v>
      </c>
      <c r="H1367">
        <v>0.9022348</v>
      </c>
      <c r="I1367">
        <v>284.18770000000001</v>
      </c>
      <c r="J1367">
        <v>-351.274</v>
      </c>
      <c r="K1367">
        <v>1.10998</v>
      </c>
      <c r="L1367">
        <v>284.16289999999998</v>
      </c>
      <c r="M1367">
        <v>-0.9999654</v>
      </c>
      <c r="N1367">
        <v>0</v>
      </c>
      <c r="O1367">
        <v>2.4017520000000001E-3</v>
      </c>
      <c r="P1367">
        <v>-0.98809800000000003</v>
      </c>
      <c r="Q1367">
        <v>0.1486162</v>
      </c>
      <c r="R1367">
        <v>-3.9697070000000001E-2</v>
      </c>
      <c r="S1367">
        <v>-3.1705320000000001</v>
      </c>
      <c r="T1367">
        <v>-0.87283480000000002</v>
      </c>
      <c r="U1367">
        <v>0.1052551</v>
      </c>
      <c r="V1367">
        <v>-4.2099110000000002E-2</v>
      </c>
      <c r="W1367">
        <v>0.1564895</v>
      </c>
      <c r="X1367">
        <v>0.98678200000000005</v>
      </c>
      <c r="Y1367">
        <v>2.976231E-2</v>
      </c>
      <c r="Z1367">
        <v>3.3719000000000002E-3</v>
      </c>
      <c r="AA1367">
        <v>0.99955130000000003</v>
      </c>
      <c r="AB1367">
        <v>27</v>
      </c>
      <c r="AC1367">
        <v>-0.497900000000015</v>
      </c>
      <c r="AD1367">
        <v>-0.20774519999999999</v>
      </c>
      <c r="AE1367">
        <v>2.4800000000027401E-2</v>
      </c>
      <c r="AF1367">
        <v>2.0111483407962899E-2</v>
      </c>
      <c r="AG1367">
        <v>-0.20774519999999999</v>
      </c>
      <c r="AH1367">
        <v>0.42427774752056802</v>
      </c>
      <c r="AI1367">
        <v>116.06303383735001</v>
      </c>
      <c r="AJ1367">
        <v>87.286114478275394</v>
      </c>
      <c r="AK1367">
        <v>0.47283627920141202</v>
      </c>
      <c r="AL1367">
        <v>80.996807473511893</v>
      </c>
      <c r="AM1367">
        <v>92.442930121422194</v>
      </c>
      <c r="AN1367">
        <v>1.00000000709852</v>
      </c>
    </row>
    <row r="1368" spans="1:40" x14ac:dyDescent="0.3">
      <c r="A1368" t="str">
        <f>"20200111150752167"</f>
        <v>20200111150752167</v>
      </c>
      <c r="B1368" t="str">
        <f>"1578726472162609"</f>
        <v>1578726472162609</v>
      </c>
      <c r="C1368" t="s">
        <v>40</v>
      </c>
      <c r="D1368">
        <v>5.5264600000000002</v>
      </c>
      <c r="E1368">
        <v>0.52405190000000001</v>
      </c>
      <c r="F1368" t="s">
        <v>41</v>
      </c>
      <c r="G1368">
        <v>-352.0179</v>
      </c>
      <c r="H1368">
        <v>0.90854699999999999</v>
      </c>
      <c r="I1368">
        <v>284.18729999999999</v>
      </c>
      <c r="J1368">
        <v>-351.44170000000003</v>
      </c>
      <c r="K1368">
        <v>1.1099840000000001</v>
      </c>
      <c r="L1368">
        <v>284.16329999999999</v>
      </c>
      <c r="M1368">
        <v>-0.99996499999999999</v>
      </c>
      <c r="N1368">
        <v>0</v>
      </c>
      <c r="O1368">
        <v>2.3272599999999998E-3</v>
      </c>
      <c r="P1368">
        <v>-0.98806660000000002</v>
      </c>
      <c r="Q1368">
        <v>0.14884159999999999</v>
      </c>
      <c r="R1368">
        <v>-3.9632840000000003E-2</v>
      </c>
      <c r="S1368">
        <v>-3.1693730000000002</v>
      </c>
      <c r="T1368">
        <v>-0.85818430000000001</v>
      </c>
      <c r="U1368">
        <v>0.1032715</v>
      </c>
      <c r="V1368">
        <v>-4.1961249999999999E-2</v>
      </c>
      <c r="W1368">
        <v>0.1567683</v>
      </c>
      <c r="X1368">
        <v>0.98674360000000005</v>
      </c>
      <c r="Y1368">
        <v>2.9271479999999999E-2</v>
      </c>
      <c r="Z1368">
        <v>3.2730340000000002E-3</v>
      </c>
      <c r="AA1368">
        <v>0.99956610000000001</v>
      </c>
      <c r="AB1368">
        <v>27</v>
      </c>
      <c r="AC1368">
        <v>-0.57619999999997096</v>
      </c>
      <c r="AD1368">
        <v>-0.201437</v>
      </c>
      <c r="AE1368">
        <v>2.4000000000000899E-2</v>
      </c>
      <c r="AF1368">
        <v>2.0195022053843499E-2</v>
      </c>
      <c r="AG1368">
        <v>-0.201437</v>
      </c>
      <c r="AH1368">
        <v>0.51359314138175804</v>
      </c>
      <c r="AI1368">
        <v>111.400628951675</v>
      </c>
      <c r="AJ1368">
        <v>87.748229780466204</v>
      </c>
      <c r="AK1368">
        <v>0.55205309414868597</v>
      </c>
      <c r="AL1368">
        <v>80.980633624728</v>
      </c>
      <c r="AM1368">
        <v>92.435034659721794</v>
      </c>
      <c r="AN1368">
        <v>0.99999998926370604</v>
      </c>
    </row>
    <row r="1369" spans="1:40" x14ac:dyDescent="0.3">
      <c r="A1369" t="str">
        <f>"20200111150752181"</f>
        <v>20200111150752181</v>
      </c>
      <c r="B1369" t="str">
        <f>"1578726472172369"</f>
        <v>1578726472172369</v>
      </c>
      <c r="C1369" t="s">
        <v>40</v>
      </c>
      <c r="D1369">
        <v>5.4985210000000002</v>
      </c>
      <c r="E1369">
        <v>0.52457600000000004</v>
      </c>
      <c r="F1369" t="s">
        <v>41</v>
      </c>
      <c r="G1369">
        <v>-352.2518</v>
      </c>
      <c r="H1369">
        <v>0.88525580000000004</v>
      </c>
      <c r="I1369">
        <v>284.18810000000002</v>
      </c>
      <c r="J1369">
        <v>-351.61439999999999</v>
      </c>
      <c r="K1369">
        <v>1.109996</v>
      </c>
      <c r="L1369">
        <v>284.16359999999997</v>
      </c>
      <c r="M1369">
        <v>-0.99996470000000004</v>
      </c>
      <c r="N1369">
        <v>0</v>
      </c>
      <c r="O1369">
        <v>2.2504040000000001E-3</v>
      </c>
      <c r="P1369">
        <v>-0.98807599999999995</v>
      </c>
      <c r="Q1369">
        <v>0.14879020000000001</v>
      </c>
      <c r="R1369">
        <v>-3.9592429999999998E-2</v>
      </c>
      <c r="S1369">
        <v>-3.1726990000000002</v>
      </c>
      <c r="T1369">
        <v>-0.88015019999999999</v>
      </c>
      <c r="U1369">
        <v>9.6801760000000001E-2</v>
      </c>
      <c r="V1369">
        <v>-4.184496E-2</v>
      </c>
      <c r="W1369">
        <v>0.1567791</v>
      </c>
      <c r="X1369">
        <v>0.98674680000000003</v>
      </c>
      <c r="Y1369">
        <v>2.730194E-2</v>
      </c>
      <c r="Z1369">
        <v>3.1033620000000001E-3</v>
      </c>
      <c r="AA1369">
        <v>0.99962240000000002</v>
      </c>
      <c r="AB1369">
        <v>27</v>
      </c>
      <c r="AC1369">
        <v>-0.63740000000001296</v>
      </c>
      <c r="AD1369">
        <v>-0.224740199999999</v>
      </c>
      <c r="AE1369">
        <v>2.4500000000045902E-2</v>
      </c>
      <c r="AF1369">
        <v>2.0518417953147499E-2</v>
      </c>
      <c r="AG1369">
        <v>-0.224740199999999</v>
      </c>
      <c r="AH1369">
        <v>0.567061073479325</v>
      </c>
      <c r="AI1369">
        <v>111.60680056592901</v>
      </c>
      <c r="AJ1369">
        <v>87.927725702707804</v>
      </c>
      <c r="AK1369">
        <v>0.61031747806110204</v>
      </c>
      <c r="AL1369">
        <v>80.980006881175399</v>
      </c>
      <c r="AM1369">
        <v>92.428286510207499</v>
      </c>
      <c r="AN1369">
        <v>0.99999996709222505</v>
      </c>
    </row>
    <row r="1370" spans="1:40" x14ac:dyDescent="0.3">
      <c r="A1370" t="str">
        <f>"20200111150752197"</f>
        <v>20200111150752197</v>
      </c>
      <c r="B1370" t="str">
        <f>"1578726472192868"</f>
        <v>1578726472192868</v>
      </c>
      <c r="C1370" t="s">
        <v>40</v>
      </c>
      <c r="D1370">
        <v>5.5442609999999997</v>
      </c>
      <c r="E1370">
        <v>0.52550759999999996</v>
      </c>
      <c r="F1370" t="s">
        <v>41</v>
      </c>
      <c r="G1370">
        <v>-352.4889</v>
      </c>
      <c r="H1370">
        <v>0.86915249999999999</v>
      </c>
      <c r="I1370">
        <v>284.19170000000003</v>
      </c>
      <c r="J1370">
        <v>-351.8193</v>
      </c>
      <c r="K1370">
        <v>1.1100110000000001</v>
      </c>
      <c r="L1370">
        <v>284.16390000000001</v>
      </c>
      <c r="M1370">
        <v>-0.99996419999999997</v>
      </c>
      <c r="N1370">
        <v>0</v>
      </c>
      <c r="O1370">
        <v>2.1590789999999999E-3</v>
      </c>
      <c r="P1370">
        <v>-0.98815240000000004</v>
      </c>
      <c r="Q1370">
        <v>0.148292799999999</v>
      </c>
      <c r="R1370">
        <v>-3.9551870000000003E-2</v>
      </c>
      <c r="S1370">
        <v>-3.171783</v>
      </c>
      <c r="T1370">
        <v>-0.87358579999999997</v>
      </c>
      <c r="U1370">
        <v>0.1010437</v>
      </c>
      <c r="V1370">
        <v>-4.1714550000000003E-2</v>
      </c>
      <c r="W1370">
        <v>0.15636939999999999</v>
      </c>
      <c r="X1370">
        <v>0.98681739999999996</v>
      </c>
      <c r="Y1370">
        <v>2.869567E-2</v>
      </c>
      <c r="Z1370">
        <v>3.294913E-3</v>
      </c>
      <c r="AA1370">
        <v>0.99958279999999999</v>
      </c>
      <c r="AB1370">
        <v>27</v>
      </c>
      <c r="AC1370">
        <v>-0.66960000000000197</v>
      </c>
      <c r="AD1370">
        <v>-0.2408585</v>
      </c>
      <c r="AE1370">
        <v>2.78000000000133E-2</v>
      </c>
      <c r="AF1370">
        <v>2.3339516917072301E-2</v>
      </c>
      <c r="AG1370">
        <v>-0.2408585</v>
      </c>
      <c r="AH1370">
        <v>0.59305629868191401</v>
      </c>
      <c r="AI1370">
        <v>112.088139642078</v>
      </c>
      <c r="AJ1370">
        <v>87.746308261241197</v>
      </c>
      <c r="AK1370">
        <v>0.64052581796400998</v>
      </c>
      <c r="AL1370">
        <v>81.003774736986799</v>
      </c>
      <c r="AM1370">
        <v>92.420554780946603</v>
      </c>
      <c r="AN1370">
        <v>1.0000000369404101</v>
      </c>
    </row>
    <row r="1371" spans="1:40" x14ac:dyDescent="0.3">
      <c r="A1371" t="str">
        <f>"20200111150752211"</f>
        <v>20200111150752211</v>
      </c>
      <c r="B1371" t="str">
        <f>"1578726472202629"</f>
        <v>1578726472202629</v>
      </c>
      <c r="C1371" t="s">
        <v>40</v>
      </c>
      <c r="D1371">
        <v>5.4781339999999998</v>
      </c>
      <c r="E1371">
        <v>0.52561289999999905</v>
      </c>
      <c r="F1371" t="s">
        <v>41</v>
      </c>
      <c r="G1371">
        <v>-352.51049999999998</v>
      </c>
      <c r="H1371">
        <v>0.91902169999999905</v>
      </c>
      <c r="I1371">
        <v>284.18770000000001</v>
      </c>
      <c r="J1371">
        <v>-351.98590000000002</v>
      </c>
      <c r="K1371">
        <v>1.1100219999999901</v>
      </c>
      <c r="L1371">
        <v>284.16419999999999</v>
      </c>
      <c r="M1371">
        <v>-0.99996370000000001</v>
      </c>
      <c r="N1371">
        <v>0</v>
      </c>
      <c r="O1371">
        <v>2.0852100000000001E-3</v>
      </c>
      <c r="P1371">
        <v>-0.98819089999999998</v>
      </c>
      <c r="Q1371">
        <v>0.14804679999999901</v>
      </c>
      <c r="R1371">
        <v>-3.950853E-2</v>
      </c>
      <c r="S1371">
        <v>-3.171783</v>
      </c>
      <c r="T1371">
        <v>-0.87646309999999905</v>
      </c>
      <c r="U1371">
        <v>0.1082153</v>
      </c>
      <c r="V1371">
        <v>-4.1598049999999998E-2</v>
      </c>
      <c r="W1371">
        <v>0.15619749999999999</v>
      </c>
      <c r="X1371">
        <v>0.98684950000000005</v>
      </c>
      <c r="Y1371">
        <v>3.093423E-2</v>
      </c>
      <c r="Z1371">
        <v>3.6288100000000001E-3</v>
      </c>
      <c r="AA1371">
        <v>0.99951480000000004</v>
      </c>
      <c r="AB1371">
        <v>27</v>
      </c>
      <c r="AC1371">
        <v>-0.52459999999996398</v>
      </c>
      <c r="AD1371">
        <v>-0.19100029999999901</v>
      </c>
      <c r="AE1371">
        <v>2.3500000000012702E-2</v>
      </c>
      <c r="AF1371">
        <v>1.9788152043839002E-2</v>
      </c>
      <c r="AG1371">
        <v>-0.19100029999999901</v>
      </c>
      <c r="AH1371">
        <v>0.46334940953227899</v>
      </c>
      <c r="AI1371">
        <v>112.38388040527801</v>
      </c>
      <c r="AJ1371">
        <v>87.554568885087406</v>
      </c>
      <c r="AK1371">
        <v>0.50156291816212994</v>
      </c>
      <c r="AL1371">
        <v>81.013746041542404</v>
      </c>
      <c r="AM1371">
        <v>92.413724262820296</v>
      </c>
      <c r="AN1371">
        <v>0.99999999621015101</v>
      </c>
    </row>
    <row r="1372" spans="1:40" x14ac:dyDescent="0.3">
      <c r="A1372" t="str">
        <f>"20200111150752224"</f>
        <v>20200111150752224</v>
      </c>
      <c r="B1372" t="str">
        <f>"1578726472212389"</f>
        <v>1578726472212389</v>
      </c>
      <c r="C1372" t="s">
        <v>40</v>
      </c>
      <c r="D1372">
        <v>4.790807</v>
      </c>
      <c r="E1372">
        <v>0.52561289999999905</v>
      </c>
      <c r="F1372" t="s">
        <v>41</v>
      </c>
      <c r="G1372">
        <v>-352.74689999999998</v>
      </c>
      <c r="H1372">
        <v>0.90051250000000005</v>
      </c>
      <c r="I1372">
        <v>284.19049999999999</v>
      </c>
      <c r="J1372">
        <v>-352.1447</v>
      </c>
      <c r="K1372">
        <v>1.110033</v>
      </c>
      <c r="L1372">
        <v>284.16449999999998</v>
      </c>
      <c r="M1372">
        <v>-0.9999633</v>
      </c>
      <c r="N1372">
        <v>0</v>
      </c>
      <c r="O1372">
        <v>2.014503E-3</v>
      </c>
      <c r="P1372">
        <v>-0.98821440000000005</v>
      </c>
      <c r="Q1372">
        <v>0.14781929999999999</v>
      </c>
      <c r="R1372">
        <v>-3.9774249999999997E-2</v>
      </c>
      <c r="S1372">
        <v>-3.1709900000000002</v>
      </c>
      <c r="T1372">
        <v>-0.87302019999999902</v>
      </c>
      <c r="U1372">
        <v>0.10891720000000001</v>
      </c>
      <c r="V1372">
        <v>-4.1794369999999997E-2</v>
      </c>
      <c r="W1372">
        <v>0.1560425</v>
      </c>
      <c r="X1372">
        <v>0.98686569999999996</v>
      </c>
      <c r="Y1372">
        <v>3.1228639999999998E-2</v>
      </c>
      <c r="Z1372">
        <v>3.6748079999999999E-3</v>
      </c>
      <c r="AA1372">
        <v>0.99950550000000005</v>
      </c>
      <c r="AB1372">
        <v>27</v>
      </c>
      <c r="AC1372">
        <v>-0.60219999999998197</v>
      </c>
      <c r="AD1372">
        <v>-0.2095205</v>
      </c>
      <c r="AE1372">
        <v>2.60000000000104E-2</v>
      </c>
      <c r="AF1372">
        <v>2.2114723516064701E-2</v>
      </c>
      <c r="AG1372">
        <v>-0.2095205</v>
      </c>
      <c r="AH1372">
        <v>0.537327656292239</v>
      </c>
      <c r="AI1372">
        <v>111.285926992543</v>
      </c>
      <c r="AJ1372">
        <v>87.643215264756506</v>
      </c>
      <c r="AK1372">
        <v>0.577155881138668</v>
      </c>
      <c r="AL1372">
        <v>81.022736902658295</v>
      </c>
      <c r="AM1372">
        <v>92.425062388229307</v>
      </c>
      <c r="AN1372">
        <v>0.99999997050321698</v>
      </c>
    </row>
    <row r="1373" spans="1:40" x14ac:dyDescent="0.3">
      <c r="A1373" t="str">
        <f>"20200111150752237"</f>
        <v>20200111150752237</v>
      </c>
      <c r="B1373" t="str">
        <f>"1578726472232884"</f>
        <v>1578726472232884</v>
      </c>
      <c r="C1373" t="s">
        <v>40</v>
      </c>
      <c r="D1373">
        <v>4.7292249999999996</v>
      </c>
      <c r="E1373">
        <v>0.54030480000000003</v>
      </c>
      <c r="F1373" t="s">
        <v>41</v>
      </c>
      <c r="G1373">
        <v>-352.98250000000002</v>
      </c>
      <c r="H1373">
        <v>0.87911919999999899</v>
      </c>
      <c r="I1373">
        <v>284.19310000000002</v>
      </c>
      <c r="J1373">
        <v>-352.31420000000003</v>
      </c>
      <c r="K1373">
        <v>1.110044</v>
      </c>
      <c r="L1373">
        <v>284.16480000000001</v>
      </c>
      <c r="M1373">
        <v>-0.99996280000000004</v>
      </c>
      <c r="N1373">
        <v>0</v>
      </c>
      <c r="O1373">
        <v>1.9389920000000001E-3</v>
      </c>
      <c r="P1373">
        <v>-0.98818030000000001</v>
      </c>
      <c r="Q1373">
        <v>0.1479037</v>
      </c>
      <c r="R1373">
        <v>-4.0298830000000001E-2</v>
      </c>
      <c r="S1373">
        <v>-3.1708069999999999</v>
      </c>
      <c r="T1373">
        <v>-0.87386070000000005</v>
      </c>
      <c r="U1373">
        <v>0.10772710000000001</v>
      </c>
      <c r="V1373">
        <v>-4.2244539999999997E-2</v>
      </c>
      <c r="W1373">
        <v>0.15620690000000001</v>
      </c>
      <c r="X1373">
        <v>0.98682060000000005</v>
      </c>
      <c r="Y1373">
        <v>3.0937200000000002E-2</v>
      </c>
      <c r="Z1373">
        <v>3.6594560000000002E-3</v>
      </c>
      <c r="AA1373">
        <v>0.99951460000000003</v>
      </c>
      <c r="AB1373">
        <v>27</v>
      </c>
      <c r="AC1373">
        <v>-0.66829999999998702</v>
      </c>
      <c r="AD1373">
        <v>-0.23092480000000001</v>
      </c>
      <c r="AE1373">
        <v>2.8300000000001501E-2</v>
      </c>
      <c r="AF1373">
        <v>2.4128345438538899E-2</v>
      </c>
      <c r="AG1373">
        <v>-0.23092480000000001</v>
      </c>
      <c r="AH1373">
        <v>0.59717906963026002</v>
      </c>
      <c r="AI1373">
        <v>111.125409067804</v>
      </c>
      <c r="AJ1373">
        <v>87.6862872552054</v>
      </c>
      <c r="AK1373">
        <v>0.64072715059774399</v>
      </c>
      <c r="AL1373">
        <v>81.013201225316493</v>
      </c>
      <c r="AM1373">
        <v>92.451263097561494</v>
      </c>
      <c r="AN1373">
        <v>1.00000004667588</v>
      </c>
    </row>
    <row r="1374" spans="1:40" x14ac:dyDescent="0.3">
      <c r="A1374" t="str">
        <f>"20200111150752267"</f>
        <v>20200111150752267</v>
      </c>
      <c r="B1374" t="str">
        <f>"1578726472263140"</f>
        <v>1578726472263140</v>
      </c>
      <c r="C1374" t="s">
        <v>40</v>
      </c>
      <c r="D1374">
        <v>5.1617509999999998</v>
      </c>
      <c r="E1374">
        <v>0.54347409999999996</v>
      </c>
      <c r="F1374" t="s">
        <v>61</v>
      </c>
      <c r="G1374">
        <v>-510.9581</v>
      </c>
      <c r="H1374">
        <v>13.461819999999999</v>
      </c>
      <c r="I1374">
        <v>294.9076</v>
      </c>
      <c r="J1374">
        <v>-352.6592</v>
      </c>
      <c r="K1374">
        <v>1.1100650000000001</v>
      </c>
      <c r="L1374">
        <v>284.1653</v>
      </c>
      <c r="M1374">
        <v>-0.99996169999999995</v>
      </c>
      <c r="N1374">
        <v>0</v>
      </c>
      <c r="O1374">
        <v>1.785886E-3</v>
      </c>
      <c r="P1374">
        <v>-0.98806000000000005</v>
      </c>
      <c r="Q1374">
        <v>0.14849219999999999</v>
      </c>
      <c r="R1374">
        <v>-4.1082229999999997E-2</v>
      </c>
      <c r="S1374">
        <v>-3.0090940000000002</v>
      </c>
      <c r="T1374">
        <v>0.23428489999999999</v>
      </c>
      <c r="U1374">
        <v>0.2037659</v>
      </c>
      <c r="V1374">
        <v>-4.2876539999999998E-2</v>
      </c>
      <c r="W1374">
        <v>0.15695149999999999</v>
      </c>
      <c r="X1374">
        <v>0.98667510000000003</v>
      </c>
      <c r="Y1374">
        <v>6.5587770000000004E-2</v>
      </c>
      <c r="Z1374">
        <v>-2.4078540000000001E-3</v>
      </c>
      <c r="AA1374">
        <v>0.99784390000000001</v>
      </c>
      <c r="AB1374">
        <v>27</v>
      </c>
      <c r="AC1374">
        <v>-158.2989</v>
      </c>
      <c r="AD1374">
        <v>12.351755000000001</v>
      </c>
      <c r="AE1374">
        <v>10.7423</v>
      </c>
      <c r="AF1374">
        <v>10.3965606777699</v>
      </c>
      <c r="AG1374">
        <v>12.351755000000001</v>
      </c>
      <c r="AH1374">
        <v>157.36413247264301</v>
      </c>
      <c r="AI1374">
        <v>85.521690112290401</v>
      </c>
      <c r="AJ1374">
        <v>86.220138469382704</v>
      </c>
      <c r="AK1374">
        <v>158.19015302595199</v>
      </c>
      <c r="AL1374">
        <v>80.970005222151599</v>
      </c>
      <c r="AM1374">
        <v>92.4882559274523</v>
      </c>
      <c r="AN1374">
        <v>0.999999961997315</v>
      </c>
    </row>
    <row r="1375" spans="1:40" x14ac:dyDescent="0.3">
      <c r="A1375" t="str">
        <f>"20200111150753414"</f>
        <v>20200111150753414</v>
      </c>
      <c r="B1375" t="str">
        <f>"1578726473412862"</f>
        <v>1578726473412862</v>
      </c>
      <c r="C1375" t="s">
        <v>40</v>
      </c>
      <c r="D1375">
        <v>7.3023539999999896</v>
      </c>
      <c r="E1375">
        <v>0.54347409999999996</v>
      </c>
      <c r="F1375" t="s">
        <v>61</v>
      </c>
      <c r="G1375">
        <v>-510.9581</v>
      </c>
      <c r="H1375">
        <v>13.557029999999999</v>
      </c>
      <c r="I1375">
        <v>296.09120000000001</v>
      </c>
      <c r="J1375">
        <v>-367.29520000000002</v>
      </c>
      <c r="K1375">
        <v>1.1101859999999999</v>
      </c>
      <c r="L1375">
        <v>284.1377</v>
      </c>
      <c r="M1375">
        <v>-0.99993650000000001</v>
      </c>
      <c r="N1375">
        <v>0</v>
      </c>
      <c r="O1375">
        <v>-4.680338E-3</v>
      </c>
      <c r="P1375">
        <v>-0.98846049999999996</v>
      </c>
      <c r="Q1375">
        <v>0.1439559</v>
      </c>
      <c r="R1375">
        <v>-4.7141620000000002E-2</v>
      </c>
      <c r="S1375">
        <v>-3.0101010000000001</v>
      </c>
      <c r="T1375">
        <v>0.23668410000000001</v>
      </c>
      <c r="U1375">
        <v>0.22677610000000001</v>
      </c>
      <c r="V1375">
        <v>-4.2546920000000002E-2</v>
      </c>
      <c r="W1375">
        <v>0.1540763</v>
      </c>
      <c r="X1375">
        <v>0.98714250000000003</v>
      </c>
      <c r="Y1375">
        <v>7.9533519999999996E-2</v>
      </c>
      <c r="Z1375">
        <v>-3.4846069999999998E-3</v>
      </c>
      <c r="AA1375">
        <v>0.99682610000000005</v>
      </c>
      <c r="AB1375">
        <v>29</v>
      </c>
      <c r="AC1375">
        <v>-143.66289999999901</v>
      </c>
      <c r="AD1375">
        <v>12.446844</v>
      </c>
      <c r="AE1375">
        <v>11.9535</v>
      </c>
      <c r="AF1375">
        <v>12.5323696757003</v>
      </c>
      <c r="AG1375">
        <v>12.446844</v>
      </c>
      <c r="AH1375">
        <v>142.54275672083301</v>
      </c>
      <c r="AI1375">
        <v>85.028666667972104</v>
      </c>
      <c r="AJ1375">
        <v>84.975470699157498</v>
      </c>
      <c r="AK1375">
        <v>143.632940890394</v>
      </c>
      <c r="AL1375">
        <v>81.136771654766093</v>
      </c>
      <c r="AM1375">
        <v>92.4679831763371</v>
      </c>
      <c r="AN1375">
        <v>1.0000000309647099</v>
      </c>
    </row>
    <row r="1376" spans="1:40" x14ac:dyDescent="0.3">
      <c r="A1376" t="str">
        <f>"20200111150753527"</f>
        <v>20200111150753527</v>
      </c>
      <c r="B1376" t="str">
        <f>"1578726473522174"</f>
        <v>1578726473522174</v>
      </c>
      <c r="C1376" t="s">
        <v>40</v>
      </c>
      <c r="D1376">
        <v>5.5430570000000001</v>
      </c>
      <c r="E1376">
        <v>0.47582020000000003</v>
      </c>
      <c r="F1376" t="s">
        <v>61</v>
      </c>
      <c r="G1376">
        <v>-510.95749999999998</v>
      </c>
      <c r="H1376">
        <v>11.75394</v>
      </c>
      <c r="I1376">
        <v>294.07810000000001</v>
      </c>
      <c r="J1376">
        <v>-368.77089999999998</v>
      </c>
      <c r="K1376">
        <v>1.1101970000000001</v>
      </c>
      <c r="L1376">
        <v>284.12970000000001</v>
      </c>
      <c r="M1376">
        <v>-0.99993330000000002</v>
      </c>
      <c r="N1376">
        <v>0</v>
      </c>
      <c r="O1376">
        <v>-5.3050419999999899E-3</v>
      </c>
      <c r="P1376">
        <v>-0.98819990000000002</v>
      </c>
      <c r="Q1376">
        <v>0.14525439999999901</v>
      </c>
      <c r="R1376">
        <v>-4.8602119999999999E-2</v>
      </c>
      <c r="S1376">
        <v>-3.0123899999999999</v>
      </c>
      <c r="T1376">
        <v>0.22318579999999999</v>
      </c>
      <c r="U1376">
        <v>0.20843510000000001</v>
      </c>
      <c r="V1376">
        <v>-4.3390819999999997E-2</v>
      </c>
      <c r="W1376">
        <v>0.15538589999999999</v>
      </c>
      <c r="X1376">
        <v>0.98690040000000001</v>
      </c>
      <c r="Y1376">
        <v>7.4102600000000005E-2</v>
      </c>
      <c r="Z1376">
        <v>-3.1301660000000002E-3</v>
      </c>
      <c r="AA1376">
        <v>0.99724570000000001</v>
      </c>
      <c r="AB1376">
        <v>30</v>
      </c>
      <c r="AC1376">
        <v>-142.1866</v>
      </c>
      <c r="AD1376">
        <v>10.643742999999899</v>
      </c>
      <c r="AE1376">
        <v>9.9483999999999906</v>
      </c>
      <c r="AF1376">
        <v>10.6432549892943</v>
      </c>
      <c r="AG1376">
        <v>10.643742999999899</v>
      </c>
      <c r="AH1376">
        <v>141.343636947927</v>
      </c>
      <c r="AI1376">
        <v>85.705637872882804</v>
      </c>
      <c r="AJ1376">
        <v>85.693722571539297</v>
      </c>
      <c r="AK1376">
        <v>142.142857180671</v>
      </c>
      <c r="AL1376">
        <v>81.060821866671702</v>
      </c>
      <c r="AM1376">
        <v>92.517488860562196</v>
      </c>
      <c r="AN1376">
        <v>0.99999997034961996</v>
      </c>
    </row>
    <row r="1377" spans="1:40" x14ac:dyDescent="0.3">
      <c r="A1377" t="str">
        <f>"20200111150753540"</f>
        <v>20200111150753540</v>
      </c>
      <c r="B1377" t="str">
        <f>"1578726473532909"</f>
        <v>1578726473532909</v>
      </c>
      <c r="C1377" t="s">
        <v>40</v>
      </c>
      <c r="D1377">
        <v>7.7334360000000002</v>
      </c>
      <c r="E1377">
        <v>0.4829561</v>
      </c>
      <c r="F1377" t="s">
        <v>41</v>
      </c>
      <c r="G1377">
        <v>-369.61419999999998</v>
      </c>
      <c r="H1377">
        <v>0.90800340000000002</v>
      </c>
      <c r="I1377">
        <v>284.04410000000001</v>
      </c>
      <c r="J1377">
        <v>-368.96080000000001</v>
      </c>
      <c r="K1377">
        <v>1.110198</v>
      </c>
      <c r="L1377">
        <v>284.12860000000001</v>
      </c>
      <c r="M1377">
        <v>-0.99993290000000001</v>
      </c>
      <c r="N1377">
        <v>0</v>
      </c>
      <c r="O1377">
        <v>-5.3846780000000004E-3</v>
      </c>
      <c r="P1377">
        <v>-0.98817520000000003</v>
      </c>
      <c r="Q1377">
        <v>0.145335299999999</v>
      </c>
      <c r="R1377">
        <v>-4.8862019999999999E-2</v>
      </c>
      <c r="S1377">
        <v>-3.1304630000000002</v>
      </c>
      <c r="T1377">
        <v>-0.75059489999999995</v>
      </c>
      <c r="U1377">
        <v>-0.3182373</v>
      </c>
      <c r="V1377">
        <v>-4.3572369999999999E-2</v>
      </c>
      <c r="W1377">
        <v>0.15546789999999999</v>
      </c>
      <c r="X1377">
        <v>0.98687950000000002</v>
      </c>
      <c r="Y1377">
        <v>-9.3311519999999995E-2</v>
      </c>
      <c r="Z1377">
        <v>-9.7333090000000008E-3</v>
      </c>
      <c r="AA1377">
        <v>0.99558939999999996</v>
      </c>
      <c r="AB1377">
        <v>30</v>
      </c>
      <c r="AC1377">
        <v>-0.653399999999976</v>
      </c>
      <c r="AD1377">
        <v>-0.2021946</v>
      </c>
      <c r="AE1377">
        <v>-8.4499999999991304E-2</v>
      </c>
      <c r="AF1377">
        <v>-7.4009704814959304E-2</v>
      </c>
      <c r="AG1377">
        <v>-0.2021946</v>
      </c>
      <c r="AH1377">
        <v>0.59756449075593998</v>
      </c>
      <c r="AI1377">
        <v>108.56199001512201</v>
      </c>
      <c r="AJ1377">
        <v>97.060257530844794</v>
      </c>
      <c r="AK1377">
        <v>0.63517195568472895</v>
      </c>
      <c r="AL1377">
        <v>81.056065932218502</v>
      </c>
      <c r="AM1377">
        <v>92.528062028465698</v>
      </c>
      <c r="AN1377">
        <v>0.99999998343903795</v>
      </c>
    </row>
    <row r="1378" spans="1:40" x14ac:dyDescent="0.3">
      <c r="A1378" t="str">
        <f>"20200111150753572"</f>
        <v>20200111150753572</v>
      </c>
      <c r="B1378" t="str">
        <f>"1578726473562191"</f>
        <v>1578726473562191</v>
      </c>
      <c r="C1378" t="s">
        <v>40</v>
      </c>
      <c r="D1378">
        <v>7.3091649999999904</v>
      </c>
      <c r="E1378">
        <v>0.47480499999999998</v>
      </c>
      <c r="F1378" t="s">
        <v>41</v>
      </c>
      <c r="G1378">
        <v>-369.87630000000001</v>
      </c>
      <c r="H1378">
        <v>0.90306390000000003</v>
      </c>
      <c r="I1378">
        <v>284.0521</v>
      </c>
      <c r="J1378">
        <v>-369.3922</v>
      </c>
      <c r="K1378">
        <v>1.110193</v>
      </c>
      <c r="L1378">
        <v>284.12599999999998</v>
      </c>
      <c r="M1378">
        <v>-0.99993189999999998</v>
      </c>
      <c r="N1378">
        <v>0</v>
      </c>
      <c r="O1378">
        <v>-5.5658859999999999E-3</v>
      </c>
      <c r="P1378">
        <v>-0.98818189999999995</v>
      </c>
      <c r="Q1378">
        <v>0.14514969999999999</v>
      </c>
      <c r="R1378">
        <v>-4.9277059999999998E-2</v>
      </c>
      <c r="S1378">
        <v>-3.1269529999999999</v>
      </c>
      <c r="T1378">
        <v>-0.70754869999999903</v>
      </c>
      <c r="U1378">
        <v>-0.26251219999999997</v>
      </c>
      <c r="V1378">
        <v>-4.380846E-2</v>
      </c>
      <c r="W1378">
        <v>0.1552856</v>
      </c>
      <c r="X1378">
        <v>0.98689780000000005</v>
      </c>
      <c r="Y1378">
        <v>-7.633276E-2</v>
      </c>
      <c r="Z1378">
        <v>-7.27226E-3</v>
      </c>
      <c r="AA1378">
        <v>0.99705589999999999</v>
      </c>
      <c r="AB1378">
        <v>30</v>
      </c>
      <c r="AC1378">
        <v>-0.48410000000001202</v>
      </c>
      <c r="AD1378">
        <v>-0.20712909999999901</v>
      </c>
      <c r="AE1378">
        <v>-7.3899999999980495E-2</v>
      </c>
      <c r="AF1378">
        <v>-6.0398960504064701E-2</v>
      </c>
      <c r="AG1378">
        <v>-0.20712909999999901</v>
      </c>
      <c r="AH1378">
        <v>0.41097997616408</v>
      </c>
      <c r="AI1378">
        <v>116.502325506307</v>
      </c>
      <c r="AJ1378">
        <v>98.360527034802402</v>
      </c>
      <c r="AK1378">
        <v>0.46417134692332002</v>
      </c>
      <c r="AL1378">
        <v>81.066639812407701</v>
      </c>
      <c r="AM1378">
        <v>92.541694947432106</v>
      </c>
      <c r="AN1378">
        <v>1.00000003318988</v>
      </c>
    </row>
    <row r="1379" spans="1:40" x14ac:dyDescent="0.3">
      <c r="A1379" t="str">
        <f>"20200111150753586"</f>
        <v>20200111150753586</v>
      </c>
      <c r="B1379" t="str">
        <f>"1578726473582685"</f>
        <v>1578726473582685</v>
      </c>
      <c r="C1379" t="s">
        <v>40</v>
      </c>
      <c r="D1379">
        <v>5.0921709999999996</v>
      </c>
      <c r="E1379">
        <v>0.43506980000000001</v>
      </c>
      <c r="F1379" t="s">
        <v>41</v>
      </c>
      <c r="G1379">
        <v>-370.1549</v>
      </c>
      <c r="H1379">
        <v>0.93393720000000002</v>
      </c>
      <c r="I1379">
        <v>284.04599999999999</v>
      </c>
      <c r="J1379">
        <v>-369.5668</v>
      </c>
      <c r="K1379">
        <v>1.1101909999999999</v>
      </c>
      <c r="L1379">
        <v>284.125</v>
      </c>
      <c r="M1379">
        <v>-0.99993140000000003</v>
      </c>
      <c r="N1379">
        <v>0</v>
      </c>
      <c r="O1379">
        <v>-5.6390859999999998E-3</v>
      </c>
      <c r="P1379">
        <v>-0.98821499999999995</v>
      </c>
      <c r="Q1379">
        <v>0.14492269999999999</v>
      </c>
      <c r="R1379">
        <v>-4.9282979999999997E-2</v>
      </c>
      <c r="S1379">
        <v>-3.12561</v>
      </c>
      <c r="T1379">
        <v>-0.72234240000000005</v>
      </c>
      <c r="U1379">
        <v>-0.32818599999999998</v>
      </c>
      <c r="V1379">
        <v>-4.3741780000000001E-2</v>
      </c>
      <c r="W1379">
        <v>0.15506039999999999</v>
      </c>
      <c r="X1379">
        <v>0.98693620000000004</v>
      </c>
      <c r="Y1379">
        <v>-9.6447430000000001E-2</v>
      </c>
      <c r="Z1379">
        <v>-9.6879050000000001E-3</v>
      </c>
      <c r="AA1379">
        <v>0.99529089999999998</v>
      </c>
      <c r="AB1379">
        <v>30</v>
      </c>
      <c r="AC1379">
        <v>-0.58809999999999696</v>
      </c>
      <c r="AD1379">
        <v>-0.17625379999999999</v>
      </c>
      <c r="AE1379">
        <v>-7.9000000000007703E-2</v>
      </c>
      <c r="AF1379">
        <v>-6.9546275388312095E-2</v>
      </c>
      <c r="AG1379">
        <v>-0.17625379999999999</v>
      </c>
      <c r="AH1379">
        <v>0.54082050533367199</v>
      </c>
      <c r="AI1379">
        <v>107.912860141618</v>
      </c>
      <c r="AJ1379">
        <v>97.327679220178098</v>
      </c>
      <c r="AK1379">
        <v>0.57305227110988299</v>
      </c>
      <c r="AL1379">
        <v>81.079701331302203</v>
      </c>
      <c r="AM1379">
        <v>92.537732731541993</v>
      </c>
      <c r="AN1379">
        <v>1.00000006691808</v>
      </c>
    </row>
    <row r="1380" spans="1:40" x14ac:dyDescent="0.3">
      <c r="A1380" t="str">
        <f>"20200111150756284"</f>
        <v>20200111150756284</v>
      </c>
      <c r="B1380" t="str">
        <f>"1578726476282941"</f>
        <v>1578726476282941</v>
      </c>
      <c r="C1380" t="s">
        <v>40</v>
      </c>
      <c r="D1380">
        <v>5.9724539999999999</v>
      </c>
      <c r="E1380">
        <v>0.51687680000000003</v>
      </c>
      <c r="F1380" t="s">
        <v>55</v>
      </c>
      <c r="G1380">
        <v>-385.2543</v>
      </c>
      <c r="H1380" s="1">
        <v>1.259277E-6</v>
      </c>
      <c r="I1380">
        <v>280.74470000000002</v>
      </c>
      <c r="J1380">
        <v>-407.66570000000002</v>
      </c>
      <c r="K1380">
        <v>1.1099000000000001</v>
      </c>
      <c r="L1380">
        <v>283.72219999999999</v>
      </c>
      <c r="M1380">
        <v>-0.99987910000000002</v>
      </c>
      <c r="N1380">
        <v>0</v>
      </c>
      <c r="O1380">
        <v>-1.1635049999999999E-2</v>
      </c>
      <c r="P1380">
        <v>-0.98895889999999997</v>
      </c>
      <c r="Q1380">
        <v>0.1330858</v>
      </c>
      <c r="R1380">
        <v>-6.5184049999999993E-2</v>
      </c>
      <c r="S1380">
        <v>-3.0346679999999999</v>
      </c>
      <c r="T1380">
        <v>-0.21476129999999999</v>
      </c>
      <c r="U1380">
        <v>-0.65390009999999998</v>
      </c>
      <c r="V1380">
        <v>-5.3667060000000003E-2</v>
      </c>
      <c r="W1380">
        <v>0.14330879999999999</v>
      </c>
      <c r="X1380">
        <v>0.98822189999999999</v>
      </c>
      <c r="Y1380">
        <v>-0.19880610000000001</v>
      </c>
      <c r="Z1380">
        <v>-6.1336180000000004E-3</v>
      </c>
      <c r="AA1380">
        <v>0.98001959999999999</v>
      </c>
      <c r="AB1380">
        <v>33</v>
      </c>
      <c r="AC1380">
        <v>22.4114</v>
      </c>
      <c r="AD1380">
        <v>-1.1098987407230001</v>
      </c>
      <c r="AE1380">
        <v>-2.9774999999999601</v>
      </c>
      <c r="AF1380">
        <v>-3.2302848497628598</v>
      </c>
      <c r="AG1380">
        <v>-1.1098987407230001</v>
      </c>
      <c r="AH1380">
        <v>-22.321441345874799</v>
      </c>
      <c r="AI1380">
        <v>92.817298190198002</v>
      </c>
      <c r="AJ1380">
        <v>-98.234487733893999</v>
      </c>
      <c r="AK1380">
        <v>22.581261239855401</v>
      </c>
      <c r="AL1380">
        <v>81.760642584401694</v>
      </c>
      <c r="AM1380">
        <v>93.108490643548194</v>
      </c>
      <c r="AN1380">
        <v>1.0000000445630399</v>
      </c>
    </row>
    <row r="1381" spans="1:40" x14ac:dyDescent="0.3">
      <c r="A1381" t="str">
        <f>"20200111150756300"</f>
        <v>20200111150756300</v>
      </c>
      <c r="B1381" t="str">
        <f>"1578726476292700"</f>
        <v>1578726476292700</v>
      </c>
      <c r="C1381" t="s">
        <v>40</v>
      </c>
      <c r="D1381">
        <v>5.1295469999999996</v>
      </c>
      <c r="E1381">
        <v>0.52500619999999998</v>
      </c>
      <c r="F1381" t="s">
        <v>49</v>
      </c>
      <c r="G1381">
        <v>0</v>
      </c>
      <c r="H1381">
        <v>0</v>
      </c>
      <c r="I1381">
        <v>0</v>
      </c>
      <c r="J1381">
        <v>-407.89069999999998</v>
      </c>
      <c r="K1381">
        <v>1.1099000000000001</v>
      </c>
      <c r="L1381">
        <v>283.71949999999998</v>
      </c>
      <c r="M1381">
        <v>-0.99987910000000002</v>
      </c>
      <c r="N1381">
        <v>0</v>
      </c>
      <c r="O1381">
        <v>-1.163496E-2</v>
      </c>
      <c r="P1381">
        <v>-0.98888679999999995</v>
      </c>
      <c r="Q1381">
        <v>0.133524</v>
      </c>
      <c r="R1381">
        <v>-6.5377879999999999E-2</v>
      </c>
      <c r="S1381">
        <v>-2.9779969999999998</v>
      </c>
      <c r="T1381">
        <v>0.38289230000000002</v>
      </c>
      <c r="U1381">
        <v>-6.0729980000000003E-2</v>
      </c>
      <c r="V1381">
        <v>-5.3862119999999999E-2</v>
      </c>
      <c r="W1381">
        <v>0.14372969999999999</v>
      </c>
      <c r="X1381">
        <v>0.98815010000000003</v>
      </c>
      <c r="Y1381">
        <v>-8.7776280000000009E-3</v>
      </c>
      <c r="Z1381">
        <v>-9.2776009999999995E-4</v>
      </c>
      <c r="AA1381">
        <v>0.99996099999999999</v>
      </c>
      <c r="AB1381">
        <v>33</v>
      </c>
      <c r="AC1381">
        <v>-2.9779969999999998</v>
      </c>
      <c r="AD1381">
        <v>0.38289230000000002</v>
      </c>
      <c r="AE1381">
        <v>-6.0729980000000003E-2</v>
      </c>
      <c r="AF1381">
        <v>-2.56512786683003E-2</v>
      </c>
      <c r="AG1381">
        <v>0.38289230000000002</v>
      </c>
      <c r="AH1381">
        <v>2.9300843150668299</v>
      </c>
      <c r="AI1381">
        <v>82.555273415754698</v>
      </c>
      <c r="AJ1381">
        <v>90.501580263266007</v>
      </c>
      <c r="AK1381">
        <v>2.9551072053137499</v>
      </c>
      <c r="AL1381">
        <v>81.736274046128898</v>
      </c>
      <c r="AM1381">
        <v>93.119992821961802</v>
      </c>
      <c r="AN1381">
        <v>0.99999998738149698</v>
      </c>
    </row>
    <row r="1382" spans="1:40" x14ac:dyDescent="0.3">
      <c r="A1382" t="str">
        <f>"20200111150756318"</f>
        <v>20200111150756318</v>
      </c>
      <c r="B1382" t="str">
        <f>"1578726476313200"</f>
        <v>1578726476313200</v>
      </c>
      <c r="C1382" t="s">
        <v>40</v>
      </c>
      <c r="D1382">
        <v>5.1586400000000001</v>
      </c>
      <c r="E1382">
        <v>0.52524819999999905</v>
      </c>
      <c r="F1382" t="s">
        <v>49</v>
      </c>
      <c r="G1382">
        <v>0</v>
      </c>
      <c r="H1382">
        <v>0</v>
      </c>
      <c r="I1382">
        <v>0</v>
      </c>
      <c r="J1382">
        <v>-408.16609999999997</v>
      </c>
      <c r="K1382">
        <v>1.109901</v>
      </c>
      <c r="L1382">
        <v>283.71640000000002</v>
      </c>
      <c r="M1382">
        <v>-0.99987930000000003</v>
      </c>
      <c r="N1382">
        <v>0</v>
      </c>
      <c r="O1382">
        <v>-1.1635339999999999E-2</v>
      </c>
      <c r="P1382">
        <v>-0.98883220000000005</v>
      </c>
      <c r="Q1382">
        <v>0.1337787</v>
      </c>
      <c r="R1382">
        <v>-6.5682829999999998E-2</v>
      </c>
      <c r="S1382">
        <v>-3.0007630000000001</v>
      </c>
      <c r="T1382">
        <v>0.24725059999999999</v>
      </c>
      <c r="U1382">
        <v>6.6833500000000002E-3</v>
      </c>
      <c r="V1382">
        <v>-5.4166989999999998E-2</v>
      </c>
      <c r="W1382">
        <v>0.1439657</v>
      </c>
      <c r="X1382">
        <v>0.98809910000000001</v>
      </c>
      <c r="Y1382">
        <v>1.377687E-2</v>
      </c>
      <c r="Z1382">
        <v>-1.523738E-3</v>
      </c>
      <c r="AA1382">
        <v>0.99990389999999996</v>
      </c>
      <c r="AB1382">
        <v>33</v>
      </c>
      <c r="AC1382">
        <v>-3.0007630000000001</v>
      </c>
      <c r="AD1382">
        <v>0.24725059999999999</v>
      </c>
      <c r="AE1382">
        <v>6.6833500000000002E-3</v>
      </c>
      <c r="AF1382">
        <v>4.1319128285479498E-2</v>
      </c>
      <c r="AG1382">
        <v>0.24725059999999999</v>
      </c>
      <c r="AH1382">
        <v>2.9802490143019602</v>
      </c>
      <c r="AI1382">
        <v>85.257880981097998</v>
      </c>
      <c r="AJ1382">
        <v>89.205683826225993</v>
      </c>
      <c r="AK1382">
        <v>2.9907731971532701</v>
      </c>
      <c r="AL1382">
        <v>81.7226103111105</v>
      </c>
      <c r="AM1382">
        <v>93.137779020165794</v>
      </c>
      <c r="AN1382">
        <v>1.00000000850148</v>
      </c>
    </row>
    <row r="1383" spans="1:40" x14ac:dyDescent="0.3">
      <c r="A1383" t="str">
        <f>"20200111150756330"</f>
        <v>20200111150756330</v>
      </c>
      <c r="B1383" t="str">
        <f>"1578726476322956"</f>
        <v>1578726476322956</v>
      </c>
      <c r="C1383" t="s">
        <v>40</v>
      </c>
      <c r="D1383">
        <v>5.5500290000000003</v>
      </c>
      <c r="E1383">
        <v>0.51882799999999996</v>
      </c>
      <c r="F1383" t="s">
        <v>49</v>
      </c>
      <c r="G1383">
        <v>0</v>
      </c>
      <c r="H1383">
        <v>0</v>
      </c>
      <c r="I1383">
        <v>0</v>
      </c>
      <c r="J1383">
        <v>-408.35309999999998</v>
      </c>
      <c r="K1383">
        <v>1.1099000000000001</v>
      </c>
      <c r="L1383">
        <v>283.71420000000001</v>
      </c>
      <c r="M1383">
        <v>-0.99987950000000003</v>
      </c>
      <c r="N1383">
        <v>0</v>
      </c>
      <c r="O1383">
        <v>-1.163552E-2</v>
      </c>
      <c r="P1383">
        <v>-0.9887724</v>
      </c>
      <c r="Q1383">
        <v>0.13414200000000001</v>
      </c>
      <c r="R1383">
        <v>-6.5844280000000005E-2</v>
      </c>
      <c r="S1383">
        <v>-2.994812</v>
      </c>
      <c r="T1383">
        <v>0.29240699999999997</v>
      </c>
      <c r="U1383">
        <v>6.7749019999999898E-3</v>
      </c>
      <c r="V1383">
        <v>-5.4329089999999997E-2</v>
      </c>
      <c r="W1383">
        <v>0.14431669999999999</v>
      </c>
      <c r="X1383">
        <v>0.988039</v>
      </c>
      <c r="Y1383">
        <v>1.3777319999999999E-2</v>
      </c>
      <c r="Z1383">
        <v>-1.8044140000000001E-3</v>
      </c>
      <c r="AA1383">
        <v>0.9999034</v>
      </c>
      <c r="AB1383">
        <v>33</v>
      </c>
      <c r="AC1383">
        <v>-2.994812</v>
      </c>
      <c r="AD1383">
        <v>0.29240699999999997</v>
      </c>
      <c r="AE1383">
        <v>6.7749019999999898E-3</v>
      </c>
      <c r="AF1383">
        <v>4.12294339311906E-2</v>
      </c>
      <c r="AG1383">
        <v>0.29240699999999997</v>
      </c>
      <c r="AH1383">
        <v>2.9662528245252799</v>
      </c>
      <c r="AI1383">
        <v>84.370631537162396</v>
      </c>
      <c r="AJ1383">
        <v>89.203668538713302</v>
      </c>
      <c r="AK1383">
        <v>2.98091555379811</v>
      </c>
      <c r="AL1383">
        <v>81.702287296860803</v>
      </c>
      <c r="AM1383">
        <v>93.147341330695596</v>
      </c>
      <c r="AN1383">
        <v>1.0000000127200499</v>
      </c>
    </row>
    <row r="1384" spans="1:40" x14ac:dyDescent="0.3">
      <c r="A1384" t="str">
        <f>"20200111150756351"</f>
        <v>20200111150756351</v>
      </c>
      <c r="B1384" t="str">
        <f>"1578726476342476"</f>
        <v>1578726476342476</v>
      </c>
      <c r="C1384" t="s">
        <v>40</v>
      </c>
      <c r="D1384">
        <v>7.8277149999999898</v>
      </c>
      <c r="E1384">
        <v>0.51882799999999996</v>
      </c>
      <c r="F1384" t="s">
        <v>49</v>
      </c>
      <c r="G1384">
        <v>0</v>
      </c>
      <c r="H1384">
        <v>0</v>
      </c>
      <c r="I1384">
        <v>0</v>
      </c>
      <c r="J1384">
        <v>-408.66719999999998</v>
      </c>
      <c r="K1384">
        <v>1.109901</v>
      </c>
      <c r="L1384">
        <v>283.7106</v>
      </c>
      <c r="M1384">
        <v>-0.99987950000000003</v>
      </c>
      <c r="N1384">
        <v>0</v>
      </c>
      <c r="O1384">
        <v>-1.163557E-2</v>
      </c>
      <c r="P1384">
        <v>-0.9886585</v>
      </c>
      <c r="Q1384">
        <v>0.13488710000000001</v>
      </c>
      <c r="R1384">
        <v>-6.6030510000000001E-2</v>
      </c>
      <c r="S1384">
        <v>-2.9936829999999999</v>
      </c>
      <c r="T1384">
        <v>0.27557769999999998</v>
      </c>
      <c r="U1384">
        <v>-4.4433590000000002E-2</v>
      </c>
      <c r="V1384">
        <v>-5.4516370000000001E-2</v>
      </c>
      <c r="W1384">
        <v>0.14504610000000001</v>
      </c>
      <c r="X1384">
        <v>0.98792179999999996</v>
      </c>
      <c r="Y1384">
        <v>-3.2403969999999999E-3</v>
      </c>
      <c r="Z1384">
        <v>-9.1996560000000001E-4</v>
      </c>
      <c r="AA1384">
        <v>0.9999943</v>
      </c>
      <c r="AB1384">
        <v>33</v>
      </c>
      <c r="AC1384">
        <v>-2.9936829999999999</v>
      </c>
      <c r="AD1384">
        <v>0.27557769999999998</v>
      </c>
      <c r="AE1384">
        <v>-4.4433590000000002E-2</v>
      </c>
      <c r="AF1384">
        <v>-9.5149248028417802E-3</v>
      </c>
      <c r="AG1384">
        <v>0.27557769999999998</v>
      </c>
      <c r="AH1384">
        <v>2.9688455920500401</v>
      </c>
      <c r="AI1384">
        <v>84.696846558755098</v>
      </c>
      <c r="AJ1384">
        <v>90.183627996180405</v>
      </c>
      <c r="AK1384">
        <v>2.9816233417328601</v>
      </c>
      <c r="AL1384">
        <v>81.660050786155495</v>
      </c>
      <c r="AM1384">
        <v>93.1585426377018</v>
      </c>
      <c r="AN1384">
        <v>0.99999994431921102</v>
      </c>
    </row>
    <row r="1385" spans="1:40" x14ac:dyDescent="0.3">
      <c r="A1385" t="str">
        <f>"20200111150756365"</f>
        <v>20200111150756365</v>
      </c>
      <c r="B1385" t="str">
        <f>"1578726476362973"</f>
        <v>1578726476362973</v>
      </c>
      <c r="C1385" t="s">
        <v>40</v>
      </c>
      <c r="D1385">
        <v>4.7515989999999997</v>
      </c>
      <c r="E1385">
        <v>0.46022809999999997</v>
      </c>
      <c r="F1385" t="s">
        <v>49</v>
      </c>
      <c r="G1385">
        <v>0</v>
      </c>
      <c r="H1385">
        <v>0</v>
      </c>
      <c r="I1385">
        <v>0</v>
      </c>
      <c r="J1385">
        <v>-408.87599999999998</v>
      </c>
      <c r="K1385">
        <v>1.1099019999999999</v>
      </c>
      <c r="L1385">
        <v>283.7081</v>
      </c>
      <c r="M1385">
        <v>-0.99987969999999904</v>
      </c>
      <c r="N1385">
        <v>0</v>
      </c>
      <c r="O1385">
        <v>-1.163577E-2</v>
      </c>
      <c r="P1385">
        <v>-0.98865879999999995</v>
      </c>
      <c r="Q1385">
        <v>0.1349206</v>
      </c>
      <c r="R1385">
        <v>-6.5957859999999993E-2</v>
      </c>
      <c r="S1385">
        <v>-2.9934690000000002</v>
      </c>
      <c r="T1385">
        <v>0.27790019999999999</v>
      </c>
      <c r="U1385">
        <v>-4.5074459999999997E-2</v>
      </c>
      <c r="V1385">
        <v>-5.4444090000000001E-2</v>
      </c>
      <c r="W1385">
        <v>0.1450726</v>
      </c>
      <c r="X1385">
        <v>0.98792199999999997</v>
      </c>
      <c r="Y1385">
        <v>-3.454974E-3</v>
      </c>
      <c r="Z1385">
        <v>-9.1783070000000003E-4</v>
      </c>
      <c r="AA1385">
        <v>0.99999360000000004</v>
      </c>
      <c r="AB1385">
        <v>34</v>
      </c>
      <c r="AC1385">
        <v>-2.9934690000000002</v>
      </c>
      <c r="AD1385">
        <v>0.27790019999999999</v>
      </c>
      <c r="AE1385">
        <v>-4.5074459999999997E-2</v>
      </c>
      <c r="AF1385">
        <v>-1.01507951812635E-2</v>
      </c>
      <c r="AG1385">
        <v>0.27790019999999999</v>
      </c>
      <c r="AH1385">
        <v>2.9682152723213502</v>
      </c>
      <c r="AI1385">
        <v>84.651285710263494</v>
      </c>
      <c r="AJ1385">
        <v>90.195941130253601</v>
      </c>
      <c r="AK1385">
        <v>2.9812134211834902</v>
      </c>
      <c r="AL1385">
        <v>81.658517088937799</v>
      </c>
      <c r="AM1385">
        <v>93.154362739616801</v>
      </c>
      <c r="AN1385">
        <v>1.0000000481453399</v>
      </c>
    </row>
    <row r="1386" spans="1:40" x14ac:dyDescent="0.3">
      <c r="A1386" t="str">
        <f>"20200111150756496"</f>
        <v>20200111150756496</v>
      </c>
      <c r="B1386" t="str">
        <f>"1578726476492780"</f>
        <v>1578726476492780</v>
      </c>
      <c r="C1386" t="s">
        <v>40</v>
      </c>
      <c r="D1386">
        <v>6.0177259999999997</v>
      </c>
      <c r="E1386">
        <v>0.47035329999999897</v>
      </c>
      <c r="F1386" t="s">
        <v>58</v>
      </c>
      <c r="G1386">
        <v>-412.92899999999997</v>
      </c>
      <c r="H1386" s="1">
        <v>2.8596239999999999E-6</v>
      </c>
      <c r="I1386">
        <v>283.08</v>
      </c>
      <c r="J1386">
        <v>-410.85239999999999</v>
      </c>
      <c r="K1386">
        <v>1.1099209999999999</v>
      </c>
      <c r="L1386">
        <v>283.68509999999998</v>
      </c>
      <c r="M1386">
        <v>-0.99987950000000003</v>
      </c>
      <c r="N1386">
        <v>0</v>
      </c>
      <c r="O1386">
        <v>-1.163751E-2</v>
      </c>
      <c r="P1386">
        <v>-0.9884077</v>
      </c>
      <c r="Q1386">
        <v>0.13639299999999999</v>
      </c>
      <c r="R1386">
        <v>-6.6688300000000006E-2</v>
      </c>
      <c r="S1386">
        <v>-3.1187130000000001</v>
      </c>
      <c r="T1386">
        <v>-0.85403909999999905</v>
      </c>
      <c r="U1386">
        <v>-0.48330689999999998</v>
      </c>
      <c r="V1386">
        <v>-5.5175229999999999E-2</v>
      </c>
      <c r="W1386">
        <v>0.14655570000000001</v>
      </c>
      <c r="X1386">
        <v>0.98766240000000005</v>
      </c>
      <c r="Y1386">
        <v>-0.1371194</v>
      </c>
      <c r="Z1386">
        <v>-1.522051E-2</v>
      </c>
      <c r="AA1386">
        <v>0.99043760000000003</v>
      </c>
      <c r="AB1386">
        <v>34</v>
      </c>
      <c r="AC1386">
        <v>-2.07660000000004</v>
      </c>
      <c r="AD1386">
        <v>-1.1099181403759999</v>
      </c>
      <c r="AE1386">
        <v>-0.60509999999999298</v>
      </c>
      <c r="AF1386">
        <v>-0.45981338554118201</v>
      </c>
      <c r="AG1386">
        <v>-1.1099181403759999</v>
      </c>
      <c r="AH1386">
        <v>1.6492275501915099</v>
      </c>
      <c r="AI1386">
        <v>122.954069422899</v>
      </c>
      <c r="AJ1386">
        <v>105.578752064501</v>
      </c>
      <c r="AK1386">
        <v>2.0404161683757698</v>
      </c>
      <c r="AL1386">
        <v>81.572622833485795</v>
      </c>
      <c r="AM1386">
        <v>93.197474474571905</v>
      </c>
      <c r="AN1386">
        <v>0.99999994779089996</v>
      </c>
    </row>
    <row r="1387" spans="1:40" x14ac:dyDescent="0.3">
      <c r="A1387" t="str">
        <f>"20200111150756512"</f>
        <v>20200111150756512</v>
      </c>
      <c r="B1387" t="str">
        <f>"1578726476502541"</f>
        <v>1578726476502541</v>
      </c>
      <c r="C1387" t="s">
        <v>40</v>
      </c>
      <c r="D1387">
        <v>5.6022230000000004</v>
      </c>
      <c r="E1387">
        <v>0.47088679999999999</v>
      </c>
      <c r="F1387" t="s">
        <v>41</v>
      </c>
      <c r="G1387">
        <v>-411.56939999999997</v>
      </c>
      <c r="H1387">
        <v>0.9231106</v>
      </c>
      <c r="I1387">
        <v>283.59190000000001</v>
      </c>
      <c r="J1387">
        <v>-411.07900000000001</v>
      </c>
      <c r="K1387">
        <v>1.109923</v>
      </c>
      <c r="L1387">
        <v>283.6825</v>
      </c>
      <c r="M1387">
        <v>-0.99987939999999997</v>
      </c>
      <c r="N1387">
        <v>0</v>
      </c>
      <c r="O1387">
        <v>-1.1637689999999999E-2</v>
      </c>
      <c r="P1387">
        <v>-0.98839330000000003</v>
      </c>
      <c r="Q1387">
        <v>0.13649910000000001</v>
      </c>
      <c r="R1387">
        <v>-6.6683580000000006E-2</v>
      </c>
      <c r="S1387">
        <v>-3.1200260000000002</v>
      </c>
      <c r="T1387">
        <v>-0.81290229999999997</v>
      </c>
      <c r="U1387">
        <v>-0.40518189999999998</v>
      </c>
      <c r="V1387">
        <v>-5.5170490000000003E-2</v>
      </c>
      <c r="W1387">
        <v>0.14667459999999999</v>
      </c>
      <c r="X1387">
        <v>0.98764510000000005</v>
      </c>
      <c r="Y1387">
        <v>-0.1138772</v>
      </c>
      <c r="Z1387">
        <v>-1.15633E-2</v>
      </c>
      <c r="AA1387">
        <v>0.99342750000000002</v>
      </c>
      <c r="AB1387">
        <v>34</v>
      </c>
      <c r="AC1387">
        <v>-0.49039999999996498</v>
      </c>
      <c r="AD1387">
        <v>-0.18681239999999999</v>
      </c>
      <c r="AE1387">
        <v>-9.0599999999994907E-2</v>
      </c>
      <c r="AF1387">
        <v>-7.4440573714505395E-2</v>
      </c>
      <c r="AG1387">
        <v>-0.18681239999999999</v>
      </c>
      <c r="AH1387">
        <v>0.43094842691498803</v>
      </c>
      <c r="AI1387">
        <v>113.130491680194</v>
      </c>
      <c r="AJ1387">
        <v>99.800368589955696</v>
      </c>
      <c r="AK1387">
        <v>0.47555947942313997</v>
      </c>
      <c r="AL1387">
        <v>81.565736661343706</v>
      </c>
      <c r="AM1387">
        <v>93.1972562427555</v>
      </c>
      <c r="AN1387">
        <v>1.0000000324030001</v>
      </c>
    </row>
    <row r="1388" spans="1:40" x14ac:dyDescent="0.3">
      <c r="A1388" t="str">
        <f>"20200111150756531"</f>
        <v>20200111150756531</v>
      </c>
      <c r="B1388" t="str">
        <f>"1578726476523037"</f>
        <v>1578726476523037</v>
      </c>
      <c r="C1388" t="s">
        <v>40</v>
      </c>
      <c r="D1388">
        <v>5.6669729999999996</v>
      </c>
      <c r="E1388">
        <v>0.44980130000000002</v>
      </c>
      <c r="F1388" t="s">
        <v>41</v>
      </c>
      <c r="G1388">
        <v>-411.87029999999999</v>
      </c>
      <c r="H1388">
        <v>0.91919969999999995</v>
      </c>
      <c r="I1388">
        <v>283.58030000000002</v>
      </c>
      <c r="J1388">
        <v>-411.37060000000002</v>
      </c>
      <c r="K1388">
        <v>1.1099300000000001</v>
      </c>
      <c r="L1388">
        <v>283.67910000000001</v>
      </c>
      <c r="M1388">
        <v>-0.99987910000000002</v>
      </c>
      <c r="N1388">
        <v>0</v>
      </c>
      <c r="O1388">
        <v>-1.163778E-2</v>
      </c>
      <c r="P1388">
        <v>-0.98834690000000003</v>
      </c>
      <c r="Q1388">
        <v>0.136816299999999</v>
      </c>
      <c r="R1388">
        <v>-6.6721069999999993E-2</v>
      </c>
      <c r="S1388">
        <v>-3.1116329999999999</v>
      </c>
      <c r="T1388">
        <v>-0.74994309999999997</v>
      </c>
      <c r="U1388">
        <v>-0.4027405</v>
      </c>
      <c r="V1388">
        <v>-5.5208220000000002E-2</v>
      </c>
      <c r="W1388">
        <v>0.147009</v>
      </c>
      <c r="X1388">
        <v>0.98759319999999895</v>
      </c>
      <c r="Y1388">
        <v>-0.1139288</v>
      </c>
      <c r="Z1388">
        <v>-1.072762E-2</v>
      </c>
      <c r="AA1388">
        <v>0.99343099999999995</v>
      </c>
      <c r="AB1388">
        <v>34</v>
      </c>
      <c r="AC1388">
        <v>-0.49969999999996101</v>
      </c>
      <c r="AD1388">
        <v>-0.19073029999999899</v>
      </c>
      <c r="AE1388">
        <v>-9.8799999999982901E-2</v>
      </c>
      <c r="AF1388">
        <v>-8.1544567841269205E-2</v>
      </c>
      <c r="AG1388">
        <v>-0.19073029999999899</v>
      </c>
      <c r="AH1388">
        <v>0.43923296042788801</v>
      </c>
      <c r="AI1388">
        <v>113.119558177606</v>
      </c>
      <c r="AJ1388">
        <v>100.517345930356</v>
      </c>
      <c r="AK1388">
        <v>0.48575009769299698</v>
      </c>
      <c r="AL1388">
        <v>81.546366379075096</v>
      </c>
      <c r="AM1388">
        <v>93.199606029236406</v>
      </c>
      <c r="AN1388">
        <v>0.99999996116140299</v>
      </c>
    </row>
    <row r="1389" spans="1:40" x14ac:dyDescent="0.3">
      <c r="A1389" t="str">
        <f>"20200111150756553"</f>
        <v>20200111150756553</v>
      </c>
      <c r="B1389" t="str">
        <f>"1578726476542556"</f>
        <v>1578726476542556</v>
      </c>
      <c r="C1389" t="s">
        <v>40</v>
      </c>
      <c r="D1389">
        <v>5.6027040000000001</v>
      </c>
      <c r="E1389">
        <v>0.45636480000000001</v>
      </c>
      <c r="F1389" t="s">
        <v>58</v>
      </c>
      <c r="G1389">
        <v>-426.03879999999998</v>
      </c>
      <c r="H1389" s="1">
        <v>3.2227390000000001E-6</v>
      </c>
      <c r="I1389">
        <v>280.8492</v>
      </c>
      <c r="J1389">
        <v>-411.69670000000002</v>
      </c>
      <c r="K1389">
        <v>1.109928</v>
      </c>
      <c r="L1389">
        <v>283.67529999999999</v>
      </c>
      <c r="M1389">
        <v>-0.99987890000000001</v>
      </c>
      <c r="N1389">
        <v>0</v>
      </c>
      <c r="O1389">
        <v>-1.163815E-2</v>
      </c>
      <c r="P1389">
        <v>-0.98824509999999999</v>
      </c>
      <c r="Q1389">
        <v>0.13732130000000001</v>
      </c>
      <c r="R1389">
        <v>-6.7189490000000004E-2</v>
      </c>
      <c r="S1389">
        <v>-3.0276489999999998</v>
      </c>
      <c r="T1389">
        <v>-0.2290981</v>
      </c>
      <c r="U1389">
        <v>-0.58410640000000003</v>
      </c>
      <c r="V1389">
        <v>-5.5677999999999998E-2</v>
      </c>
      <c r="W1389">
        <v>0.14753720000000001</v>
      </c>
      <c r="X1389">
        <v>0.98748809999999998</v>
      </c>
      <c r="Y1389">
        <v>-0.1775331</v>
      </c>
      <c r="Z1389">
        <v>-5.7750669999999896E-3</v>
      </c>
      <c r="AA1389">
        <v>0.98409789999999997</v>
      </c>
      <c r="AB1389">
        <v>34</v>
      </c>
      <c r="AC1389">
        <v>-14.342099999999901</v>
      </c>
      <c r="AD1389">
        <v>-1.1099247772609999</v>
      </c>
      <c r="AE1389">
        <v>-2.8260999999999901</v>
      </c>
      <c r="AF1389">
        <v>-2.6437423374948699</v>
      </c>
      <c r="AG1389">
        <v>-1.1099247772609999</v>
      </c>
      <c r="AH1389">
        <v>14.291626171373499</v>
      </c>
      <c r="AI1389">
        <v>94.367028424400104</v>
      </c>
      <c r="AJ1389">
        <v>100.480409901203</v>
      </c>
      <c r="AK1389">
        <v>14.576415374862499</v>
      </c>
      <c r="AL1389">
        <v>81.515769496316807</v>
      </c>
      <c r="AM1389">
        <v>93.227117659871695</v>
      </c>
      <c r="AN1389">
        <v>1.0000000063547201</v>
      </c>
    </row>
    <row r="1390" spans="1:40" x14ac:dyDescent="0.3">
      <c r="A1390" t="str">
        <f>"20200111150756575"</f>
        <v>20200111150756575</v>
      </c>
      <c r="B1390" t="str">
        <f>"1578726476572812"</f>
        <v>1578726476572812</v>
      </c>
      <c r="C1390" t="s">
        <v>40</v>
      </c>
      <c r="D1390">
        <v>5.6269260000000001</v>
      </c>
      <c r="E1390">
        <v>0.45893299999999998</v>
      </c>
      <c r="F1390" t="s">
        <v>58</v>
      </c>
      <c r="G1390">
        <v>-428.97640000000001</v>
      </c>
      <c r="H1390" s="1">
        <v>2.7209300000000001E-6</v>
      </c>
      <c r="I1390">
        <v>280.62880000000001</v>
      </c>
      <c r="J1390">
        <v>-412.03640000000001</v>
      </c>
      <c r="K1390">
        <v>1.1099330000000001</v>
      </c>
      <c r="L1390">
        <v>283.67140000000001</v>
      </c>
      <c r="M1390">
        <v>-0.99987859999999995</v>
      </c>
      <c r="N1390">
        <v>0</v>
      </c>
      <c r="O1390">
        <v>-1.163843E-2</v>
      </c>
      <c r="P1390">
        <v>-0.98830070000000003</v>
      </c>
      <c r="Q1390">
        <v>0.13692009999999999</v>
      </c>
      <c r="R1390">
        <v>-6.7191349999999997E-2</v>
      </c>
      <c r="S1390">
        <v>-3.026459</v>
      </c>
      <c r="T1390">
        <v>-0.1943976</v>
      </c>
      <c r="U1390">
        <v>-0.53356930000000002</v>
      </c>
      <c r="V1390">
        <v>-5.5678739999999997E-2</v>
      </c>
      <c r="W1390">
        <v>0.1471684</v>
      </c>
      <c r="X1390">
        <v>0.98754310000000001</v>
      </c>
      <c r="Y1390">
        <v>-0.16184979999999999</v>
      </c>
      <c r="Z1390">
        <v>-4.4121200000000003E-3</v>
      </c>
      <c r="AA1390">
        <v>0.98680559999999995</v>
      </c>
      <c r="AB1390">
        <v>34</v>
      </c>
      <c r="AC1390">
        <v>-16.939999999999898</v>
      </c>
      <c r="AD1390">
        <v>-1.1099302790700001</v>
      </c>
      <c r="AE1390">
        <v>-3.04259999999999</v>
      </c>
      <c r="AF1390">
        <v>-2.8334443886177101</v>
      </c>
      <c r="AG1390">
        <v>-1.1099302790700001</v>
      </c>
      <c r="AH1390">
        <v>16.9039641186172</v>
      </c>
      <c r="AI1390">
        <v>93.705159022980595</v>
      </c>
      <c r="AJ1390">
        <v>99.515466024895503</v>
      </c>
      <c r="AK1390">
        <v>17.175690823116401</v>
      </c>
      <c r="AL1390">
        <v>81.537133480583094</v>
      </c>
      <c r="AM1390">
        <v>93.226981107012307</v>
      </c>
      <c r="AN1390">
        <v>1.00000001720207</v>
      </c>
    </row>
    <row r="1391" spans="1:40" x14ac:dyDescent="0.3">
      <c r="A1391" t="str">
        <f>"20200111150756599"</f>
        <v>20200111150756599</v>
      </c>
      <c r="B1391" t="str">
        <f>"1578726476593308"</f>
        <v>1578726476593308</v>
      </c>
      <c r="C1391" t="s">
        <v>40</v>
      </c>
      <c r="D1391">
        <v>5.5927319999999998</v>
      </c>
      <c r="E1391">
        <v>0.4600167</v>
      </c>
      <c r="F1391" t="s">
        <v>58</v>
      </c>
      <c r="G1391">
        <v>-429.71159999999998</v>
      </c>
      <c r="H1391" s="1">
        <v>2.5866400000000002E-6</v>
      </c>
      <c r="I1391">
        <v>280.67320000000001</v>
      </c>
      <c r="J1391">
        <v>-412.39299999999997</v>
      </c>
      <c r="K1391">
        <v>1.109937</v>
      </c>
      <c r="L1391">
        <v>283.66719999999998</v>
      </c>
      <c r="M1391">
        <v>-0.9998783</v>
      </c>
      <c r="N1391">
        <v>0</v>
      </c>
      <c r="O1391">
        <v>-1.163874E-2</v>
      </c>
      <c r="P1391">
        <v>-0.98843340000000002</v>
      </c>
      <c r="Q1391">
        <v>0.13650219999999999</v>
      </c>
      <c r="R1391">
        <v>-6.6081799999999996E-2</v>
      </c>
      <c r="S1391">
        <v>-3.0269469999999998</v>
      </c>
      <c r="T1391">
        <v>-0.1900792</v>
      </c>
      <c r="U1391">
        <v>-0.51345829999999903</v>
      </c>
      <c r="V1391">
        <v>-5.4567209999999998E-2</v>
      </c>
      <c r="W1391">
        <v>0.1467878</v>
      </c>
      <c r="X1391">
        <v>0.98766180000000003</v>
      </c>
      <c r="Y1391">
        <v>-0.15547800000000001</v>
      </c>
      <c r="Z1391">
        <v>-4.1175550000000002E-3</v>
      </c>
      <c r="AA1391">
        <v>0.98783080000000001</v>
      </c>
      <c r="AB1391">
        <v>34</v>
      </c>
      <c r="AC1391">
        <v>-17.318599999999901</v>
      </c>
      <c r="AD1391">
        <v>-1.10993441336</v>
      </c>
      <c r="AE1391">
        <v>-2.99399999999997</v>
      </c>
      <c r="AF1391">
        <v>-2.7811278639007799</v>
      </c>
      <c r="AG1391">
        <v>-1.10993441336</v>
      </c>
      <c r="AH1391">
        <v>17.283345246247201</v>
      </c>
      <c r="AI1391">
        <v>93.627940061329397</v>
      </c>
      <c r="AJ1391">
        <v>99.1413167373899</v>
      </c>
      <c r="AK1391">
        <v>17.540828073335099</v>
      </c>
      <c r="AL1391">
        <v>81.559179831894795</v>
      </c>
      <c r="AM1391">
        <v>93.162312773262997</v>
      </c>
      <c r="AN1391">
        <v>1.0000000349076299</v>
      </c>
    </row>
    <row r="1392" spans="1:40" x14ac:dyDescent="0.3">
      <c r="A1392" t="str">
        <f>"20200111150756620"</f>
        <v>20200111150756620</v>
      </c>
      <c r="B1392" t="str">
        <f>"1578726476612828"</f>
        <v>1578726476612828</v>
      </c>
      <c r="C1392" t="s">
        <v>40</v>
      </c>
      <c r="D1392">
        <v>5.5555459999999997</v>
      </c>
      <c r="E1392">
        <v>0.46151619999999999</v>
      </c>
      <c r="F1392" t="s">
        <v>58</v>
      </c>
      <c r="G1392">
        <v>-428.79689999999999</v>
      </c>
      <c r="H1392" s="1">
        <v>2.7248000000000002E-6</v>
      </c>
      <c r="I1392">
        <v>280.94869999999997</v>
      </c>
      <c r="J1392">
        <v>-412.71820000000002</v>
      </c>
      <c r="K1392">
        <v>1.1099490000000001</v>
      </c>
      <c r="L1392">
        <v>283.66340000000002</v>
      </c>
      <c r="M1392">
        <v>-0.99987780000000004</v>
      </c>
      <c r="N1392">
        <v>0</v>
      </c>
      <c r="O1392">
        <v>-1.163893E-2</v>
      </c>
      <c r="P1392">
        <v>-0.98847450000000003</v>
      </c>
      <c r="Q1392">
        <v>0.13681289999999999</v>
      </c>
      <c r="R1392">
        <v>-6.4808409999999997E-2</v>
      </c>
      <c r="S1392">
        <v>-3.029846</v>
      </c>
      <c r="T1392">
        <v>-0.2050071</v>
      </c>
      <c r="U1392">
        <v>-0.50210569999999999</v>
      </c>
      <c r="V1392">
        <v>-5.3293739999999999E-2</v>
      </c>
      <c r="W1392">
        <v>0.14713589999999999</v>
      </c>
      <c r="X1392">
        <v>0.98767950000000004</v>
      </c>
      <c r="Y1392">
        <v>-0.1516845</v>
      </c>
      <c r="Z1392">
        <v>-4.3100680000000002E-3</v>
      </c>
      <c r="AA1392">
        <v>0.98841950000000001</v>
      </c>
      <c r="AB1392">
        <v>34</v>
      </c>
      <c r="AC1392">
        <v>-16.078699999999898</v>
      </c>
      <c r="AD1392">
        <v>-1.1099462752</v>
      </c>
      <c r="AE1392">
        <v>-2.7147000000000499</v>
      </c>
      <c r="AF1392">
        <v>-2.51571087655564</v>
      </c>
      <c r="AG1392">
        <v>-1.1099462752</v>
      </c>
      <c r="AH1392">
        <v>16.034913361387801</v>
      </c>
      <c r="AI1392">
        <v>93.912029756078894</v>
      </c>
      <c r="AJ1392">
        <v>98.916427742038707</v>
      </c>
      <c r="AK1392">
        <v>16.268965193135799</v>
      </c>
      <c r="AL1392">
        <v>81.539015900647399</v>
      </c>
      <c r="AM1392">
        <v>93.088601201745504</v>
      </c>
      <c r="AN1392">
        <v>0.99999999525612304</v>
      </c>
    </row>
    <row r="1393" spans="1:40" x14ac:dyDescent="0.3">
      <c r="A1393" t="str">
        <f>"20200111150756642"</f>
        <v>20200111150756642</v>
      </c>
      <c r="B1393" t="str">
        <f>"1578726476633327"</f>
        <v>1578726476633327</v>
      </c>
      <c r="C1393" t="s">
        <v>40</v>
      </c>
      <c r="D1393">
        <v>5.6168189999999996</v>
      </c>
      <c r="E1393">
        <v>0.46213660000000001</v>
      </c>
      <c r="F1393" t="s">
        <v>58</v>
      </c>
      <c r="G1393">
        <v>-428.7029</v>
      </c>
      <c r="H1393" s="1">
        <v>2.7281210000000001E-6</v>
      </c>
      <c r="I1393">
        <v>281.10149999999999</v>
      </c>
      <c r="J1393">
        <v>-413.04950000000002</v>
      </c>
      <c r="K1393">
        <v>1.1099559999999999</v>
      </c>
      <c r="L1393">
        <v>283.65949999999998</v>
      </c>
      <c r="M1393">
        <v>-0.99987729999999997</v>
      </c>
      <c r="N1393">
        <v>0</v>
      </c>
      <c r="O1393">
        <v>-1.1639119999999999E-2</v>
      </c>
      <c r="P1393">
        <v>-0.9885486</v>
      </c>
      <c r="Q1393">
        <v>0.13667389999999999</v>
      </c>
      <c r="R1393">
        <v>-6.3966369999999995E-2</v>
      </c>
      <c r="S1393">
        <v>-3.032257</v>
      </c>
      <c r="T1393">
        <v>-0.2105535</v>
      </c>
      <c r="U1393">
        <v>-0.48599239999999999</v>
      </c>
      <c r="V1393">
        <v>-5.245056E-2</v>
      </c>
      <c r="W1393">
        <v>0.1470349</v>
      </c>
      <c r="X1393">
        <v>0.9877397</v>
      </c>
      <c r="Y1393">
        <v>-0.14643429999999999</v>
      </c>
      <c r="Z1393">
        <v>-4.2438780000000004E-3</v>
      </c>
      <c r="AA1393">
        <v>0.98921130000000002</v>
      </c>
      <c r="AB1393">
        <v>34</v>
      </c>
      <c r="AC1393">
        <v>-15.6533999999999</v>
      </c>
      <c r="AD1393">
        <v>-1.1099532718789999</v>
      </c>
      <c r="AE1393">
        <v>-2.5579999999999901</v>
      </c>
      <c r="AF1393">
        <v>-2.3640477145457801</v>
      </c>
      <c r="AG1393">
        <v>-1.1099532718789999</v>
      </c>
      <c r="AH1393">
        <v>15.605690113217401</v>
      </c>
      <c r="AI1393">
        <v>94.022566017855496</v>
      </c>
      <c r="AJ1393">
        <v>98.614030267962903</v>
      </c>
      <c r="AK1393">
        <v>15.8227141089061</v>
      </c>
      <c r="AL1393">
        <v>81.544866607997605</v>
      </c>
      <c r="AM1393">
        <v>93.039642758882493</v>
      </c>
      <c r="AN1393">
        <v>1.0000000190092</v>
      </c>
    </row>
    <row r="1394" spans="1:40" x14ac:dyDescent="0.3">
      <c r="A1394" t="str">
        <f>"20200111150756664"</f>
        <v>20200111150756664</v>
      </c>
      <c r="B1394" t="str">
        <f>"1578726476652844"</f>
        <v>1578726476652844</v>
      </c>
      <c r="C1394" t="s">
        <v>40</v>
      </c>
      <c r="D1394">
        <v>5.6469760000000004</v>
      </c>
      <c r="E1394">
        <v>0.46309509999999998</v>
      </c>
      <c r="F1394" t="s">
        <v>58</v>
      </c>
      <c r="G1394">
        <v>-428.71120000000002</v>
      </c>
      <c r="H1394" s="1">
        <v>2.718695E-6</v>
      </c>
      <c r="I1394">
        <v>281.1925</v>
      </c>
      <c r="J1394">
        <v>-413.38650000000001</v>
      </c>
      <c r="K1394">
        <v>1.109958</v>
      </c>
      <c r="L1394">
        <v>283.65570000000002</v>
      </c>
      <c r="M1394">
        <v>-0.99987709999999996</v>
      </c>
      <c r="N1394">
        <v>0</v>
      </c>
      <c r="O1394">
        <v>-1.163967E-2</v>
      </c>
      <c r="P1394">
        <v>-0.98865210000000003</v>
      </c>
      <c r="Q1394">
        <v>0.13645479999999999</v>
      </c>
      <c r="R1394">
        <v>-6.2825880000000001E-2</v>
      </c>
      <c r="S1394">
        <v>-3.033569</v>
      </c>
      <c r="T1394">
        <v>-0.21498999999999999</v>
      </c>
      <c r="U1394">
        <v>-0.4778442</v>
      </c>
      <c r="V1394">
        <v>-5.1308359999999997E-2</v>
      </c>
      <c r="W1394">
        <v>0.14685239999999999</v>
      </c>
      <c r="X1394">
        <v>0.9878268</v>
      </c>
      <c r="Y1394">
        <v>-0.143767899999999</v>
      </c>
      <c r="Z1394">
        <v>-4.2383079999999997E-3</v>
      </c>
      <c r="AA1394">
        <v>0.98960230000000005</v>
      </c>
      <c r="AB1394">
        <v>34</v>
      </c>
      <c r="AC1394">
        <v>-15.3247</v>
      </c>
      <c r="AD1394">
        <v>-1.109955281305</v>
      </c>
      <c r="AE1394">
        <v>-2.46320000000002</v>
      </c>
      <c r="AF1394">
        <v>-2.27302488325636</v>
      </c>
      <c r="AG1394">
        <v>-1.109955281305</v>
      </c>
      <c r="AH1394">
        <v>15.2742238283722</v>
      </c>
      <c r="AI1394">
        <v>94.111178408917894</v>
      </c>
      <c r="AJ1394">
        <v>98.464320569690997</v>
      </c>
      <c r="AK1394">
        <v>15.4822658679411</v>
      </c>
      <c r="AL1394">
        <v>81.555437516361494</v>
      </c>
      <c r="AM1394">
        <v>92.973307771662604</v>
      </c>
      <c r="AN1394">
        <v>0.99999998099494403</v>
      </c>
    </row>
    <row r="1395" spans="1:40" x14ac:dyDescent="0.3">
      <c r="A1395" t="str">
        <f>"20200111150756698"</f>
        <v>20200111150756698</v>
      </c>
      <c r="B1395" t="str">
        <f>"1578726476692863"</f>
        <v>1578726476692863</v>
      </c>
      <c r="C1395" t="s">
        <v>40</v>
      </c>
      <c r="D1395">
        <v>5.6975769999999999</v>
      </c>
      <c r="E1395">
        <v>0.46368959999999998</v>
      </c>
      <c r="F1395" t="s">
        <v>58</v>
      </c>
      <c r="G1395">
        <v>-429.21080000000001</v>
      </c>
      <c r="H1395" s="1">
        <v>2.6278309999999999E-6</v>
      </c>
      <c r="I1395">
        <v>281.2183</v>
      </c>
      <c r="J1395">
        <v>-413.8965</v>
      </c>
      <c r="K1395">
        <v>1.109958</v>
      </c>
      <c r="L1395">
        <v>283.6497</v>
      </c>
      <c r="M1395">
        <v>-0.99987649999999995</v>
      </c>
      <c r="N1395">
        <v>0</v>
      </c>
      <c r="O1395">
        <v>-1.164017E-2</v>
      </c>
      <c r="P1395">
        <v>-0.98862530000000004</v>
      </c>
      <c r="Q1395">
        <v>0.13667190000000001</v>
      </c>
      <c r="R1395">
        <v>-6.2775919999999999E-2</v>
      </c>
      <c r="S1395">
        <v>-3.034119</v>
      </c>
      <c r="T1395">
        <v>-0.21282119999999999</v>
      </c>
      <c r="U1395">
        <v>-0.46734619999999999</v>
      </c>
      <c r="V1395">
        <v>-5.1258280000000003E-2</v>
      </c>
      <c r="W1395">
        <v>0.147118</v>
      </c>
      <c r="X1395">
        <v>0.9877899</v>
      </c>
      <c r="Y1395">
        <v>-0.1404106</v>
      </c>
      <c r="Z1395">
        <v>-4.0790610000000001E-3</v>
      </c>
      <c r="AA1395">
        <v>0.99008490000000005</v>
      </c>
      <c r="AB1395">
        <v>34</v>
      </c>
      <c r="AC1395">
        <v>-15.314299999999999</v>
      </c>
      <c r="AD1395">
        <v>-1.1099553721690001</v>
      </c>
      <c r="AE1395">
        <v>-2.4313999999999898</v>
      </c>
      <c r="AF1395">
        <v>-2.2414790272090102</v>
      </c>
      <c r="AG1395">
        <v>-1.1099553721690001</v>
      </c>
      <c r="AH1395">
        <v>15.263357099681</v>
      </c>
      <c r="AI1395">
        <v>94.115258873421894</v>
      </c>
      <c r="AJ1395">
        <v>98.354376577843894</v>
      </c>
      <c r="AK1395">
        <v>15.4669421383157</v>
      </c>
      <c r="AL1395">
        <v>81.540052835150803</v>
      </c>
      <c r="AM1395">
        <v>92.970521611219596</v>
      </c>
      <c r="AN1395">
        <v>1.0000000018672801</v>
      </c>
    </row>
    <row r="1396" spans="1:40" x14ac:dyDescent="0.3">
      <c r="A1396" t="str">
        <f>"20200111150757614"</f>
        <v>20200111150757614</v>
      </c>
      <c r="B1396" t="str">
        <f>"1578726477602443"</f>
        <v>1578726477602443</v>
      </c>
      <c r="C1396" t="s">
        <v>40</v>
      </c>
      <c r="D1396">
        <v>5.5261849999999999</v>
      </c>
      <c r="E1396">
        <v>0.46355940000000001</v>
      </c>
      <c r="F1396" t="s">
        <v>58</v>
      </c>
      <c r="G1396">
        <v>-429.69569999999999</v>
      </c>
      <c r="H1396" s="1">
        <v>2.5397430000000001E-6</v>
      </c>
      <c r="I1396">
        <v>281.24189999999999</v>
      </c>
      <c r="J1396">
        <v>-427.99400000000003</v>
      </c>
      <c r="K1396">
        <v>1.110101</v>
      </c>
      <c r="L1396">
        <v>283.48570000000001</v>
      </c>
      <c r="M1396">
        <v>-0.99986489999999995</v>
      </c>
      <c r="N1396">
        <v>0</v>
      </c>
      <c r="O1396">
        <v>-1.1651699999999999E-2</v>
      </c>
      <c r="P1396">
        <v>-0.98859859999999999</v>
      </c>
      <c r="Q1396">
        <v>0.13899739999999999</v>
      </c>
      <c r="R1396">
        <v>-5.7898709999999999E-2</v>
      </c>
      <c r="S1396">
        <v>-3.034637</v>
      </c>
      <c r="T1396">
        <v>-0.213195</v>
      </c>
      <c r="U1396">
        <v>-0.46249390000000001</v>
      </c>
      <c r="V1396">
        <v>-4.6369979999999998E-2</v>
      </c>
      <c r="W1396">
        <v>0.15045120000000001</v>
      </c>
      <c r="X1396">
        <v>0.9875294</v>
      </c>
      <c r="Y1396">
        <v>-0.13882929999999999</v>
      </c>
      <c r="Z1396">
        <v>-4.030034E-3</v>
      </c>
      <c r="AA1396">
        <v>0.99030810000000002</v>
      </c>
      <c r="AB1396">
        <v>35</v>
      </c>
      <c r="AC1396">
        <v>-1.70169999999995</v>
      </c>
      <c r="AD1396">
        <v>-1.1100984602570001</v>
      </c>
      <c r="AE1396">
        <v>-2.2438000000000198</v>
      </c>
      <c r="AF1396">
        <v>-1.92473199785106</v>
      </c>
      <c r="AG1396">
        <v>-1.1100984602570001</v>
      </c>
      <c r="AH1396">
        <v>1.4953637682026</v>
      </c>
      <c r="AI1396">
        <v>114.486980014781</v>
      </c>
      <c r="AJ1396">
        <v>142.15563319693501</v>
      </c>
      <c r="AK1396">
        <v>2.678250297166</v>
      </c>
      <c r="AL1396">
        <v>81.346925081935197</v>
      </c>
      <c r="AM1396">
        <v>92.688379844425896</v>
      </c>
      <c r="AN1396">
        <v>1.0000000272454901</v>
      </c>
    </row>
    <row r="1397" spans="1:40" x14ac:dyDescent="0.3">
      <c r="A1397" t="str">
        <f>"20200111150758321"</f>
        <v>20200111150758321</v>
      </c>
      <c r="B1397" t="str">
        <f>"1578726478312970"</f>
        <v>1578726478312970</v>
      </c>
      <c r="C1397" t="s">
        <v>40</v>
      </c>
      <c r="D1397">
        <v>5.6431809999999896</v>
      </c>
      <c r="E1397">
        <v>0.46451750000000003</v>
      </c>
      <c r="F1397" t="s">
        <v>55</v>
      </c>
      <c r="G1397">
        <v>-444.08</v>
      </c>
      <c r="H1397" s="1">
        <v>7.8816389999999899E-7</v>
      </c>
      <c r="I1397">
        <v>281.09800000000001</v>
      </c>
      <c r="J1397">
        <v>-438.96910000000003</v>
      </c>
      <c r="K1397">
        <v>1.1101190000000001</v>
      </c>
      <c r="L1397">
        <v>283.358</v>
      </c>
      <c r="M1397">
        <v>-0.99986059999999999</v>
      </c>
      <c r="N1397">
        <v>0</v>
      </c>
      <c r="O1397">
        <v>-1.165531E-2</v>
      </c>
      <c r="P1397">
        <v>-0.98896530000000005</v>
      </c>
      <c r="Q1397">
        <v>0.137209</v>
      </c>
      <c r="R1397">
        <v>-5.5871089999999998E-2</v>
      </c>
      <c r="S1397">
        <v>-3.0376590000000001</v>
      </c>
      <c r="T1397">
        <v>-0.2096295</v>
      </c>
      <c r="U1397">
        <v>-0.4508972</v>
      </c>
      <c r="V1397">
        <v>-4.4334390000000001E-2</v>
      </c>
      <c r="W1397">
        <v>0.14903920000000001</v>
      </c>
      <c r="X1397">
        <v>0.98783690000000002</v>
      </c>
      <c r="Y1397">
        <v>-0.13500039999999999</v>
      </c>
      <c r="Z1397">
        <v>-3.8285189999999998E-3</v>
      </c>
      <c r="AA1397">
        <v>0.9908382</v>
      </c>
      <c r="AB1397">
        <v>35</v>
      </c>
      <c r="AC1397">
        <v>-5.1108999999999503</v>
      </c>
      <c r="AD1397">
        <v>-1.1101182118360999</v>
      </c>
      <c r="AE1397">
        <v>-2.25999999999999</v>
      </c>
      <c r="AF1397">
        <v>-2.1167417059925202</v>
      </c>
      <c r="AG1397">
        <v>-1.1101182118360999</v>
      </c>
      <c r="AH1397">
        <v>4.9418780721968698</v>
      </c>
      <c r="AI1397">
        <v>101.667045209143</v>
      </c>
      <c r="AJ1397">
        <v>113.18677647194799</v>
      </c>
      <c r="AK1397">
        <v>5.4895461355742903</v>
      </c>
      <c r="AL1397">
        <v>81.428748928943705</v>
      </c>
      <c r="AM1397">
        <v>92.569725819210603</v>
      </c>
      <c r="AN1397">
        <v>0.99999998113746003</v>
      </c>
    </row>
    <row r="1398" spans="1:40" x14ac:dyDescent="0.3">
      <c r="A1398" t="str">
        <f>"20200111150758340"</f>
        <v>20200111150758340</v>
      </c>
      <c r="B1398" t="str">
        <f>"1578726478332494"</f>
        <v>1578726478332494</v>
      </c>
      <c r="C1398" t="s">
        <v>40</v>
      </c>
      <c r="D1398">
        <v>5.5931430000000004</v>
      </c>
      <c r="E1398">
        <v>0.46387899999999999</v>
      </c>
      <c r="F1398" t="s">
        <v>55</v>
      </c>
      <c r="G1398">
        <v>-453.6431</v>
      </c>
      <c r="H1398" s="1">
        <v>5.4934549999999996E-7</v>
      </c>
      <c r="I1398">
        <v>281.24270000000001</v>
      </c>
      <c r="J1398">
        <v>-439.24889999999999</v>
      </c>
      <c r="K1398">
        <v>1.1101179999999999</v>
      </c>
      <c r="L1398">
        <v>283.35469999999998</v>
      </c>
      <c r="M1398">
        <v>-0.99986070000000005</v>
      </c>
      <c r="N1398">
        <v>0</v>
      </c>
      <c r="O1398">
        <v>-1.1655530000000001E-2</v>
      </c>
      <c r="P1398">
        <v>-0.98892500000000005</v>
      </c>
      <c r="Q1398">
        <v>0.13747579999999901</v>
      </c>
      <c r="R1398">
        <v>-5.5926150000000001E-2</v>
      </c>
      <c r="S1398">
        <v>-3.040619</v>
      </c>
      <c r="T1398">
        <v>-0.2300286</v>
      </c>
      <c r="U1398">
        <v>-0.43832399999999999</v>
      </c>
      <c r="V1398">
        <v>-4.4389600000000001E-2</v>
      </c>
      <c r="W1398">
        <v>0.14930280000000001</v>
      </c>
      <c r="X1398">
        <v>0.98779459999999997</v>
      </c>
      <c r="Y1398">
        <v>-0.1308011</v>
      </c>
      <c r="Z1398">
        <v>-4.0394580000000001E-3</v>
      </c>
      <c r="AA1398">
        <v>0.99140039999999996</v>
      </c>
      <c r="AB1398">
        <v>35</v>
      </c>
      <c r="AC1398">
        <v>-14.3942</v>
      </c>
      <c r="AD1398">
        <v>-1.1101174506545</v>
      </c>
      <c r="AE1398">
        <v>-2.1119999999999601</v>
      </c>
      <c r="AF1398">
        <v>-1.93281860174664</v>
      </c>
      <c r="AG1398">
        <v>-1.1101174506545</v>
      </c>
      <c r="AH1398">
        <v>14.3343778684726</v>
      </c>
      <c r="AI1398">
        <v>94.388838347955598</v>
      </c>
      <c r="AJ1398">
        <v>97.679330845806405</v>
      </c>
      <c r="AK1398">
        <v>14.5066377006412</v>
      </c>
      <c r="AL1398">
        <v>81.413474745663507</v>
      </c>
      <c r="AM1398">
        <v>92.573031654640104</v>
      </c>
      <c r="AN1398">
        <v>0.999999967232579</v>
      </c>
    </row>
    <row r="1399" spans="1:40" x14ac:dyDescent="0.3">
      <c r="A1399" t="str">
        <f>"20200111150804486"</f>
        <v>20200111150804486</v>
      </c>
      <c r="B1399" t="str">
        <f>"1578726484483452"</f>
        <v>1578726484483452</v>
      </c>
      <c r="C1399" t="s">
        <v>40</v>
      </c>
      <c r="D1399">
        <v>6.6138719999999998</v>
      </c>
      <c r="E1399">
        <v>0.33297470000000001</v>
      </c>
      <c r="F1399" t="s">
        <v>55</v>
      </c>
      <c r="G1399">
        <v>-443.32929999999999</v>
      </c>
      <c r="H1399" s="1">
        <v>3.1467479999999999E-7</v>
      </c>
      <c r="I1399">
        <v>282.79079999999999</v>
      </c>
      <c r="J1399">
        <v>-492.35849999999999</v>
      </c>
      <c r="K1399">
        <v>1.113839</v>
      </c>
      <c r="L1399">
        <v>240.44820000000001</v>
      </c>
      <c r="M1399">
        <v>1.237513E-2</v>
      </c>
      <c r="N1399">
        <v>0</v>
      </c>
      <c r="O1399">
        <v>-0.99983129999999998</v>
      </c>
      <c r="P1399">
        <v>0.1101777</v>
      </c>
      <c r="Q1399">
        <v>0.13311419999999999</v>
      </c>
      <c r="R1399">
        <v>-0.98495750000000004</v>
      </c>
      <c r="S1399">
        <v>-3.1274410000000001</v>
      </c>
      <c r="T1399">
        <v>-0.85085689999999903</v>
      </c>
      <c r="U1399">
        <v>-0.432251</v>
      </c>
      <c r="V1399">
        <v>-9.9191699999999994E-2</v>
      </c>
      <c r="W1399">
        <v>0.14566560000000001</v>
      </c>
      <c r="X1399">
        <v>0.98434880000000002</v>
      </c>
      <c r="Y1399">
        <v>0.95876919999999999</v>
      </c>
      <c r="Z1399">
        <v>0.257441799999999</v>
      </c>
      <c r="AA1399">
        <v>0.1203557</v>
      </c>
      <c r="AB1399">
        <v>27</v>
      </c>
      <c r="AC1399">
        <v>49.029200000000003</v>
      </c>
      <c r="AD1399">
        <v>-1.1138386853252</v>
      </c>
      <c r="AE1399">
        <v>42.342599999999898</v>
      </c>
      <c r="AF1399">
        <v>-49.534844973763697</v>
      </c>
      <c r="AG1399">
        <v>-1.1138386853252</v>
      </c>
      <c r="AH1399">
        <v>-41.720225160235898</v>
      </c>
      <c r="AI1399">
        <v>90.985311396475396</v>
      </c>
      <c r="AJ1399">
        <v>-139.89457775884199</v>
      </c>
      <c r="AK1399">
        <v>64.772823704177895</v>
      </c>
      <c r="AL1399">
        <v>81.624175583386204</v>
      </c>
      <c r="AM1399">
        <v>95.754205709547307</v>
      </c>
      <c r="AN1399">
        <v>1.00000001021684</v>
      </c>
    </row>
    <row r="1400" spans="1:40" x14ac:dyDescent="0.3">
      <c r="A1400" t="str">
        <f>"20200111150804522"</f>
        <v>20200111150804522</v>
      </c>
      <c r="B1400" t="str">
        <f>"1578726484512732"</f>
        <v>1578726484512732</v>
      </c>
      <c r="C1400" t="s">
        <v>40</v>
      </c>
      <c r="D1400">
        <v>7.4086410000000003</v>
      </c>
      <c r="E1400">
        <v>0.32396329999999901</v>
      </c>
      <c r="F1400" t="s">
        <v>68</v>
      </c>
      <c r="G1400">
        <v>-467.06049999999999</v>
      </c>
      <c r="H1400">
        <v>5.6355709999999997</v>
      </c>
      <c r="I1400">
        <v>197.345</v>
      </c>
      <c r="J1400">
        <v>-492.34370000000001</v>
      </c>
      <c r="K1400">
        <v>1.114077</v>
      </c>
      <c r="L1400">
        <v>240.01990000000001</v>
      </c>
      <c r="M1400">
        <v>2.063301E-2</v>
      </c>
      <c r="N1400">
        <v>0</v>
      </c>
      <c r="O1400">
        <v>-0.99969509999999995</v>
      </c>
      <c r="P1400">
        <v>0.12170549999999999</v>
      </c>
      <c r="Q1400">
        <v>0.13312689999999999</v>
      </c>
      <c r="R1400">
        <v>-0.98359810000000003</v>
      </c>
      <c r="S1400">
        <v>1.6554869999999999</v>
      </c>
      <c r="T1400">
        <v>0.2959002</v>
      </c>
      <c r="U1400">
        <v>-2.8206329999999999</v>
      </c>
      <c r="V1400">
        <v>-0.10267950000000001</v>
      </c>
      <c r="W1400">
        <v>0.14560290000000001</v>
      </c>
      <c r="X1400">
        <v>0.9840004</v>
      </c>
      <c r="Y1400">
        <v>-0.48619760000000001</v>
      </c>
      <c r="Z1400">
        <v>-9.0570200000000003E-2</v>
      </c>
      <c r="AA1400">
        <v>0.86914269999999905</v>
      </c>
      <c r="AB1400">
        <v>27</v>
      </c>
      <c r="AC1400">
        <v>25.283200000000001</v>
      </c>
      <c r="AD1400">
        <v>4.5214939999999997</v>
      </c>
      <c r="AE1400">
        <v>-42.674900000000001</v>
      </c>
      <c r="AF1400">
        <v>-24.196172583470801</v>
      </c>
      <c r="AG1400">
        <v>4.5214939999999997</v>
      </c>
      <c r="AH1400">
        <v>42.831632464731797</v>
      </c>
      <c r="AI1400">
        <v>84.748563830519402</v>
      </c>
      <c r="AJ1400">
        <v>119.46269657043101</v>
      </c>
      <c r="AK1400">
        <v>49.400884762066902</v>
      </c>
      <c r="AL1400">
        <v>81.627806957248893</v>
      </c>
      <c r="AM1400">
        <v>95.957200084697703</v>
      </c>
      <c r="AN1400">
        <v>1.0000000357044001</v>
      </c>
    </row>
    <row r="1401" spans="1:40" x14ac:dyDescent="0.3">
      <c r="A1401" t="str">
        <f>"20200111150804543"</f>
        <v>20200111150804543</v>
      </c>
      <c r="B1401" t="str">
        <f>"1578726484533231"</f>
        <v>1578726484533231</v>
      </c>
      <c r="C1401" t="s">
        <v>40</v>
      </c>
      <c r="D1401">
        <v>7.4003819999999996</v>
      </c>
      <c r="E1401">
        <v>0.31076530000000002</v>
      </c>
      <c r="F1401" t="s">
        <v>68</v>
      </c>
      <c r="G1401">
        <v>-465.47550000000001</v>
      </c>
      <c r="H1401">
        <v>5.2294419999999997</v>
      </c>
      <c r="I1401">
        <v>197.345</v>
      </c>
      <c r="J1401">
        <v>-492.33339999999998</v>
      </c>
      <c r="K1401">
        <v>1.1142190000000001</v>
      </c>
      <c r="L1401">
        <v>239.77760000000001</v>
      </c>
      <c r="M1401">
        <v>2.557297E-2</v>
      </c>
      <c r="N1401">
        <v>0</v>
      </c>
      <c r="O1401">
        <v>-0.99958060000000004</v>
      </c>
      <c r="P1401">
        <v>0.1285393</v>
      </c>
      <c r="Q1401">
        <v>0.13316989999999901</v>
      </c>
      <c r="R1401">
        <v>-0.9827226</v>
      </c>
      <c r="S1401">
        <v>1.7601929999999999</v>
      </c>
      <c r="T1401">
        <v>0.2696075</v>
      </c>
      <c r="U1401">
        <v>-2.795715</v>
      </c>
      <c r="V1401">
        <v>-0.1047091</v>
      </c>
      <c r="W1401">
        <v>0.14560190000000001</v>
      </c>
      <c r="X1401">
        <v>0.98378659999999996</v>
      </c>
      <c r="Y1401">
        <v>-0.50919629999999905</v>
      </c>
      <c r="Z1401">
        <v>-8.1881839999999997E-2</v>
      </c>
      <c r="AA1401">
        <v>0.85674649999999997</v>
      </c>
      <c r="AB1401">
        <v>27</v>
      </c>
      <c r="AC1401">
        <v>26.857899999999901</v>
      </c>
      <c r="AD1401">
        <v>4.1152229999999896</v>
      </c>
      <c r="AE1401">
        <v>-42.432600000000001</v>
      </c>
      <c r="AF1401">
        <v>-25.5920294602228</v>
      </c>
      <c r="AG1401">
        <v>4.1152229999999896</v>
      </c>
      <c r="AH1401">
        <v>42.8180847766317</v>
      </c>
      <c r="AI1401">
        <v>85.283945956601301</v>
      </c>
      <c r="AJ1401">
        <v>120.866425904615</v>
      </c>
      <c r="AK1401">
        <v>50.052726361023197</v>
      </c>
      <c r="AL1401">
        <v>81.627864498488904</v>
      </c>
      <c r="AM1401">
        <v>96.075390576492495</v>
      </c>
      <c r="AN1401">
        <v>0.99999999162298903</v>
      </c>
    </row>
    <row r="1402" spans="1:40" x14ac:dyDescent="0.3">
      <c r="A1402" t="str">
        <f>"20200111150804555"</f>
        <v>20200111150804555</v>
      </c>
      <c r="B1402" t="str">
        <f>"1578726484553255"</f>
        <v>1578726484553255</v>
      </c>
      <c r="C1402" t="s">
        <v>40</v>
      </c>
      <c r="D1402">
        <v>5.0799430000000001</v>
      </c>
      <c r="E1402">
        <v>0.304732</v>
      </c>
      <c r="F1402" t="s">
        <v>68</v>
      </c>
      <c r="G1402">
        <v>-463.46690000000001</v>
      </c>
      <c r="H1402">
        <v>5.3939629999999896</v>
      </c>
      <c r="I1402">
        <v>197.345</v>
      </c>
      <c r="J1402">
        <v>-492.3263</v>
      </c>
      <c r="K1402">
        <v>1.114309</v>
      </c>
      <c r="L1402">
        <v>239.6266</v>
      </c>
      <c r="M1402">
        <v>2.8746810000000001E-2</v>
      </c>
      <c r="N1402">
        <v>0</v>
      </c>
      <c r="O1402">
        <v>-0.99949410000000005</v>
      </c>
      <c r="P1402">
        <v>0.1323299</v>
      </c>
      <c r="Q1402">
        <v>0.1330192</v>
      </c>
      <c r="R1402">
        <v>-0.98223970000000005</v>
      </c>
      <c r="S1402">
        <v>1.8834230000000001</v>
      </c>
      <c r="T1402">
        <v>0.2792367</v>
      </c>
      <c r="U1402">
        <v>-2.7685390000000001</v>
      </c>
      <c r="V1402">
        <v>-0.1054107</v>
      </c>
      <c r="W1402">
        <v>0.1454297</v>
      </c>
      <c r="X1402">
        <v>0.98373719999999998</v>
      </c>
      <c r="Y1402">
        <v>-0.53650319999999996</v>
      </c>
      <c r="Z1402">
        <v>-8.3766960000000001E-2</v>
      </c>
      <c r="AA1402">
        <v>0.83973059999999999</v>
      </c>
      <c r="AB1402">
        <v>27</v>
      </c>
      <c r="AC1402">
        <v>28.859399999999901</v>
      </c>
      <c r="AD1402">
        <v>4.2796539999999901</v>
      </c>
      <c r="AE1402">
        <v>-42.281599999999997</v>
      </c>
      <c r="AF1402">
        <v>-27.440117497196699</v>
      </c>
      <c r="AG1402">
        <v>4.2796539999999901</v>
      </c>
      <c r="AH1402">
        <v>42.794721820757097</v>
      </c>
      <c r="AI1402">
        <v>85.187918748688304</v>
      </c>
      <c r="AJ1402">
        <v>122.668127300075</v>
      </c>
      <c r="AK1402">
        <v>51.016308199787098</v>
      </c>
      <c r="AL1402">
        <v>81.637837437510797</v>
      </c>
      <c r="AM1402">
        <v>96.116095837176701</v>
      </c>
      <c r="AN1402">
        <v>1.0000000459902001</v>
      </c>
    </row>
    <row r="1403" spans="1:40" x14ac:dyDescent="0.3">
      <c r="A1403" t="str">
        <f>"20200111150804568"</f>
        <v>20200111150804568</v>
      </c>
      <c r="B1403" t="str">
        <f>"1578726484563015"</f>
        <v>1578726484563015</v>
      </c>
      <c r="C1403" t="s">
        <v>40</v>
      </c>
      <c r="D1403">
        <v>7.4680119999999999</v>
      </c>
      <c r="E1403">
        <v>0.30082039999999999</v>
      </c>
      <c r="F1403" t="s">
        <v>68</v>
      </c>
      <c r="G1403">
        <v>-462.51589999999999</v>
      </c>
      <c r="H1403">
        <v>5.4404919999999999</v>
      </c>
      <c r="I1403">
        <v>197.345</v>
      </c>
      <c r="J1403">
        <v>-492.3186</v>
      </c>
      <c r="K1403">
        <v>1.114395</v>
      </c>
      <c r="L1403">
        <v>239.47640000000001</v>
      </c>
      <c r="M1403">
        <v>3.1979920000000002E-2</v>
      </c>
      <c r="N1403">
        <v>0</v>
      </c>
      <c r="O1403">
        <v>-0.9993957</v>
      </c>
      <c r="P1403">
        <v>0.13600090000000001</v>
      </c>
      <c r="Q1403">
        <v>0.13347349999999999</v>
      </c>
      <c r="R1403">
        <v>-0.9816762</v>
      </c>
      <c r="S1403">
        <v>1.941986</v>
      </c>
      <c r="T1403">
        <v>0.281829099999999</v>
      </c>
      <c r="U1403">
        <v>-2.75441</v>
      </c>
      <c r="V1403">
        <v>-0.1059433</v>
      </c>
      <c r="W1403">
        <v>0.1458632</v>
      </c>
      <c r="X1403">
        <v>0.98361580000000004</v>
      </c>
      <c r="Y1403">
        <v>-0.54775940000000001</v>
      </c>
      <c r="Z1403">
        <v>-8.408786E-2</v>
      </c>
      <c r="AA1403">
        <v>0.83239949999999996</v>
      </c>
      <c r="AB1403">
        <v>27</v>
      </c>
      <c r="AC1403">
        <v>29.802700000000002</v>
      </c>
      <c r="AD1403">
        <v>4.3260969999999999</v>
      </c>
      <c r="AE1403">
        <v>-42.131399999999999</v>
      </c>
      <c r="AF1403">
        <v>-28.241512108955199</v>
      </c>
      <c r="AG1403">
        <v>4.3260969999999999</v>
      </c>
      <c r="AH1403">
        <v>42.762523711714898</v>
      </c>
      <c r="AI1403">
        <v>85.174690586643905</v>
      </c>
      <c r="AJ1403">
        <v>123.441837442446</v>
      </c>
      <c r="AK1403">
        <v>51.428898059832598</v>
      </c>
      <c r="AL1403">
        <v>81.612732036596</v>
      </c>
      <c r="AM1403">
        <v>96.147514995299403</v>
      </c>
      <c r="AN1403">
        <v>1.0000000489693801</v>
      </c>
    </row>
    <row r="1404" spans="1:40" x14ac:dyDescent="0.3">
      <c r="A1404" t="str">
        <f>"20200111150807540"</f>
        <v>20200111150807540</v>
      </c>
      <c r="B1404" t="str">
        <f>"1578726487533069"</f>
        <v>1578726487533069</v>
      </c>
      <c r="C1404" t="s">
        <v>40</v>
      </c>
      <c r="D1404">
        <v>5.8245809999999896</v>
      </c>
      <c r="E1404">
        <v>0.46234779999999998</v>
      </c>
      <c r="F1404" t="s">
        <v>68</v>
      </c>
      <c r="G1404">
        <v>-461.84399999999999</v>
      </c>
      <c r="H1404">
        <v>5.5979989999999997</v>
      </c>
      <c r="I1404">
        <v>197.345</v>
      </c>
      <c r="J1404">
        <v>-472.69220000000001</v>
      </c>
      <c r="K1404">
        <v>1.1117939999999999</v>
      </c>
      <c r="L1404">
        <v>217.23419999999999</v>
      </c>
      <c r="M1404">
        <v>0.95185410000000004</v>
      </c>
      <c r="N1404">
        <v>0</v>
      </c>
      <c r="O1404">
        <v>-0.30626429999999999</v>
      </c>
      <c r="P1404">
        <v>0.97173319999999996</v>
      </c>
      <c r="Q1404">
        <v>0.1073389</v>
      </c>
      <c r="R1404">
        <v>-0.21026810000000001</v>
      </c>
      <c r="S1404">
        <v>1.983063</v>
      </c>
      <c r="T1404">
        <v>0.29176160000000001</v>
      </c>
      <c r="U1404">
        <v>-2.7415919999999998</v>
      </c>
      <c r="V1404">
        <v>-9.7900319999999999E-2</v>
      </c>
      <c r="W1404">
        <v>0.1201077</v>
      </c>
      <c r="X1404">
        <v>0.98792190000000002</v>
      </c>
      <c r="Y1404">
        <v>0.59080730000000004</v>
      </c>
      <c r="Z1404">
        <v>4.2885170000000003E-4</v>
      </c>
      <c r="AA1404">
        <v>0.80681259999999999</v>
      </c>
      <c r="AB1404">
        <v>23</v>
      </c>
      <c r="AC1404">
        <v>10.8482</v>
      </c>
      <c r="AD1404">
        <v>4.486205</v>
      </c>
      <c r="AE1404">
        <v>-19.889199999999899</v>
      </c>
      <c r="AF1404">
        <v>15.0215503660636</v>
      </c>
      <c r="AG1404">
        <v>4.486205</v>
      </c>
      <c r="AH1404">
        <v>15.799184350827099</v>
      </c>
      <c r="AI1404">
        <v>78.371737536648496</v>
      </c>
      <c r="AJ1404">
        <v>46.445315784861201</v>
      </c>
      <c r="AK1404">
        <v>22.257296261083301</v>
      </c>
      <c r="AL1404">
        <v>83.101681753533896</v>
      </c>
      <c r="AM1404">
        <v>95.659375574970596</v>
      </c>
      <c r="AN1404">
        <v>1.0000000063775001</v>
      </c>
    </row>
    <row r="1405" spans="1:40" x14ac:dyDescent="0.3">
      <c r="A1405" t="str">
        <f>"20200111150807585"</f>
        <v>20200111150807585</v>
      </c>
      <c r="B1405" t="str">
        <f>"1578726487573351"</f>
        <v>1578726487573351</v>
      </c>
      <c r="C1405" t="s">
        <v>40</v>
      </c>
      <c r="D1405">
        <v>5.7864810000000002</v>
      </c>
      <c r="E1405">
        <v>0.4619934</v>
      </c>
      <c r="F1405" t="s">
        <v>49</v>
      </c>
      <c r="G1405">
        <v>0</v>
      </c>
      <c r="H1405">
        <v>0</v>
      </c>
      <c r="I1405">
        <v>0</v>
      </c>
      <c r="J1405">
        <v>-472.2629</v>
      </c>
      <c r="K1405">
        <v>1.1119270000000001</v>
      </c>
      <c r="L1405">
        <v>217.1026</v>
      </c>
      <c r="M1405">
        <v>0.95336679999999996</v>
      </c>
      <c r="N1405">
        <v>0</v>
      </c>
      <c r="O1405">
        <v>-0.30152269999999998</v>
      </c>
      <c r="P1405">
        <v>0.97218039999999994</v>
      </c>
      <c r="Q1405">
        <v>0.10999489999999899</v>
      </c>
      <c r="R1405">
        <v>-0.20680119999999999</v>
      </c>
      <c r="S1405">
        <v>2.8439640000000002</v>
      </c>
      <c r="T1405">
        <v>1.6125100000000001</v>
      </c>
      <c r="U1405">
        <v>-0.30116270000000001</v>
      </c>
      <c r="V1405">
        <v>-9.6459520000000007E-2</v>
      </c>
      <c r="W1405">
        <v>0.1227341</v>
      </c>
      <c r="X1405">
        <v>0.98774079999999997</v>
      </c>
      <c r="Y1405">
        <v>-0.13633429999999999</v>
      </c>
      <c r="Z1405">
        <v>-0.19200210000000001</v>
      </c>
      <c r="AA1405">
        <v>0.97187860000000004</v>
      </c>
      <c r="AB1405">
        <v>23</v>
      </c>
      <c r="AC1405">
        <v>2.8439640000000002</v>
      </c>
      <c r="AD1405">
        <v>1.6125100000000001</v>
      </c>
      <c r="AE1405">
        <v>-0.30116270000000001</v>
      </c>
      <c r="AF1405">
        <v>-0.43284316542781698</v>
      </c>
      <c r="AG1405">
        <v>1.6125100000000001</v>
      </c>
      <c r="AH1405">
        <v>2.1263818361781901</v>
      </c>
      <c r="AI1405">
        <v>53.384111689066103</v>
      </c>
      <c r="AJ1405">
        <v>101.50584463619001</v>
      </c>
      <c r="AK1405">
        <v>2.7035238891465498</v>
      </c>
      <c r="AL1405">
        <v>82.950078282954095</v>
      </c>
      <c r="AM1405">
        <v>95.577631394115301</v>
      </c>
      <c r="AN1405">
        <v>0.99999999314304</v>
      </c>
    </row>
    <row r="1406" spans="1:40" x14ac:dyDescent="0.3">
      <c r="A1406" t="str">
        <f>"20200111150808321"</f>
        <v>20200111150808321</v>
      </c>
      <c r="B1406" t="str">
        <f>"1578726488313704"</f>
        <v>1578726488313704</v>
      </c>
      <c r="C1406" t="s">
        <v>40</v>
      </c>
      <c r="D1406">
        <v>5.5668009999999999</v>
      </c>
      <c r="E1406">
        <v>0.50944149999999999</v>
      </c>
      <c r="F1406" t="s">
        <v>49</v>
      </c>
      <c r="G1406">
        <v>0</v>
      </c>
      <c r="H1406">
        <v>0</v>
      </c>
      <c r="I1406">
        <v>0</v>
      </c>
      <c r="J1406">
        <v>-465.11779999999999</v>
      </c>
      <c r="K1406">
        <v>1.113264</v>
      </c>
      <c r="L1406">
        <v>215.48750000000001</v>
      </c>
      <c r="M1406">
        <v>0.98627379999999998</v>
      </c>
      <c r="N1406">
        <v>0</v>
      </c>
      <c r="O1406">
        <v>-0.1645769</v>
      </c>
      <c r="P1406">
        <v>0.99105379999999998</v>
      </c>
      <c r="Q1406">
        <v>0.11571380000000001</v>
      </c>
      <c r="R1406">
        <v>-6.6504489999999999E-2</v>
      </c>
      <c r="S1406">
        <v>2.8450009999999999</v>
      </c>
      <c r="T1406">
        <v>1.5908469999999999</v>
      </c>
      <c r="U1406">
        <v>-0.28607179999999999</v>
      </c>
      <c r="V1406">
        <v>-9.8419960000000001E-2</v>
      </c>
      <c r="W1406">
        <v>0.12822120000000001</v>
      </c>
      <c r="X1406">
        <v>0.98685</v>
      </c>
      <c r="Y1406">
        <v>-3.6373200000000001E-2</v>
      </c>
      <c r="Z1406">
        <v>-9.4591049999999996E-2</v>
      </c>
      <c r="AA1406">
        <v>0.9948515</v>
      </c>
      <c r="AB1406">
        <v>22</v>
      </c>
      <c r="AC1406">
        <v>2.8450009999999999</v>
      </c>
      <c r="AD1406">
        <v>1.5908469999999999</v>
      </c>
      <c r="AE1406">
        <v>-0.28607179999999999</v>
      </c>
      <c r="AF1406">
        <v>-0.142105090656274</v>
      </c>
      <c r="AG1406">
        <v>1.5908469999999999</v>
      </c>
      <c r="AH1406">
        <v>2.1788381567931001</v>
      </c>
      <c r="AI1406">
        <v>53.923386948112899</v>
      </c>
      <c r="AJ1406">
        <v>93.731578985523001</v>
      </c>
      <c r="AK1406">
        <v>2.7015409950058098</v>
      </c>
      <c r="AL1406">
        <v>82.633185984503001</v>
      </c>
      <c r="AM1406">
        <v>95.695357063461501</v>
      </c>
      <c r="AN1406">
        <v>1.0000000435779199</v>
      </c>
    </row>
    <row r="1407" spans="1:40" x14ac:dyDescent="0.3">
      <c r="A1407" t="str">
        <f>"20200111150808388"</f>
        <v>20200111150808388</v>
      </c>
      <c r="B1407" t="str">
        <f>"1578726488383975"</f>
        <v>1578726488383975</v>
      </c>
      <c r="C1407" t="s">
        <v>40</v>
      </c>
      <c r="D1407">
        <v>6.9805710000000003</v>
      </c>
      <c r="E1407">
        <v>0.40611199999999997</v>
      </c>
      <c r="F1407" t="s">
        <v>41</v>
      </c>
      <c r="G1407">
        <v>-464.22750000000002</v>
      </c>
      <c r="H1407">
        <v>1.004894</v>
      </c>
      <c r="I1407">
        <v>215.40209999999999</v>
      </c>
      <c r="J1407">
        <v>-464.47359999999998</v>
      </c>
      <c r="K1407">
        <v>1.1132489999999999</v>
      </c>
      <c r="L1407">
        <v>215.40010000000001</v>
      </c>
      <c r="M1407">
        <v>0.98852720000000005</v>
      </c>
      <c r="N1407">
        <v>0</v>
      </c>
      <c r="O1407">
        <v>-0.1504519</v>
      </c>
      <c r="P1407">
        <v>0.99173889999999998</v>
      </c>
      <c r="Q1407">
        <v>0.11622449999999999</v>
      </c>
      <c r="R1407">
        <v>-5.4275999999999998E-2</v>
      </c>
      <c r="S1407">
        <v>3.0508730000000002</v>
      </c>
      <c r="T1407">
        <v>-0.37156220000000001</v>
      </c>
      <c r="U1407">
        <v>-0.29261779999999998</v>
      </c>
      <c r="V1407">
        <v>-9.6458929999999998E-2</v>
      </c>
      <c r="W1407">
        <v>0.12874379999999999</v>
      </c>
      <c r="X1407">
        <v>0.98697559999999995</v>
      </c>
      <c r="Y1407">
        <v>-5.3905550000000003E-2</v>
      </c>
      <c r="Z1407">
        <v>2.1394380000000001E-2</v>
      </c>
      <c r="AA1407">
        <v>0.9983168</v>
      </c>
      <c r="AB1407">
        <v>22</v>
      </c>
      <c r="AC1407">
        <v>0.24609999999995499</v>
      </c>
      <c r="AD1407">
        <v>-0.10835499999999899</v>
      </c>
      <c r="AE1407">
        <v>1.9999999999811202E-3</v>
      </c>
      <c r="AF1407">
        <v>-3.2673310246034801E-2</v>
      </c>
      <c r="AG1407">
        <v>-0.10835499999999899</v>
      </c>
      <c r="AH1407">
        <v>0.203542397458882</v>
      </c>
      <c r="AI1407">
        <v>117.727186850658</v>
      </c>
      <c r="AJ1407">
        <v>99.119512555036493</v>
      </c>
      <c r="AK1407">
        <v>0.23289022905811901</v>
      </c>
      <c r="AL1407">
        <v>82.60299310984</v>
      </c>
      <c r="AM1407">
        <v>95.581894493055103</v>
      </c>
      <c r="AN1407">
        <v>1.0000000631052699</v>
      </c>
    </row>
    <row r="1408" spans="1:40" x14ac:dyDescent="0.3">
      <c r="A1408" t="str">
        <f>"20200111150808458"</f>
        <v>20200111150808458</v>
      </c>
      <c r="B1408" t="str">
        <f>"1578726488453272"</f>
        <v>1578726488453272</v>
      </c>
      <c r="C1408" t="s">
        <v>40</v>
      </c>
      <c r="D1408">
        <v>9.9581459999999993</v>
      </c>
      <c r="E1408">
        <v>0.4072887</v>
      </c>
      <c r="F1408" t="s">
        <v>55</v>
      </c>
      <c r="G1408">
        <v>-455.12509999999997</v>
      </c>
      <c r="H1408" s="1">
        <v>1.080934E-6</v>
      </c>
      <c r="I1408">
        <v>217.1232</v>
      </c>
      <c r="J1408">
        <v>-463.80599999999998</v>
      </c>
      <c r="K1408">
        <v>1.1132280000000001</v>
      </c>
      <c r="L1408">
        <v>215.3193</v>
      </c>
      <c r="M1408">
        <v>0.99064580000000002</v>
      </c>
      <c r="N1408">
        <v>0</v>
      </c>
      <c r="O1408">
        <v>-0.1358085</v>
      </c>
      <c r="P1408">
        <v>0.99226380000000003</v>
      </c>
      <c r="Q1408">
        <v>0.1161529</v>
      </c>
      <c r="R1408">
        <v>-4.383045E-2</v>
      </c>
      <c r="S1408">
        <v>3.099548</v>
      </c>
      <c r="T1408">
        <v>-0.36910300000000001</v>
      </c>
      <c r="U1408">
        <v>0.57127380000000005</v>
      </c>
      <c r="V1408">
        <v>-9.2233140000000005E-2</v>
      </c>
      <c r="W1408">
        <v>0.1286728</v>
      </c>
      <c r="X1408">
        <v>0.98738870000000001</v>
      </c>
      <c r="Y1408">
        <v>-0.31008459999999899</v>
      </c>
      <c r="Z1408">
        <v>3.4241969999999997E-2</v>
      </c>
      <c r="AA1408">
        <v>0.95009209999999999</v>
      </c>
      <c r="AB1408">
        <v>22</v>
      </c>
      <c r="AC1408">
        <v>8.6808999999999994</v>
      </c>
      <c r="AD1408">
        <v>-1.113226919066</v>
      </c>
      <c r="AE1408">
        <v>1.8038999999999901</v>
      </c>
      <c r="AF1408">
        <v>-2.9201932503205499</v>
      </c>
      <c r="AG1408">
        <v>-1.113226919066</v>
      </c>
      <c r="AH1408">
        <v>8.2257768196618706</v>
      </c>
      <c r="AI1408">
        <v>97.268025874502001</v>
      </c>
      <c r="AJ1408">
        <v>109.54512509599699</v>
      </c>
      <c r="AK1408">
        <v>8.7994435664669997</v>
      </c>
      <c r="AL1408">
        <v>82.607095081569</v>
      </c>
      <c r="AM1408">
        <v>95.336580410479499</v>
      </c>
      <c r="AN1408">
        <v>1.00000004323089</v>
      </c>
    </row>
    <row r="1409" spans="1:40" x14ac:dyDescent="0.3">
      <c r="A1409" t="str">
        <f>"20200111150808481"</f>
        <v>20200111150808481</v>
      </c>
      <c r="B1409" t="str">
        <f>"1578726488473768"</f>
        <v>1578726488473768</v>
      </c>
      <c r="C1409" t="s">
        <v>40</v>
      </c>
      <c r="D1409">
        <v>5.567723</v>
      </c>
      <c r="E1409">
        <v>0.37026550000000003</v>
      </c>
      <c r="F1409" t="s">
        <v>55</v>
      </c>
      <c r="G1409">
        <v>-450.80349999999999</v>
      </c>
      <c r="H1409" s="1">
        <v>-1.249719E-6</v>
      </c>
      <c r="I1409">
        <v>217.8313</v>
      </c>
      <c r="J1409">
        <v>-463.58260000000001</v>
      </c>
      <c r="K1409">
        <v>1.1132200000000001</v>
      </c>
      <c r="L1409">
        <v>215.2945</v>
      </c>
      <c r="M1409">
        <v>0.99130560000000001</v>
      </c>
      <c r="N1409">
        <v>0</v>
      </c>
      <c r="O1409">
        <v>-0.13090830000000001</v>
      </c>
      <c r="P1409">
        <v>0.99239849999999996</v>
      </c>
      <c r="Q1409">
        <v>0.11667379999999999</v>
      </c>
      <c r="R1409">
        <v>-3.9147300000000003E-2</v>
      </c>
      <c r="S1409">
        <v>3.0805660000000001</v>
      </c>
      <c r="T1409">
        <v>-0.26374760000000003</v>
      </c>
      <c r="U1409">
        <v>0.59513850000000001</v>
      </c>
      <c r="V1409">
        <v>-9.2003580000000001E-2</v>
      </c>
      <c r="W1409">
        <v>0.1291641</v>
      </c>
      <c r="X1409">
        <v>0.9873459</v>
      </c>
      <c r="Y1409">
        <v>-0.3150134</v>
      </c>
      <c r="Z1409">
        <v>2.44353E-2</v>
      </c>
      <c r="AA1409">
        <v>0.94877259999999997</v>
      </c>
      <c r="AB1409">
        <v>22</v>
      </c>
      <c r="AC1409">
        <v>12.7791</v>
      </c>
      <c r="AD1409">
        <v>-1.1132212497189999</v>
      </c>
      <c r="AE1409">
        <v>2.5367999999999902</v>
      </c>
      <c r="AF1409">
        <v>-4.1576487236105901</v>
      </c>
      <c r="AG1409">
        <v>-1.1132212497189999</v>
      </c>
      <c r="AH1409">
        <v>12.2475738987612</v>
      </c>
      <c r="AI1409">
        <v>94.919277349778596</v>
      </c>
      <c r="AJ1409">
        <v>108.75066110588899</v>
      </c>
      <c r="AK1409">
        <v>12.9818477446542</v>
      </c>
      <c r="AL1409">
        <v>82.578708277752</v>
      </c>
      <c r="AM1409">
        <v>95.323603976478097</v>
      </c>
      <c r="AN1409">
        <v>0.99999997485421799</v>
      </c>
    </row>
    <row r="1410" spans="1:40" x14ac:dyDescent="0.3">
      <c r="A1410" t="str">
        <f>"20200111150808992"</f>
        <v>20200111150808992</v>
      </c>
      <c r="B1410" t="str">
        <f>"1578726488983239"</f>
        <v>1578726488983239</v>
      </c>
      <c r="C1410" t="s">
        <v>40</v>
      </c>
      <c r="D1410">
        <v>5.3481079999999999</v>
      </c>
      <c r="E1410">
        <v>0.37026550000000003</v>
      </c>
      <c r="F1410" t="s">
        <v>56</v>
      </c>
      <c r="G1410">
        <v>-397.63839999999999</v>
      </c>
      <c r="H1410">
        <v>4.4237510000000002</v>
      </c>
      <c r="I1410">
        <v>235.08500000000001</v>
      </c>
      <c r="J1410">
        <v>-458.65280000000001</v>
      </c>
      <c r="K1410">
        <v>1.111043</v>
      </c>
      <c r="L1410">
        <v>214.96629999999999</v>
      </c>
      <c r="M1410">
        <v>0.99858060000000004</v>
      </c>
      <c r="N1410">
        <v>0</v>
      </c>
      <c r="O1410">
        <v>-5.1748500000000003E-2</v>
      </c>
      <c r="P1410">
        <v>0.99095750000000005</v>
      </c>
      <c r="Q1410">
        <v>0.13166349999999999</v>
      </c>
      <c r="R1410">
        <v>2.5846770000000002E-2</v>
      </c>
      <c r="S1410">
        <v>3.041077</v>
      </c>
      <c r="T1410">
        <v>0.15267120000000001</v>
      </c>
      <c r="U1410">
        <v>0.91265870000000004</v>
      </c>
      <c r="V1410">
        <v>-7.731093E-2</v>
      </c>
      <c r="W1410">
        <v>0.14400579999999999</v>
      </c>
      <c r="X1410">
        <v>0.98655219999999999</v>
      </c>
      <c r="Y1410">
        <v>-0.33617829999999999</v>
      </c>
      <c r="Z1410">
        <v>-1.0796429999999999E-2</v>
      </c>
      <c r="AA1410">
        <v>0.94173649999999998</v>
      </c>
      <c r="AB1410">
        <v>22</v>
      </c>
      <c r="AC1410">
        <v>61.014400000000002</v>
      </c>
      <c r="AD1410">
        <v>3.3127080000000002</v>
      </c>
      <c r="AE1410">
        <v>20.1187</v>
      </c>
      <c r="AF1410">
        <v>-23.187743804286502</v>
      </c>
      <c r="AG1410">
        <v>3.3127080000000002</v>
      </c>
      <c r="AH1410">
        <v>59.732627499912603</v>
      </c>
      <c r="AI1410">
        <v>87.040434912696597</v>
      </c>
      <c r="AJ1410">
        <v>111.215826951983</v>
      </c>
      <c r="AK1410">
        <v>64.160987251364801</v>
      </c>
      <c r="AL1410">
        <v>81.720288042917701</v>
      </c>
      <c r="AM1410">
        <v>94.480812915168201</v>
      </c>
      <c r="AN1410">
        <v>0.999999946827971</v>
      </c>
    </row>
    <row r="1411" spans="1:40" x14ac:dyDescent="0.3">
      <c r="A1411" t="str">
        <f>"20200111150809014"</f>
        <v>20200111150809014</v>
      </c>
      <c r="B1411" t="str">
        <f>"1578726489003736"</f>
        <v>1578726489003736</v>
      </c>
      <c r="C1411" t="s">
        <v>40</v>
      </c>
      <c r="D1411">
        <v>6.0250199999999996</v>
      </c>
      <c r="E1411">
        <v>0.51344630000000002</v>
      </c>
      <c r="F1411" t="s">
        <v>56</v>
      </c>
      <c r="G1411">
        <v>-398.75049999999999</v>
      </c>
      <c r="H1411">
        <v>4.8720790000000003</v>
      </c>
      <c r="I1411">
        <v>237.27529999999999</v>
      </c>
      <c r="J1411">
        <v>-458.43239999999997</v>
      </c>
      <c r="K1411">
        <v>1.110935</v>
      </c>
      <c r="L1411">
        <v>214.9564</v>
      </c>
      <c r="M1411">
        <v>0.99863820000000003</v>
      </c>
      <c r="N1411">
        <v>0</v>
      </c>
      <c r="O1411">
        <v>-5.062767E-2</v>
      </c>
      <c r="P1411">
        <v>0.99095569999999999</v>
      </c>
      <c r="Q1411">
        <v>0.13083</v>
      </c>
      <c r="R1411">
        <v>2.9833849999999999E-2</v>
      </c>
      <c r="S1411">
        <v>2.9737239999999998</v>
      </c>
      <c r="T1411">
        <v>0.18671199999999999</v>
      </c>
      <c r="U1411">
        <v>1.107483</v>
      </c>
      <c r="V1411">
        <v>-8.0145279999999999E-2</v>
      </c>
      <c r="W1411">
        <v>0.14317479999999999</v>
      </c>
      <c r="X1411">
        <v>0.98644699999999996</v>
      </c>
      <c r="Y1411">
        <v>-0.39523079999999999</v>
      </c>
      <c r="Z1411">
        <v>-1.5073400000000001E-2</v>
      </c>
      <c r="AA1411">
        <v>0.9184582</v>
      </c>
      <c r="AB1411">
        <v>22</v>
      </c>
      <c r="AC1411">
        <v>59.681899999999899</v>
      </c>
      <c r="AD1411">
        <v>3.7611439999999998</v>
      </c>
      <c r="AE1411">
        <v>22.3188999999999</v>
      </c>
      <c r="AF1411">
        <v>-25.2241818610851</v>
      </c>
      <c r="AG1411">
        <v>3.7611439999999998</v>
      </c>
      <c r="AH1411">
        <v>58.272273921200501</v>
      </c>
      <c r="AI1411">
        <v>86.610156540410898</v>
      </c>
      <c r="AJ1411">
        <v>113.40622511560299</v>
      </c>
      <c r="AK1411">
        <v>63.6086744296503</v>
      </c>
      <c r="AL1411">
        <v>81.768399736406494</v>
      </c>
      <c r="AM1411">
        <v>94.6448742326874</v>
      </c>
      <c r="AN1411">
        <v>0.99999998653515898</v>
      </c>
    </row>
    <row r="1412" spans="1:40" x14ac:dyDescent="0.3">
      <c r="A1412" t="str">
        <f>"20200111150809035"</f>
        <v>20200111150809035</v>
      </c>
      <c r="B1412" t="str">
        <f>"1578726489033991"</f>
        <v>1578726489033991</v>
      </c>
      <c r="C1412" t="s">
        <v>40</v>
      </c>
      <c r="D1412">
        <v>6.4700160000000002</v>
      </c>
      <c r="E1412">
        <v>0.42681330000000001</v>
      </c>
      <c r="F1412" t="s">
        <v>55</v>
      </c>
      <c r="G1412">
        <v>-398.00310000000002</v>
      </c>
      <c r="H1412" s="1">
        <v>2.7220329999999998E-6</v>
      </c>
      <c r="I1412">
        <v>214.42789999999999</v>
      </c>
      <c r="J1412">
        <v>-458.22109999999998</v>
      </c>
      <c r="K1412">
        <v>1.110841</v>
      </c>
      <c r="L1412">
        <v>214.9469</v>
      </c>
      <c r="M1412">
        <v>0.9986853</v>
      </c>
      <c r="N1412">
        <v>0</v>
      </c>
      <c r="O1412">
        <v>-4.9691289999999999E-2</v>
      </c>
      <c r="P1412">
        <v>0.99073429999999996</v>
      </c>
      <c r="Q1412">
        <v>0.13138320000000001</v>
      </c>
      <c r="R1412">
        <v>3.4411320000000002E-2</v>
      </c>
      <c r="S1412">
        <v>3.0355829999999999</v>
      </c>
      <c r="T1412">
        <v>-5.580616E-2</v>
      </c>
      <c r="U1412">
        <v>-2.6550290000000001E-2</v>
      </c>
      <c r="V1412">
        <v>-8.3746180000000003E-2</v>
      </c>
      <c r="W1412">
        <v>0.14372879999999999</v>
      </c>
      <c r="X1412">
        <v>0.98606720000000003</v>
      </c>
      <c r="Y1412">
        <v>-4.0942810000000003E-2</v>
      </c>
      <c r="Z1412">
        <v>1.2894779999999999E-3</v>
      </c>
      <c r="AA1412">
        <v>0.99916059999999995</v>
      </c>
      <c r="AB1412">
        <v>22</v>
      </c>
      <c r="AC1412">
        <v>60.217999999999897</v>
      </c>
      <c r="AD1412">
        <v>-1.1108382779670001</v>
      </c>
      <c r="AE1412">
        <v>-0.51900000000000501</v>
      </c>
      <c r="AF1412">
        <v>-2.4733468601164401</v>
      </c>
      <c r="AG1412">
        <v>-1.1108382779670001</v>
      </c>
      <c r="AH1412">
        <v>60.148921652836997</v>
      </c>
      <c r="AI1412">
        <v>91.057132628125302</v>
      </c>
      <c r="AJ1412">
        <v>92.354697977282797</v>
      </c>
      <c r="AK1412">
        <v>60.210000684017302</v>
      </c>
      <c r="AL1412">
        <v>81.736325898583601</v>
      </c>
      <c r="AM1412">
        <v>94.854451694915497</v>
      </c>
      <c r="AN1412">
        <v>0.99999995676493503</v>
      </c>
    </row>
    <row r="1413" spans="1:40" x14ac:dyDescent="0.3">
      <c r="A1413" t="str">
        <f>"20200111150809104"</f>
        <v>20200111150809104</v>
      </c>
      <c r="B1413" t="str">
        <f>"1578726489093528"</f>
        <v>1578726489093528</v>
      </c>
      <c r="C1413" t="s">
        <v>40</v>
      </c>
      <c r="D1413">
        <v>5.4719119999999997</v>
      </c>
      <c r="E1413">
        <v>0.39705439999999997</v>
      </c>
      <c r="F1413" t="s">
        <v>56</v>
      </c>
      <c r="G1413">
        <v>-387.80189999999999</v>
      </c>
      <c r="H1413">
        <v>30.406469999999999</v>
      </c>
      <c r="I1413">
        <v>232.2921</v>
      </c>
      <c r="J1413">
        <v>-457.56709999999998</v>
      </c>
      <c r="K1413">
        <v>1.110646</v>
      </c>
      <c r="L1413">
        <v>214.9178</v>
      </c>
      <c r="M1413">
        <v>0.9987935</v>
      </c>
      <c r="N1413">
        <v>0</v>
      </c>
      <c r="O1413">
        <v>-4.7496169999999997E-2</v>
      </c>
      <c r="P1413">
        <v>0.99007579999999995</v>
      </c>
      <c r="Q1413">
        <v>0.1330781</v>
      </c>
      <c r="R1413">
        <v>4.5166699999999997E-2</v>
      </c>
      <c r="S1413">
        <v>2.8466800000000001</v>
      </c>
      <c r="T1413">
        <v>1.1842710000000001</v>
      </c>
      <c r="U1413">
        <v>0.70117189999999996</v>
      </c>
      <c r="V1413">
        <v>-9.2224609999999999E-2</v>
      </c>
      <c r="W1413">
        <v>0.14533019999999999</v>
      </c>
      <c r="X1413">
        <v>0.98507549999999999</v>
      </c>
      <c r="Y1413">
        <v>-0.26074520000000001</v>
      </c>
      <c r="Z1413">
        <v>-7.0136459999999998E-2</v>
      </c>
      <c r="AA1413">
        <v>0.96285659999999895</v>
      </c>
      <c r="AB1413">
        <v>22</v>
      </c>
      <c r="AC1413">
        <v>69.765199999999993</v>
      </c>
      <c r="AD1413">
        <v>29.295824</v>
      </c>
      <c r="AE1413">
        <v>17.374300000000002</v>
      </c>
      <c r="AF1413">
        <v>-17.725470419890801</v>
      </c>
      <c r="AG1413">
        <v>29.295824</v>
      </c>
      <c r="AH1413">
        <v>59.055817594057302</v>
      </c>
      <c r="AI1413">
        <v>64.586222010563304</v>
      </c>
      <c r="AJ1413">
        <v>106.70701007103899</v>
      </c>
      <c r="AK1413">
        <v>68.2643918682937</v>
      </c>
      <c r="AL1413">
        <v>81.643599140743106</v>
      </c>
      <c r="AM1413">
        <v>95.348547585936402</v>
      </c>
      <c r="AN1413">
        <v>0.99999999321097099</v>
      </c>
    </row>
    <row r="1414" spans="1:40" x14ac:dyDescent="0.3">
      <c r="A1414" t="str">
        <f>"20200111150809127"</f>
        <v>20200111150809127</v>
      </c>
      <c r="B1414" t="str">
        <f>"1578726489123783"</f>
        <v>1578726489123783</v>
      </c>
      <c r="C1414" t="s">
        <v>40</v>
      </c>
      <c r="D1414">
        <v>5.4785649999999997</v>
      </c>
      <c r="E1414">
        <v>0.43259320000000001</v>
      </c>
      <c r="F1414" t="s">
        <v>56</v>
      </c>
      <c r="G1414">
        <v>-387.65</v>
      </c>
      <c r="H1414">
        <v>22.97204</v>
      </c>
      <c r="I1414">
        <v>238.45910000000001</v>
      </c>
      <c r="J1414">
        <v>-457.3374</v>
      </c>
      <c r="K1414">
        <v>1.110625</v>
      </c>
      <c r="L1414">
        <v>214.90770000000001</v>
      </c>
      <c r="M1414">
        <v>0.99882420000000005</v>
      </c>
      <c r="N1414">
        <v>0</v>
      </c>
      <c r="O1414">
        <v>-4.6871139999999999E-2</v>
      </c>
      <c r="P1414">
        <v>0.98989059999999995</v>
      </c>
      <c r="Q1414">
        <v>0.13385320000000001</v>
      </c>
      <c r="R1414">
        <v>4.6905130000000003E-2</v>
      </c>
      <c r="S1414">
        <v>2.8656619999999999</v>
      </c>
      <c r="T1414">
        <v>0.8960243</v>
      </c>
      <c r="U1414">
        <v>0.96487429999999996</v>
      </c>
      <c r="V1414">
        <v>-9.3332949999999998E-2</v>
      </c>
      <c r="W1414">
        <v>0.14601700000000001</v>
      </c>
      <c r="X1414">
        <v>0.98486949999999995</v>
      </c>
      <c r="Y1414">
        <v>-0.34621020000000002</v>
      </c>
      <c r="Z1414">
        <v>-6.5513420000000003E-2</v>
      </c>
      <c r="AA1414">
        <v>0.93586670000000005</v>
      </c>
      <c r="AB1414">
        <v>22</v>
      </c>
      <c r="AC1414">
        <v>69.687399999999997</v>
      </c>
      <c r="AD1414">
        <v>21.861415000000001</v>
      </c>
      <c r="AE1414">
        <v>23.551400000000001</v>
      </c>
      <c r="AF1414">
        <v>-24.617751255183499</v>
      </c>
      <c r="AG1414">
        <v>21.861415000000001</v>
      </c>
      <c r="AH1414">
        <v>62.947092058942999</v>
      </c>
      <c r="AI1414">
        <v>72.0765671575667</v>
      </c>
      <c r="AJ1414">
        <v>111.359791861861</v>
      </c>
      <c r="AK1414">
        <v>71.037254601662099</v>
      </c>
      <c r="AL1414">
        <v>81.603823892521305</v>
      </c>
      <c r="AM1414">
        <v>95.4135714395332</v>
      </c>
      <c r="AN1414">
        <v>0.99999996793747503</v>
      </c>
    </row>
    <row r="1415" spans="1:40" x14ac:dyDescent="0.3">
      <c r="A1415" t="str">
        <f>"20200111150809149"</f>
        <v>20200111150809149</v>
      </c>
      <c r="B1415" t="str">
        <f>"1578726489143304"</f>
        <v>1578726489143304</v>
      </c>
      <c r="C1415" t="s">
        <v>40</v>
      </c>
      <c r="D1415">
        <v>5.4783660000000003</v>
      </c>
      <c r="E1415">
        <v>0.43303190000000003</v>
      </c>
      <c r="F1415" t="s">
        <v>55</v>
      </c>
      <c r="G1415">
        <v>-442.73270000000002</v>
      </c>
      <c r="H1415" s="1">
        <v>-2.357217E-7</v>
      </c>
      <c r="I1415">
        <v>218.11969999999999</v>
      </c>
      <c r="J1415">
        <v>-457.13529999999997</v>
      </c>
      <c r="K1415">
        <v>1.1106389999999999</v>
      </c>
      <c r="L1415">
        <v>214.8989</v>
      </c>
      <c r="M1415">
        <v>0.99885020000000002</v>
      </c>
      <c r="N1415">
        <v>0</v>
      </c>
      <c r="O1415">
        <v>-4.6324879999999999E-2</v>
      </c>
      <c r="P1415">
        <v>0.98970709999999995</v>
      </c>
      <c r="Q1415">
        <v>0.135076</v>
      </c>
      <c r="R1415">
        <v>4.7271109999999998E-2</v>
      </c>
      <c r="S1415">
        <v>3.0302120000000001</v>
      </c>
      <c r="T1415">
        <v>-0.23043469999999999</v>
      </c>
      <c r="U1415">
        <v>0.66642760000000001</v>
      </c>
      <c r="V1415">
        <v>-9.3154979999999998E-2</v>
      </c>
      <c r="W1415">
        <v>0.14719199999999999</v>
      </c>
      <c r="X1415">
        <v>0.98471149999999996</v>
      </c>
      <c r="Y1415">
        <v>-0.25896789999999997</v>
      </c>
      <c r="Z1415">
        <v>1.3196960000000001E-2</v>
      </c>
      <c r="AA1415">
        <v>0.96579579999999998</v>
      </c>
      <c r="AB1415">
        <v>22</v>
      </c>
      <c r="AC1415">
        <v>14.4025999999999</v>
      </c>
      <c r="AD1415">
        <v>-1.1106392357217001</v>
      </c>
      <c r="AE1415">
        <v>3.2207999999999899</v>
      </c>
      <c r="AF1415">
        <v>-3.8627154270487698</v>
      </c>
      <c r="AG1415">
        <v>-1.1106392357217001</v>
      </c>
      <c r="AH1415">
        <v>14.157741000047601</v>
      </c>
      <c r="AI1415">
        <v>94.327965521770693</v>
      </c>
      <c r="AJ1415">
        <v>105.260818958287</v>
      </c>
      <c r="AK1415">
        <v>14.7171913151496</v>
      </c>
      <c r="AL1415">
        <v>81.535766578646104</v>
      </c>
      <c r="AM1415">
        <v>95.404171681338596</v>
      </c>
      <c r="AN1415">
        <v>1.0000000366975199</v>
      </c>
    </row>
    <row r="1416" spans="1:40" x14ac:dyDescent="0.3">
      <c r="A1416" t="str">
        <f>"20200111150809170"</f>
        <v>20200111150809170</v>
      </c>
      <c r="B1416" t="str">
        <f>"1578726489163800"</f>
        <v>1578726489163800</v>
      </c>
      <c r="C1416" t="s">
        <v>40</v>
      </c>
      <c r="D1416">
        <v>5.4853360000000002</v>
      </c>
      <c r="E1416">
        <v>0.43315300000000001</v>
      </c>
      <c r="F1416" t="s">
        <v>55</v>
      </c>
      <c r="G1416">
        <v>-442.1816</v>
      </c>
      <c r="H1416" s="1">
        <v>-5.3153550000000004E-7</v>
      </c>
      <c r="I1416">
        <v>218.17760000000001</v>
      </c>
      <c r="J1416">
        <v>-456.93150000000003</v>
      </c>
      <c r="K1416">
        <v>1.110673</v>
      </c>
      <c r="L1416">
        <v>214.89009999999999</v>
      </c>
      <c r="M1416">
        <v>0.99887630000000005</v>
      </c>
      <c r="N1416">
        <v>0</v>
      </c>
      <c r="O1416">
        <v>-4.576591E-2</v>
      </c>
      <c r="P1416">
        <v>0.98954609999999998</v>
      </c>
      <c r="Q1416">
        <v>0.13630329999999999</v>
      </c>
      <c r="R1416">
        <v>4.7116110000000003E-2</v>
      </c>
      <c r="S1416">
        <v>3.0302120000000001</v>
      </c>
      <c r="T1416">
        <v>-0.22505890000000001</v>
      </c>
      <c r="U1416">
        <v>0.6643829</v>
      </c>
      <c r="V1416">
        <v>-9.2450409999999997E-2</v>
      </c>
      <c r="W1416">
        <v>0.14838560000000001</v>
      </c>
      <c r="X1416">
        <v>0.98459870000000005</v>
      </c>
      <c r="Y1416">
        <v>-0.25784879999999999</v>
      </c>
      <c r="Z1416">
        <v>1.2808760000000001E-2</v>
      </c>
      <c r="AA1416">
        <v>0.96610039999999997</v>
      </c>
      <c r="AB1416">
        <v>22</v>
      </c>
      <c r="AC1416">
        <v>14.7499</v>
      </c>
      <c r="AD1416">
        <v>-1.1106735315355001</v>
      </c>
      <c r="AE1416">
        <v>3.2875000000000201</v>
      </c>
      <c r="AF1416">
        <v>-3.9378769309308801</v>
      </c>
      <c r="AG1416">
        <v>-1.1106735315355001</v>
      </c>
      <c r="AH1416">
        <v>14.5056191895433</v>
      </c>
      <c r="AI1416">
        <v>94.226133852349804</v>
      </c>
      <c r="AJ1416">
        <v>105.18818228099499</v>
      </c>
      <c r="AK1416">
        <v>15.071611011728599</v>
      </c>
      <c r="AL1416">
        <v>81.466618553626901</v>
      </c>
      <c r="AM1416">
        <v>95.364147831570307</v>
      </c>
      <c r="AN1416">
        <v>0.99999998231910903</v>
      </c>
    </row>
    <row r="1417" spans="1:40" x14ac:dyDescent="0.3">
      <c r="A1417" t="str">
        <f>"20200111150809193"</f>
        <v>20200111150809193</v>
      </c>
      <c r="B1417" t="str">
        <f>"1578726489183319"</f>
        <v>1578726489183319</v>
      </c>
      <c r="C1417" t="s">
        <v>40</v>
      </c>
      <c r="D1417">
        <v>5.4513309999999997</v>
      </c>
      <c r="E1417">
        <v>0.43338199999999999</v>
      </c>
      <c r="F1417" t="s">
        <v>55</v>
      </c>
      <c r="G1417">
        <v>-441.89069999999998</v>
      </c>
      <c r="H1417" s="1">
        <v>-6.8638489999999997E-7</v>
      </c>
      <c r="I1417">
        <v>218.179</v>
      </c>
      <c r="J1417">
        <v>-456.7079</v>
      </c>
      <c r="K1417">
        <v>1.110714</v>
      </c>
      <c r="L1417">
        <v>214.88069999999999</v>
      </c>
      <c r="M1417">
        <v>0.99890570000000001</v>
      </c>
      <c r="N1417">
        <v>0</v>
      </c>
      <c r="O1417">
        <v>-4.513027E-2</v>
      </c>
      <c r="P1417">
        <v>0.98938470000000001</v>
      </c>
      <c r="Q1417">
        <v>0.13754240000000001</v>
      </c>
      <c r="R1417">
        <v>4.6906789999999997E-2</v>
      </c>
      <c r="S1417">
        <v>3.0309750000000002</v>
      </c>
      <c r="T1417">
        <v>-0.22381870000000001</v>
      </c>
      <c r="U1417">
        <v>0.66276550000000001</v>
      </c>
      <c r="V1417">
        <v>-9.1618630000000006E-2</v>
      </c>
      <c r="W1417">
        <v>0.149582299999999</v>
      </c>
      <c r="X1417">
        <v>0.98449540000000002</v>
      </c>
      <c r="Y1417">
        <v>-0.25670470000000001</v>
      </c>
      <c r="Z1417">
        <v>1.264784E-2</v>
      </c>
      <c r="AA1417">
        <v>0.96640709999999996</v>
      </c>
      <c r="AB1417">
        <v>22</v>
      </c>
      <c r="AC1417">
        <v>14.8172</v>
      </c>
      <c r="AD1417">
        <v>-1.1107146863849</v>
      </c>
      <c r="AE1417">
        <v>3.29830000000001</v>
      </c>
      <c r="AF1417">
        <v>-3.9425853394186499</v>
      </c>
      <c r="AG1417">
        <v>-1.1107146863849</v>
      </c>
      <c r="AH1417">
        <v>14.575202225221</v>
      </c>
      <c r="AI1417">
        <v>94.207215438017698</v>
      </c>
      <c r="AJ1417">
        <v>105.136247984145</v>
      </c>
      <c r="AK1417">
        <v>15.139821206977199</v>
      </c>
      <c r="AL1417">
        <v>81.397279115773898</v>
      </c>
      <c r="AM1417">
        <v>95.316718747863305</v>
      </c>
      <c r="AN1417">
        <v>1.00000001522876</v>
      </c>
    </row>
    <row r="1418" spans="1:40" x14ac:dyDescent="0.3">
      <c r="A1418" t="str">
        <f>"20200111150809214"</f>
        <v>20200111150809214</v>
      </c>
      <c r="B1418" t="str">
        <f>"1578726489203815"</f>
        <v>1578726489203815</v>
      </c>
      <c r="C1418" t="s">
        <v>40</v>
      </c>
      <c r="D1418">
        <v>5.4115270000000004</v>
      </c>
      <c r="E1418">
        <v>0.43359019999999998</v>
      </c>
      <c r="F1418" t="s">
        <v>55</v>
      </c>
      <c r="G1418">
        <v>-441.83800000000002</v>
      </c>
      <c r="H1418" s="1">
        <v>-7.1175849999999897E-7</v>
      </c>
      <c r="I1418">
        <v>218.11789999999999</v>
      </c>
      <c r="J1418">
        <v>-456.4973</v>
      </c>
      <c r="K1418">
        <v>1.1107389999999999</v>
      </c>
      <c r="L1418">
        <v>214.87190000000001</v>
      </c>
      <c r="M1418">
        <v>0.99893430000000005</v>
      </c>
      <c r="N1418">
        <v>0</v>
      </c>
      <c r="O1418">
        <v>-4.450088E-2</v>
      </c>
      <c r="P1418">
        <v>0.98917809999999995</v>
      </c>
      <c r="Q1418">
        <v>0.13891429999999999</v>
      </c>
      <c r="R1418">
        <v>4.7216069999999999E-2</v>
      </c>
      <c r="S1418">
        <v>3.0323790000000002</v>
      </c>
      <c r="T1418">
        <v>-0.22650419999999999</v>
      </c>
      <c r="U1418">
        <v>0.66015630000000003</v>
      </c>
      <c r="V1418">
        <v>-9.1308009999999995E-2</v>
      </c>
      <c r="W1418">
        <v>0.15090990000000001</v>
      </c>
      <c r="X1418">
        <v>0.98432160000000002</v>
      </c>
      <c r="Y1418">
        <v>-0.25519570000000003</v>
      </c>
      <c r="Z1418">
        <v>1.2692439999999999E-2</v>
      </c>
      <c r="AA1418">
        <v>0.9668061</v>
      </c>
      <c r="AB1418">
        <v>22</v>
      </c>
      <c r="AC1418">
        <v>14.659299999999901</v>
      </c>
      <c r="AD1418">
        <v>-1.1107397117584901</v>
      </c>
      <c r="AE1418">
        <v>3.24599999999998</v>
      </c>
      <c r="AF1418">
        <v>-3.8739829672461599</v>
      </c>
      <c r="AG1418">
        <v>-1.1107397117584901</v>
      </c>
      <c r="AH1418">
        <v>14.421389403657299</v>
      </c>
      <c r="AI1418">
        <v>94.254013061167399</v>
      </c>
      <c r="AJ1418">
        <v>105.036258994897</v>
      </c>
      <c r="AK1418">
        <v>14.9739092781314</v>
      </c>
      <c r="AL1418">
        <v>81.320339572197298</v>
      </c>
      <c r="AM1418">
        <v>95.299726214724998</v>
      </c>
      <c r="AN1418">
        <v>0.99999998141736401</v>
      </c>
    </row>
    <row r="1419" spans="1:40" x14ac:dyDescent="0.3">
      <c r="A1419" t="str">
        <f>"20200111150809237"</f>
        <v>20200111150809237</v>
      </c>
      <c r="B1419" t="str">
        <f>"1578726489233096"</f>
        <v>1578726489233096</v>
      </c>
      <c r="C1419" t="s">
        <v>40</v>
      </c>
      <c r="D1419">
        <v>5.3951359999999999</v>
      </c>
      <c r="E1419">
        <v>0.43383830000000001</v>
      </c>
      <c r="F1419" t="s">
        <v>55</v>
      </c>
      <c r="G1419">
        <v>-441.47680000000003</v>
      </c>
      <c r="H1419" s="1">
        <v>-9.046817E-7</v>
      </c>
      <c r="I1419">
        <v>218.13480000000001</v>
      </c>
      <c r="J1419">
        <v>-456.28590000000003</v>
      </c>
      <c r="K1419">
        <v>1.110768</v>
      </c>
      <c r="L1419">
        <v>214.86320000000001</v>
      </c>
      <c r="M1419">
        <v>0.99896399999999996</v>
      </c>
      <c r="N1419">
        <v>0</v>
      </c>
      <c r="O1419">
        <v>-4.3840369999999997E-2</v>
      </c>
      <c r="P1419">
        <v>0.98903649999999999</v>
      </c>
      <c r="Q1419">
        <v>0.13972809999999999</v>
      </c>
      <c r="R1419">
        <v>4.7778760000000003E-2</v>
      </c>
      <c r="S1419">
        <v>3.0328369999999998</v>
      </c>
      <c r="T1419">
        <v>-0.22427359999999999</v>
      </c>
      <c r="U1419">
        <v>0.65882869999999905</v>
      </c>
      <c r="V1419">
        <v>-9.1220510000000005E-2</v>
      </c>
      <c r="W1419">
        <v>0.15168670000000001</v>
      </c>
      <c r="X1419">
        <v>0.98421029999999998</v>
      </c>
      <c r="Y1419">
        <v>-0.25414229999999999</v>
      </c>
      <c r="Z1419">
        <v>1.247974E-2</v>
      </c>
      <c r="AA1419">
        <v>0.96708629999999995</v>
      </c>
      <c r="AB1419">
        <v>22</v>
      </c>
      <c r="AC1419">
        <v>14.809100000000001</v>
      </c>
      <c r="AD1419">
        <v>-1.1107689046817</v>
      </c>
      <c r="AE1419">
        <v>3.2715999999999998</v>
      </c>
      <c r="AF1419">
        <v>-3.8968358805919499</v>
      </c>
      <c r="AG1419">
        <v>-1.1107689046817</v>
      </c>
      <c r="AH1419">
        <v>14.573248712896101</v>
      </c>
      <c r="AI1419">
        <v>94.211246416556406</v>
      </c>
      <c r="AJ1419">
        <v>104.970450923584</v>
      </c>
      <c r="AK1419">
        <v>15.1260938608686</v>
      </c>
      <c r="AL1419">
        <v>81.275313827711201</v>
      </c>
      <c r="AM1419">
        <v>95.295271739767202</v>
      </c>
      <c r="AN1419">
        <v>0.99999997551381903</v>
      </c>
    </row>
    <row r="1420" spans="1:40" x14ac:dyDescent="0.3">
      <c r="A1420" t="str">
        <f>"20200111150809271"</f>
        <v>20200111150809271</v>
      </c>
      <c r="B1420" t="str">
        <f>"1578726489263351"</f>
        <v>1578726489263351</v>
      </c>
      <c r="C1420" t="s">
        <v>40</v>
      </c>
      <c r="D1420">
        <v>5.3898609999999998</v>
      </c>
      <c r="E1420">
        <v>0.43416830000000001</v>
      </c>
      <c r="F1420" t="s">
        <v>55</v>
      </c>
      <c r="G1420">
        <v>-441.39139999999998</v>
      </c>
      <c r="H1420" s="1">
        <v>-9.4831519999999996E-7</v>
      </c>
      <c r="I1420">
        <v>218.09289999999999</v>
      </c>
      <c r="J1420">
        <v>-455.9556</v>
      </c>
      <c r="K1420">
        <v>1.1107899999999999</v>
      </c>
      <c r="L1420">
        <v>214.85</v>
      </c>
      <c r="M1420">
        <v>0.99901079999999998</v>
      </c>
      <c r="N1420">
        <v>0</v>
      </c>
      <c r="O1420">
        <v>-4.2769509999999997E-2</v>
      </c>
      <c r="P1420">
        <v>0.98900679999999996</v>
      </c>
      <c r="Q1420">
        <v>0.1398732</v>
      </c>
      <c r="R1420">
        <v>4.7969879999999999E-2</v>
      </c>
      <c r="S1420">
        <v>3.0334469999999998</v>
      </c>
      <c r="T1420">
        <v>-0.2262219</v>
      </c>
      <c r="U1420">
        <v>0.65776060000000003</v>
      </c>
      <c r="V1420">
        <v>-9.0361559999999994E-2</v>
      </c>
      <c r="W1420">
        <v>0.15179409999999999</v>
      </c>
      <c r="X1420">
        <v>0.98427299999999995</v>
      </c>
      <c r="Y1420">
        <v>-0.25273319999999999</v>
      </c>
      <c r="Z1420">
        <v>1.2455010000000001E-2</v>
      </c>
      <c r="AA1420">
        <v>0.96745590000000004</v>
      </c>
      <c r="AB1420">
        <v>22</v>
      </c>
      <c r="AC1420">
        <v>14.5642</v>
      </c>
      <c r="AD1420">
        <v>-1.1107909483152001</v>
      </c>
      <c r="AE1420">
        <v>3.2428999999999899</v>
      </c>
      <c r="AF1420">
        <v>-3.8415914661328201</v>
      </c>
      <c r="AG1420">
        <v>-1.1107909483152001</v>
      </c>
      <c r="AH1420">
        <v>14.3327299567806</v>
      </c>
      <c r="AI1420">
        <v>94.281065444008604</v>
      </c>
      <c r="AJ1420">
        <v>105.004281864817</v>
      </c>
      <c r="AK1420">
        <v>14.8801488412421</v>
      </c>
      <c r="AL1420">
        <v>81.269088380490302</v>
      </c>
      <c r="AM1420">
        <v>95.245357615137607</v>
      </c>
      <c r="AN1420">
        <v>0.99999999942472095</v>
      </c>
    </row>
    <row r="1421" spans="1:40" x14ac:dyDescent="0.3">
      <c r="A1421" t="str">
        <f>"20200111150809292"</f>
        <v>20200111150809292</v>
      </c>
      <c r="B1421" t="str">
        <f>"1578726489283847"</f>
        <v>1578726489283847</v>
      </c>
      <c r="C1421" t="s">
        <v>40</v>
      </c>
      <c r="D1421">
        <v>5.3611339999999998</v>
      </c>
      <c r="E1421">
        <v>0.4342665</v>
      </c>
      <c r="F1421" t="s">
        <v>55</v>
      </c>
      <c r="G1421">
        <v>-441.6266</v>
      </c>
      <c r="H1421" s="1">
        <v>-8.1686269999999997E-7</v>
      </c>
      <c r="I1421">
        <v>217.94909999999999</v>
      </c>
      <c r="J1421">
        <v>-455.74560000000002</v>
      </c>
      <c r="K1421">
        <v>1.1108020000000001</v>
      </c>
      <c r="L1421">
        <v>214.84180000000001</v>
      </c>
      <c r="M1421">
        <v>0.99904009999999999</v>
      </c>
      <c r="N1421">
        <v>0</v>
      </c>
      <c r="O1421">
        <v>-4.2082509999999997E-2</v>
      </c>
      <c r="P1421">
        <v>0.98908640000000003</v>
      </c>
      <c r="Q1421">
        <v>0.1394039</v>
      </c>
      <c r="R1421">
        <v>4.7690799999999998E-2</v>
      </c>
      <c r="S1421">
        <v>3.0347599999999999</v>
      </c>
      <c r="T1421">
        <v>-0.23525599999999999</v>
      </c>
      <c r="U1421">
        <v>0.65637209999999901</v>
      </c>
      <c r="V1421">
        <v>-8.9412229999999995E-2</v>
      </c>
      <c r="W1421">
        <v>0.15130629999999901</v>
      </c>
      <c r="X1421">
        <v>0.98443480000000005</v>
      </c>
      <c r="Y1421">
        <v>-0.25150060000000002</v>
      </c>
      <c r="Z1421">
        <v>1.284631E-2</v>
      </c>
      <c r="AA1421">
        <v>0.96777190000000002</v>
      </c>
      <c r="AB1421">
        <v>22</v>
      </c>
      <c r="AC1421">
        <v>14.119</v>
      </c>
      <c r="AD1421">
        <v>-1.1108028168627</v>
      </c>
      <c r="AE1421">
        <v>3.10729999999998</v>
      </c>
      <c r="AF1421">
        <v>-3.6770456797980202</v>
      </c>
      <c r="AG1421">
        <v>-1.1108028168627</v>
      </c>
      <c r="AH1421">
        <v>13.8936937579924</v>
      </c>
      <c r="AI1421">
        <v>94.419557596737803</v>
      </c>
      <c r="AJ1421">
        <v>104.82379464093501</v>
      </c>
      <c r="AK1421">
        <v>14.4148976434156</v>
      </c>
      <c r="AL1421">
        <v>81.297363943422795</v>
      </c>
      <c r="AM1421">
        <v>95.189704530567695</v>
      </c>
      <c r="AN1421">
        <v>1.0000000093721499</v>
      </c>
    </row>
    <row r="1422" spans="1:40" x14ac:dyDescent="0.3">
      <c r="A1422" t="str">
        <f>"20200111150809316"</f>
        <v>20200111150809316</v>
      </c>
      <c r="B1422" t="str">
        <f>"1578726489313128"</f>
        <v>1578726489313128</v>
      </c>
      <c r="C1422" t="s">
        <v>40</v>
      </c>
      <c r="D1422">
        <v>5.3547250000000002</v>
      </c>
      <c r="E1422">
        <v>0.43431009999999998</v>
      </c>
      <c r="F1422" t="s">
        <v>55</v>
      </c>
      <c r="G1422">
        <v>-441.6037</v>
      </c>
      <c r="H1422" s="1">
        <v>-8.2655769999999897E-7</v>
      </c>
      <c r="I1422">
        <v>217.89230000000001</v>
      </c>
      <c r="J1422">
        <v>-455.52440000000001</v>
      </c>
      <c r="K1422">
        <v>1.110811</v>
      </c>
      <c r="L1422">
        <v>214.83330000000001</v>
      </c>
      <c r="M1422">
        <v>0.99907060000000003</v>
      </c>
      <c r="N1422">
        <v>0</v>
      </c>
      <c r="O1422">
        <v>-4.136227E-2</v>
      </c>
      <c r="P1422">
        <v>0.98908169999999995</v>
      </c>
      <c r="Q1422">
        <v>0.13928859999999901</v>
      </c>
      <c r="R1422">
        <v>4.812545E-2</v>
      </c>
      <c r="S1422">
        <v>3.035126</v>
      </c>
      <c r="T1422">
        <v>-0.2383999</v>
      </c>
      <c r="U1422">
        <v>0.65470890000000004</v>
      </c>
      <c r="V1422">
        <v>-8.9139469999999998E-2</v>
      </c>
      <c r="W1422">
        <v>0.151172</v>
      </c>
      <c r="X1422">
        <v>0.98448009999999997</v>
      </c>
      <c r="Y1422">
        <v>-0.25025520000000001</v>
      </c>
      <c r="Z1422">
        <v>1.2912460000000001E-2</v>
      </c>
      <c r="AA1422">
        <v>0.9680938</v>
      </c>
      <c r="AB1422">
        <v>22</v>
      </c>
      <c r="AC1422">
        <v>13.9207</v>
      </c>
      <c r="AD1422">
        <v>-1.1108118265576901</v>
      </c>
      <c r="AE1422">
        <v>3.0589999999999899</v>
      </c>
      <c r="AF1422">
        <v>-3.6102868131940098</v>
      </c>
      <c r="AG1422">
        <v>-1.1108118265576901</v>
      </c>
      <c r="AH1422">
        <v>13.699039982015799</v>
      </c>
      <c r="AI1422">
        <v>94.483364903120602</v>
      </c>
      <c r="AJ1422">
        <v>104.764199524641</v>
      </c>
      <c r="AK1422">
        <v>14.2102698854177</v>
      </c>
      <c r="AL1422">
        <v>81.305147726915905</v>
      </c>
      <c r="AM1422">
        <v>95.173722146719101</v>
      </c>
      <c r="AN1422">
        <v>0.99999994299594297</v>
      </c>
    </row>
    <row r="1423" spans="1:40" x14ac:dyDescent="0.3">
      <c r="A1423" t="str">
        <f>"20200111150809338"</f>
        <v>20200111150809338</v>
      </c>
      <c r="B1423" t="str">
        <f>"1578726489333625"</f>
        <v>1578726489333625</v>
      </c>
      <c r="C1423" t="s">
        <v>40</v>
      </c>
      <c r="D1423">
        <v>5.3429469999999997</v>
      </c>
      <c r="E1423">
        <v>0.43442340000000002</v>
      </c>
      <c r="F1423" t="s">
        <v>55</v>
      </c>
      <c r="G1423">
        <v>-441.58780000000002</v>
      </c>
      <c r="H1423" s="1">
        <v>-8.3300209999999905E-7</v>
      </c>
      <c r="I1423">
        <v>217.84569999999999</v>
      </c>
      <c r="J1423">
        <v>-455.30799999999999</v>
      </c>
      <c r="K1423">
        <v>1.1108169999999999</v>
      </c>
      <c r="L1423">
        <v>214.8252</v>
      </c>
      <c r="M1423">
        <v>0.99909930000000002</v>
      </c>
      <c r="N1423">
        <v>0</v>
      </c>
      <c r="O1423">
        <v>-4.0663209999999998E-2</v>
      </c>
      <c r="P1423">
        <v>0.98912409999999995</v>
      </c>
      <c r="Q1423">
        <v>0.1389629</v>
      </c>
      <c r="R1423">
        <v>4.8195219999999997E-2</v>
      </c>
      <c r="S1423">
        <v>3.0352779999999999</v>
      </c>
      <c r="T1423">
        <v>-0.24192559999999999</v>
      </c>
      <c r="U1423">
        <v>0.65606690000000001</v>
      </c>
      <c r="V1423">
        <v>-8.8522569999999995E-2</v>
      </c>
      <c r="W1423">
        <v>0.1508321</v>
      </c>
      <c r="X1423">
        <v>0.98458800000000002</v>
      </c>
      <c r="Y1423">
        <v>-0.2499594</v>
      </c>
      <c r="Z1423">
        <v>1.303488E-2</v>
      </c>
      <c r="AA1423">
        <v>0.96816860000000005</v>
      </c>
      <c r="AB1423">
        <v>22</v>
      </c>
      <c r="AC1423">
        <v>13.7202</v>
      </c>
      <c r="AD1423">
        <v>-1.1108178330020999</v>
      </c>
      <c r="AE1423">
        <v>3.02049999999999</v>
      </c>
      <c r="AF1423">
        <v>-3.5537323165870802</v>
      </c>
      <c r="AG1423">
        <v>-1.1108178330020999</v>
      </c>
      <c r="AH1423">
        <v>13.5016078248941</v>
      </c>
      <c r="AI1423">
        <v>94.549049583096306</v>
      </c>
      <c r="AJ1423">
        <v>104.746252151167</v>
      </c>
      <c r="AK1423">
        <v>14.0055825831456</v>
      </c>
      <c r="AL1423">
        <v>81.324849387751996</v>
      </c>
      <c r="AM1423">
        <v>95.1375490549635</v>
      </c>
      <c r="AN1423">
        <v>1.0000000487669001</v>
      </c>
    </row>
    <row r="1424" spans="1:40" x14ac:dyDescent="0.3">
      <c r="A1424" t="str">
        <f>"20200111150809358"</f>
        <v>20200111150809358</v>
      </c>
      <c r="B1424" t="str">
        <f>"1578726489353143"</f>
        <v>1578726489353143</v>
      </c>
      <c r="C1424" t="s">
        <v>40</v>
      </c>
      <c r="D1424">
        <v>5.4140240000000004</v>
      </c>
      <c r="E1424">
        <v>0.43439919999999999</v>
      </c>
      <c r="F1424" t="s">
        <v>55</v>
      </c>
      <c r="G1424">
        <v>-441.5222</v>
      </c>
      <c r="H1424" s="1">
        <v>-8.6612030000000001E-7</v>
      </c>
      <c r="I1424">
        <v>217.8048</v>
      </c>
      <c r="J1424">
        <v>-455.11329999999998</v>
      </c>
      <c r="K1424">
        <v>1.1108209999999901</v>
      </c>
      <c r="L1424">
        <v>214.81800000000001</v>
      </c>
      <c r="M1424">
        <v>0.99912469999999998</v>
      </c>
      <c r="N1424">
        <v>0</v>
      </c>
      <c r="O1424">
        <v>-4.0038709999999998E-2</v>
      </c>
      <c r="P1424">
        <v>0.98916349999999997</v>
      </c>
      <c r="Q1424">
        <v>0.138466899999999</v>
      </c>
      <c r="R1424">
        <v>4.8814209999999997E-2</v>
      </c>
      <c r="S1424">
        <v>3.0353699999999999</v>
      </c>
      <c r="T1424">
        <v>-0.24458009999999999</v>
      </c>
      <c r="U1424">
        <v>0.65605159999999996</v>
      </c>
      <c r="V1424">
        <v>-8.8526679999999996E-2</v>
      </c>
      <c r="W1424">
        <v>0.15032490000000001</v>
      </c>
      <c r="X1424">
        <v>0.98466520000000002</v>
      </c>
      <c r="Y1424">
        <v>-0.2493281</v>
      </c>
      <c r="Z1424">
        <v>1.3102229999999999E-2</v>
      </c>
      <c r="AA1424">
        <v>0.96833040000000004</v>
      </c>
      <c r="AB1424">
        <v>22</v>
      </c>
      <c r="AC1424">
        <v>13.5910999999999</v>
      </c>
      <c r="AD1424">
        <v>-1.11082186612029</v>
      </c>
      <c r="AE1424">
        <v>2.9868000000000099</v>
      </c>
      <c r="AF1424">
        <v>-3.5062716541510102</v>
      </c>
      <c r="AG1424">
        <v>-1.11082186612029</v>
      </c>
      <c r="AH1424">
        <v>13.375371848373399</v>
      </c>
      <c r="AI1424">
        <v>94.593012887925696</v>
      </c>
      <c r="AJ1424">
        <v>104.689212521431</v>
      </c>
      <c r="AK1424">
        <v>13.8718577780056</v>
      </c>
      <c r="AL1424">
        <v>81.354245004157093</v>
      </c>
      <c r="AM1424">
        <v>95.137385650240901</v>
      </c>
      <c r="AN1424">
        <v>1.0000000523614301</v>
      </c>
    </row>
    <row r="1425" spans="1:40" x14ac:dyDescent="0.3">
      <c r="A1425" t="str">
        <f>"20200111150809404"</f>
        <v>20200111150809404</v>
      </c>
      <c r="B1425" t="str">
        <f>"1578726489393159"</f>
        <v>1578726489393159</v>
      </c>
      <c r="C1425" t="s">
        <v>40</v>
      </c>
      <c r="D1425">
        <v>5.4107229999999999</v>
      </c>
      <c r="E1425">
        <v>0.43425039999999998</v>
      </c>
      <c r="F1425" t="s">
        <v>55</v>
      </c>
      <c r="G1425">
        <v>-441.50779999999997</v>
      </c>
      <c r="H1425" s="1">
        <v>-8.7237989999999898E-7</v>
      </c>
      <c r="I1425">
        <v>217.7731</v>
      </c>
      <c r="J1425">
        <v>-454.67450000000002</v>
      </c>
      <c r="K1425">
        <v>1.1108720000000001</v>
      </c>
      <c r="L1425">
        <v>214.8022</v>
      </c>
      <c r="M1425">
        <v>0.99917639999999996</v>
      </c>
      <c r="N1425">
        <v>0</v>
      </c>
      <c r="O1425">
        <v>-3.8657360000000002E-2</v>
      </c>
      <c r="P1425">
        <v>0.98917069999999996</v>
      </c>
      <c r="Q1425">
        <v>0.13838539999999999</v>
      </c>
      <c r="R1425">
        <v>4.8895719999999997E-2</v>
      </c>
      <c r="S1425">
        <v>3.0350649999999999</v>
      </c>
      <c r="T1425">
        <v>-0.24779960000000001</v>
      </c>
      <c r="U1425">
        <v>0.65922550000000002</v>
      </c>
      <c r="V1425">
        <v>-8.7241079999999999E-2</v>
      </c>
      <c r="W1425">
        <v>0.1504625</v>
      </c>
      <c r="X1425">
        <v>0.98475889999999999</v>
      </c>
      <c r="Y1425">
        <v>-0.24895890000000001</v>
      </c>
      <c r="Z1425">
        <v>1.314767E-2</v>
      </c>
      <c r="AA1425">
        <v>0.96842479999999997</v>
      </c>
      <c r="AB1425">
        <v>22</v>
      </c>
      <c r="AC1425">
        <v>13.166700000000001</v>
      </c>
      <c r="AD1425">
        <v>-1.1108728723799</v>
      </c>
      <c r="AE1425">
        <v>2.9708999999999999</v>
      </c>
      <c r="AF1425">
        <v>-3.4543100572416199</v>
      </c>
      <c r="AG1425">
        <v>-1.1108728723799</v>
      </c>
      <c r="AH1425">
        <v>12.9542561381284</v>
      </c>
      <c r="AI1425">
        <v>94.736610077714005</v>
      </c>
      <c r="AJ1425">
        <v>104.930763731087</v>
      </c>
      <c r="AK1425">
        <v>13.4528453719794</v>
      </c>
      <c r="AL1425">
        <v>81.346270213379</v>
      </c>
      <c r="AM1425">
        <v>95.0626910053453</v>
      </c>
      <c r="AN1425">
        <v>1.0000000305375101</v>
      </c>
    </row>
    <row r="1426" spans="1:40" x14ac:dyDescent="0.3">
      <c r="A1426" t="str">
        <f>"20200111150809427"</f>
        <v>20200111150809427</v>
      </c>
      <c r="B1426" t="str">
        <f>"1578726489423416"</f>
        <v>1578726489423416</v>
      </c>
      <c r="C1426" t="s">
        <v>40</v>
      </c>
      <c r="D1426">
        <v>5.430485</v>
      </c>
      <c r="E1426">
        <v>0.434085</v>
      </c>
      <c r="F1426" t="s">
        <v>55</v>
      </c>
      <c r="G1426">
        <v>-441.15350000000001</v>
      </c>
      <c r="H1426" s="1">
        <v>-1.059977E-6</v>
      </c>
      <c r="I1426">
        <v>217.7508</v>
      </c>
      <c r="J1426">
        <v>-454.46260000000001</v>
      </c>
      <c r="K1426">
        <v>1.1111629999999999</v>
      </c>
      <c r="L1426">
        <v>214.79480000000001</v>
      </c>
      <c r="M1426">
        <v>0.99918260000000003</v>
      </c>
      <c r="N1426">
        <v>0</v>
      </c>
      <c r="O1426">
        <v>-3.8070470000000002E-2</v>
      </c>
      <c r="P1426">
        <v>0.98947010000000002</v>
      </c>
      <c r="Q1426">
        <v>0.1362718</v>
      </c>
      <c r="R1426">
        <v>4.8778269999999999E-2</v>
      </c>
      <c r="S1426">
        <v>3.0350039999999998</v>
      </c>
      <c r="T1426">
        <v>-0.24935280000000001</v>
      </c>
      <c r="U1426">
        <v>0.66185000000000005</v>
      </c>
      <c r="V1426">
        <v>-8.6540069999999997E-2</v>
      </c>
      <c r="W1426">
        <v>0.1496073</v>
      </c>
      <c r="X1426">
        <v>0.98495100000000002</v>
      </c>
      <c r="Y1426">
        <v>-0.24918419999999999</v>
      </c>
      <c r="Z1426">
        <v>1.319041E-2</v>
      </c>
      <c r="AA1426">
        <v>0.96836630000000001</v>
      </c>
      <c r="AB1426">
        <v>22</v>
      </c>
      <c r="AC1426">
        <v>13.309100000000001</v>
      </c>
      <c r="AD1426">
        <v>-1.1111640599770001</v>
      </c>
      <c r="AE1426">
        <v>2.95599999999998</v>
      </c>
      <c r="AF1426">
        <v>-3.4377511134079399</v>
      </c>
      <c r="AG1426">
        <v>-1.1111640599770001</v>
      </c>
      <c r="AH1426">
        <v>13.0998841174069</v>
      </c>
      <c r="AI1426">
        <v>94.690291321704706</v>
      </c>
      <c r="AJ1426">
        <v>104.704341042165</v>
      </c>
      <c r="AK1426">
        <v>13.5889580974927</v>
      </c>
      <c r="AL1426">
        <v>81.395830289097603</v>
      </c>
      <c r="AM1426">
        <v>95.021245049618699</v>
      </c>
      <c r="AN1426">
        <v>1.0000000001649401</v>
      </c>
    </row>
    <row r="1427" spans="1:40" x14ac:dyDescent="0.3">
      <c r="A1427" t="str">
        <f>"20200111150809448"</f>
        <v>20200111150809448</v>
      </c>
      <c r="B1427" t="str">
        <f>"1578726489443912"</f>
        <v>1578726489443912</v>
      </c>
      <c r="C1427" t="s">
        <v>40</v>
      </c>
      <c r="D1427">
        <v>5.3027949999999997</v>
      </c>
      <c r="E1427">
        <v>0.43408469999999999</v>
      </c>
      <c r="F1427" t="s">
        <v>55</v>
      </c>
      <c r="G1427">
        <v>-441.34269999999998</v>
      </c>
      <c r="H1427" s="1">
        <v>-9.5535150000000003E-7</v>
      </c>
      <c r="I1427">
        <v>217.66130000000001</v>
      </c>
      <c r="J1427">
        <v>-454.25819999999999</v>
      </c>
      <c r="K1427">
        <v>1.1114889999999999</v>
      </c>
      <c r="L1427">
        <v>214.7877</v>
      </c>
      <c r="M1427">
        <v>0.99917849999999997</v>
      </c>
      <c r="N1427">
        <v>0</v>
      </c>
      <c r="O1427">
        <v>-3.7541209999999998E-2</v>
      </c>
      <c r="P1427">
        <v>0.98977000000000004</v>
      </c>
      <c r="Q1427">
        <v>0.1343376</v>
      </c>
      <c r="R1427">
        <v>4.8053480000000003E-2</v>
      </c>
      <c r="S1427">
        <v>3.0346069999999998</v>
      </c>
      <c r="T1427">
        <v>-0.25701099999999999</v>
      </c>
      <c r="U1427">
        <v>0.66302490000000003</v>
      </c>
      <c r="V1427">
        <v>-8.5284760000000001E-2</v>
      </c>
      <c r="W1427">
        <v>0.14934229999999901</v>
      </c>
      <c r="X1427">
        <v>0.98510070000000005</v>
      </c>
      <c r="Y1427">
        <v>-0.24900120000000001</v>
      </c>
      <c r="Z1427">
        <v>1.354346E-2</v>
      </c>
      <c r="AA1427">
        <v>0.96840850000000001</v>
      </c>
      <c r="AB1427">
        <v>21</v>
      </c>
      <c r="AC1427">
        <v>12.9155</v>
      </c>
      <c r="AD1427">
        <v>-1.1114899553515001</v>
      </c>
      <c r="AE1427">
        <v>2.8736000000000099</v>
      </c>
      <c r="AF1427">
        <v>-3.3329738818029599</v>
      </c>
      <c r="AG1427">
        <v>-1.1114899553515001</v>
      </c>
      <c r="AH1427">
        <v>12.7088194768527</v>
      </c>
      <c r="AI1427">
        <v>94.835554109101395</v>
      </c>
      <c r="AJ1427">
        <v>104.695265172988</v>
      </c>
      <c r="AK1427">
        <v>13.1855306041455</v>
      </c>
      <c r="AL1427">
        <v>81.411186193211094</v>
      </c>
      <c r="AM1427">
        <v>94.948025248840693</v>
      </c>
      <c r="AN1427">
        <v>1.00000000099901</v>
      </c>
    </row>
    <row r="1428" spans="1:40" x14ac:dyDescent="0.3">
      <c r="A1428" t="str">
        <f>"20200111150809473"</f>
        <v>20200111150809473</v>
      </c>
      <c r="B1428" t="str">
        <f>"1578726489463432"</f>
        <v>1578726489463432</v>
      </c>
      <c r="C1428" t="s">
        <v>40</v>
      </c>
      <c r="D1428">
        <v>4.7321790000000004</v>
      </c>
      <c r="E1428">
        <v>0.43537979999999998</v>
      </c>
      <c r="F1428" t="s">
        <v>55</v>
      </c>
      <c r="G1428">
        <v>-441.46839999999997</v>
      </c>
      <c r="H1428" s="1">
        <v>-8.8459999999999997E-7</v>
      </c>
      <c r="I1428">
        <v>217.57210000000001</v>
      </c>
      <c r="J1428">
        <v>-454.04480000000001</v>
      </c>
      <c r="K1428">
        <v>1.1118239999999999</v>
      </c>
      <c r="L1428">
        <v>214.78030000000001</v>
      </c>
      <c r="M1428">
        <v>0.99916570000000005</v>
      </c>
      <c r="N1428">
        <v>0</v>
      </c>
      <c r="O1428">
        <v>-3.7033610000000002E-2</v>
      </c>
      <c r="P1428">
        <v>0.9901295</v>
      </c>
      <c r="Q1428">
        <v>0.1318889</v>
      </c>
      <c r="R1428">
        <v>4.7422569999999997E-2</v>
      </c>
      <c r="S1428">
        <v>3.0347599999999999</v>
      </c>
      <c r="T1428">
        <v>-0.26373370000000002</v>
      </c>
      <c r="U1428">
        <v>0.66069029999999995</v>
      </c>
      <c r="V1428">
        <v>-8.4152249999999998E-2</v>
      </c>
      <c r="W1428">
        <v>0.14882319999999999</v>
      </c>
      <c r="X1428">
        <v>0.98527659999999995</v>
      </c>
      <c r="Y1428">
        <v>-0.2477433</v>
      </c>
      <c r="Z1428">
        <v>1.379946E-2</v>
      </c>
      <c r="AA1428">
        <v>0.96872740000000002</v>
      </c>
      <c r="AB1428">
        <v>21</v>
      </c>
      <c r="AC1428">
        <v>12.5764</v>
      </c>
      <c r="AD1428">
        <v>-1.1118248845999901</v>
      </c>
      <c r="AE1428">
        <v>2.7917999999999901</v>
      </c>
      <c r="AF1428">
        <v>-3.23163200772056</v>
      </c>
      <c r="AG1428">
        <v>-1.1118248845999901</v>
      </c>
      <c r="AH1428">
        <v>12.3722100026544</v>
      </c>
      <c r="AI1428">
        <v>94.969232904959199</v>
      </c>
      <c r="AJ1428">
        <v>104.638645381762</v>
      </c>
      <c r="AK1428">
        <v>12.8355436330964</v>
      </c>
      <c r="AL1428">
        <v>81.441264232901204</v>
      </c>
      <c r="AM1428">
        <v>94.881771918300402</v>
      </c>
      <c r="AN1428">
        <v>0.99999996227292998</v>
      </c>
    </row>
    <row r="1429" spans="1:40" x14ac:dyDescent="0.3">
      <c r="A1429" t="str">
        <f>"20200111150809495"</f>
        <v>20200111150809495</v>
      </c>
      <c r="B1429" t="str">
        <f>"1578726489483928"</f>
        <v>1578726489483928</v>
      </c>
      <c r="C1429" t="s">
        <v>40</v>
      </c>
      <c r="D1429">
        <v>5.4465659999999998</v>
      </c>
      <c r="E1429">
        <v>0.4384769</v>
      </c>
      <c r="F1429" t="s">
        <v>55</v>
      </c>
      <c r="G1429">
        <v>-445.26690000000002</v>
      </c>
      <c r="H1429" s="1">
        <v>1.1774909999999999E-6</v>
      </c>
      <c r="I1429">
        <v>216.6414</v>
      </c>
      <c r="J1429">
        <v>-453.84960000000001</v>
      </c>
      <c r="K1429">
        <v>1.1120730000000001</v>
      </c>
      <c r="L1429">
        <v>214.77369999999999</v>
      </c>
      <c r="M1429">
        <v>0.99915399999999999</v>
      </c>
      <c r="N1429">
        <v>0</v>
      </c>
      <c r="O1429">
        <v>-3.6551489999999999E-2</v>
      </c>
      <c r="P1429">
        <v>0.99029389999999995</v>
      </c>
      <c r="Q1429">
        <v>0.1307604</v>
      </c>
      <c r="R1429">
        <v>4.7113740000000001E-2</v>
      </c>
      <c r="S1429">
        <v>3.0503849999999999</v>
      </c>
      <c r="T1429">
        <v>-0.38636809999999999</v>
      </c>
      <c r="U1429">
        <v>0.64674379999999998</v>
      </c>
      <c r="V1429">
        <v>-8.3371280000000006E-2</v>
      </c>
      <c r="W1429">
        <v>0.14931269999999999</v>
      </c>
      <c r="X1429">
        <v>0.98526899999999995</v>
      </c>
      <c r="Y1429">
        <v>-0.24090829999999999</v>
      </c>
      <c r="Z1429">
        <v>1.959673E-2</v>
      </c>
      <c r="AA1429">
        <v>0.97035000000000005</v>
      </c>
      <c r="AB1429">
        <v>20</v>
      </c>
      <c r="AC1429">
        <v>8.5826999999999796</v>
      </c>
      <c r="AD1429">
        <v>-1.1120718225089901</v>
      </c>
      <c r="AE1429">
        <v>1.8677000000000099</v>
      </c>
      <c r="AF1429">
        <v>-2.1458209734629201</v>
      </c>
      <c r="AG1429">
        <v>-1.1120718225089901</v>
      </c>
      <c r="AH1429">
        <v>8.3744440484645803</v>
      </c>
      <c r="AI1429">
        <v>97.330142788496602</v>
      </c>
      <c r="AJ1429">
        <v>104.371942043967</v>
      </c>
      <c r="AK1429">
        <v>8.7162242117464892</v>
      </c>
      <c r="AL1429">
        <v>81.412901608899702</v>
      </c>
      <c r="AM1429">
        <v>94.836719976294802</v>
      </c>
      <c r="AN1429">
        <v>1.0000000275355601</v>
      </c>
    </row>
    <row r="1430" spans="1:40" x14ac:dyDescent="0.3">
      <c r="A1430" t="str">
        <f>"20200111150809518"</f>
        <v>20200111150809518</v>
      </c>
      <c r="B1430" t="str">
        <f>"1578726489513207"</f>
        <v>1578726489513207</v>
      </c>
      <c r="C1430" t="s">
        <v>40</v>
      </c>
      <c r="D1430">
        <v>5.9091870000000002</v>
      </c>
      <c r="E1430">
        <v>0.44309189999999998</v>
      </c>
      <c r="F1430" t="s">
        <v>58</v>
      </c>
      <c r="G1430">
        <v>-438.65559999999999</v>
      </c>
      <c r="H1430" s="1">
        <v>5.7683810000000002E-6</v>
      </c>
      <c r="I1430">
        <v>217.89959999999999</v>
      </c>
      <c r="J1430">
        <v>-453.64249999999998</v>
      </c>
      <c r="K1430">
        <v>1.1119460000000001</v>
      </c>
      <c r="L1430">
        <v>214.76679999999999</v>
      </c>
      <c r="M1430">
        <v>0.99917279999999997</v>
      </c>
      <c r="N1430">
        <v>0</v>
      </c>
      <c r="O1430">
        <v>-3.5914499999999898E-2</v>
      </c>
      <c r="P1430">
        <v>0.9902474</v>
      </c>
      <c r="Q1430">
        <v>0.1311205</v>
      </c>
      <c r="R1430">
        <v>4.7091859999999999E-2</v>
      </c>
      <c r="S1430">
        <v>3.0289920000000001</v>
      </c>
      <c r="T1430">
        <v>-0.22169610000000001</v>
      </c>
      <c r="U1430">
        <v>0.62315369999999903</v>
      </c>
      <c r="V1430">
        <v>-8.2732970000000003E-2</v>
      </c>
      <c r="W1430">
        <v>0.149893</v>
      </c>
      <c r="X1430">
        <v>0.98523470000000002</v>
      </c>
      <c r="Y1430">
        <v>-0.23586489999999999</v>
      </c>
      <c r="Z1430">
        <v>1.113158E-2</v>
      </c>
      <c r="AA1430">
        <v>0.97172210000000003</v>
      </c>
      <c r="AB1430">
        <v>20</v>
      </c>
      <c r="AC1430">
        <v>14.986899999999901</v>
      </c>
      <c r="AD1430">
        <v>-1.1119402316189999</v>
      </c>
      <c r="AE1430">
        <v>3.1328</v>
      </c>
      <c r="AF1430">
        <v>-3.64987261857685</v>
      </c>
      <c r="AG1430">
        <v>-1.1119402316189999</v>
      </c>
      <c r="AH1430">
        <v>14.7867049105094</v>
      </c>
      <c r="AI1430">
        <v>94.175610737317697</v>
      </c>
      <c r="AJ1430">
        <v>103.865429291368</v>
      </c>
      <c r="AK1430">
        <v>15.2710387112669</v>
      </c>
      <c r="AL1430">
        <v>81.379274498162999</v>
      </c>
      <c r="AM1430">
        <v>94.800028914821993</v>
      </c>
      <c r="AN1430">
        <v>1.0000000349290501</v>
      </c>
    </row>
    <row r="1431" spans="1:40" x14ac:dyDescent="0.3">
      <c r="A1431" t="str">
        <f>"20200111150809537"</f>
        <v>20200111150809537</v>
      </c>
      <c r="B1431" t="str">
        <f>"1578726489533703"</f>
        <v>1578726489533703</v>
      </c>
      <c r="C1431" t="s">
        <v>40</v>
      </c>
      <c r="D1431">
        <v>6.9081720000000004</v>
      </c>
      <c r="E1431">
        <v>0.44268030000000003</v>
      </c>
      <c r="F1431" t="s">
        <v>58</v>
      </c>
      <c r="G1431">
        <v>-435.82510000000002</v>
      </c>
      <c r="H1431" s="1">
        <v>4.4849149999999901E-6</v>
      </c>
      <c r="I1431">
        <v>218.22229999999999</v>
      </c>
      <c r="J1431">
        <v>-453.46379999999999</v>
      </c>
      <c r="K1431">
        <v>1.1116010000000001</v>
      </c>
      <c r="L1431">
        <v>214.761</v>
      </c>
      <c r="M1431">
        <v>0.99921059999999995</v>
      </c>
      <c r="N1431">
        <v>0</v>
      </c>
      <c r="O1431">
        <v>-3.5356039999999998E-2</v>
      </c>
      <c r="P1431">
        <v>0.99008240000000003</v>
      </c>
      <c r="Q1431">
        <v>0.1320616</v>
      </c>
      <c r="R1431">
        <v>4.7922699999999999E-2</v>
      </c>
      <c r="S1431">
        <v>3.0266419999999998</v>
      </c>
      <c r="T1431">
        <v>-0.18888460000000001</v>
      </c>
      <c r="U1431">
        <v>0.58699040000000002</v>
      </c>
      <c r="V1431">
        <v>-8.3027809999999994E-2</v>
      </c>
      <c r="W1431">
        <v>0.14987039999999999</v>
      </c>
      <c r="X1431">
        <v>0.98521329999999996</v>
      </c>
      <c r="Y1431">
        <v>-0.22450139999999999</v>
      </c>
      <c r="Z1431">
        <v>9.1199579999999992E-3</v>
      </c>
      <c r="AA1431">
        <v>0.97443109999999999</v>
      </c>
      <c r="AB1431">
        <v>20</v>
      </c>
      <c r="AC1431">
        <v>17.638699999999901</v>
      </c>
      <c r="AD1431">
        <v>-1.111596515085</v>
      </c>
      <c r="AE1431">
        <v>3.4612999999999898</v>
      </c>
      <c r="AF1431">
        <v>-4.0673175098193202</v>
      </c>
      <c r="AG1431">
        <v>-1.111596515085</v>
      </c>
      <c r="AH1431">
        <v>17.438580060508599</v>
      </c>
      <c r="AI1431">
        <v>93.552214499519494</v>
      </c>
      <c r="AJ1431">
        <v>103.128773395314</v>
      </c>
      <c r="AK1431">
        <v>17.941092304115699</v>
      </c>
      <c r="AL1431">
        <v>81.380583875873199</v>
      </c>
      <c r="AM1431">
        <v>94.817158827275193</v>
      </c>
      <c r="AN1431">
        <v>1.0000000002632199</v>
      </c>
    </row>
    <row r="1432" spans="1:40" x14ac:dyDescent="0.3">
      <c r="A1432" t="str">
        <f>"20200111150809561"</f>
        <v>20200111150809561</v>
      </c>
      <c r="B1432" t="str">
        <f>"1578726489553224"</f>
        <v>1578726489553224</v>
      </c>
      <c r="C1432" t="s">
        <v>40</v>
      </c>
      <c r="D1432">
        <v>5.2025079999999999</v>
      </c>
      <c r="E1432">
        <v>0.44537589999999999</v>
      </c>
      <c r="F1432" t="s">
        <v>58</v>
      </c>
      <c r="G1432">
        <v>-436.24130000000002</v>
      </c>
      <c r="H1432" s="1">
        <v>4.6774549999999999E-6</v>
      </c>
      <c r="I1432">
        <v>218.13120000000001</v>
      </c>
      <c r="J1432">
        <v>-453.25869999999998</v>
      </c>
      <c r="K1432">
        <v>1.1113170000000001</v>
      </c>
      <c r="L1432">
        <v>214.75460000000001</v>
      </c>
      <c r="M1432">
        <v>0.99924809999999997</v>
      </c>
      <c r="N1432">
        <v>0</v>
      </c>
      <c r="O1432">
        <v>-3.4739560000000003E-2</v>
      </c>
      <c r="P1432">
        <v>0.98996340000000005</v>
      </c>
      <c r="Q1432">
        <v>0.1327757</v>
      </c>
      <c r="R1432">
        <v>4.8405110000000001E-2</v>
      </c>
      <c r="S1432">
        <v>3.0274350000000001</v>
      </c>
      <c r="T1432">
        <v>-0.1954002</v>
      </c>
      <c r="U1432">
        <v>0.59242249999999996</v>
      </c>
      <c r="V1432">
        <v>-8.2911799999999994E-2</v>
      </c>
      <c r="W1432">
        <v>0.1496837</v>
      </c>
      <c r="X1432">
        <v>0.9852514</v>
      </c>
      <c r="Y1432">
        <v>-0.22550190000000001</v>
      </c>
      <c r="Z1432">
        <v>9.4224110000000003E-3</v>
      </c>
      <c r="AA1432">
        <v>0.97419710000000004</v>
      </c>
      <c r="AB1432">
        <v>20</v>
      </c>
      <c r="AC1432">
        <v>17.017399999999899</v>
      </c>
      <c r="AD1432">
        <v>-1.1113123225449999</v>
      </c>
      <c r="AE1432">
        <v>3.3765999999999901</v>
      </c>
      <c r="AF1432">
        <v>-3.94962008823091</v>
      </c>
      <c r="AG1432">
        <v>-1.1113123225449999</v>
      </c>
      <c r="AH1432">
        <v>16.820788354398498</v>
      </c>
      <c r="AI1432">
        <v>93.680110379903397</v>
      </c>
      <c r="AJ1432">
        <v>103.21401080771</v>
      </c>
      <c r="AK1432">
        <v>17.313966465921901</v>
      </c>
      <c r="AL1432">
        <v>81.391402594896505</v>
      </c>
      <c r="AM1432">
        <v>94.810274545558002</v>
      </c>
      <c r="AN1432">
        <v>0.99999994891344302</v>
      </c>
    </row>
    <row r="1433" spans="1:40" x14ac:dyDescent="0.3">
      <c r="A1433" t="str">
        <f>"20200111150809583"</f>
        <v>20200111150809583</v>
      </c>
      <c r="B1433" t="str">
        <f>"1578726489573720"</f>
        <v>1578726489573720</v>
      </c>
      <c r="C1433" t="s">
        <v>40</v>
      </c>
      <c r="D1433">
        <v>5.9241149999999996</v>
      </c>
      <c r="E1433">
        <v>0.44800899999999999</v>
      </c>
      <c r="F1433" t="s">
        <v>58</v>
      </c>
      <c r="G1433">
        <v>-435.79750000000001</v>
      </c>
      <c r="H1433" s="1">
        <v>4.4869909999999999E-6</v>
      </c>
      <c r="I1433">
        <v>218.059</v>
      </c>
      <c r="J1433">
        <v>-453.05599999999998</v>
      </c>
      <c r="K1433">
        <v>1.1112409999999999</v>
      </c>
      <c r="L1433">
        <v>214.7484</v>
      </c>
      <c r="M1433">
        <v>0.99927319999999997</v>
      </c>
      <c r="N1433">
        <v>0</v>
      </c>
      <c r="O1433">
        <v>-3.4130199999999999E-2</v>
      </c>
      <c r="P1433">
        <v>0.98979870000000003</v>
      </c>
      <c r="Q1433">
        <v>0.13364429999999999</v>
      </c>
      <c r="R1433">
        <v>4.9376160000000002E-2</v>
      </c>
      <c r="S1433">
        <v>3.0282290000000001</v>
      </c>
      <c r="T1433">
        <v>-0.1927316</v>
      </c>
      <c r="U1433">
        <v>0.57307430000000004</v>
      </c>
      <c r="V1433">
        <v>-8.3274379999999995E-2</v>
      </c>
      <c r="W1433">
        <v>0.1503168</v>
      </c>
      <c r="X1433">
        <v>0.98512449999999996</v>
      </c>
      <c r="Y1433">
        <v>-0.2188802</v>
      </c>
      <c r="Z1433">
        <v>9.0499570000000008E-3</v>
      </c>
      <c r="AA1433">
        <v>0.97570979999999996</v>
      </c>
      <c r="AB1433">
        <v>20</v>
      </c>
      <c r="AC1433">
        <v>17.258499999999898</v>
      </c>
      <c r="AD1433">
        <v>-1.1112365130089901</v>
      </c>
      <c r="AE1433">
        <v>3.31060000000002</v>
      </c>
      <c r="AF1433">
        <v>-3.882267798215</v>
      </c>
      <c r="AG1433">
        <v>-1.1112365130089901</v>
      </c>
      <c r="AH1433">
        <v>17.0671887770113</v>
      </c>
      <c r="AI1433">
        <v>93.632703528677197</v>
      </c>
      <c r="AJ1433">
        <v>102.81499536995599</v>
      </c>
      <c r="AK1433">
        <v>17.538408781729299</v>
      </c>
      <c r="AL1433">
        <v>81.354714166091497</v>
      </c>
      <c r="AM1433">
        <v>94.831830304961997</v>
      </c>
      <c r="AN1433">
        <v>1.0000000216134299</v>
      </c>
    </row>
    <row r="1434" spans="1:40" x14ac:dyDescent="0.3">
      <c r="A1434" t="str">
        <f>"20200111150809605"</f>
        <v>20200111150809605</v>
      </c>
      <c r="B1434" t="str">
        <f>"1578726489603976"</f>
        <v>1578726489603976</v>
      </c>
      <c r="C1434" t="s">
        <v>40</v>
      </c>
      <c r="D1434">
        <v>5.0364550000000001</v>
      </c>
      <c r="E1434">
        <v>0.44943050000000001</v>
      </c>
      <c r="F1434" t="s">
        <v>58</v>
      </c>
      <c r="G1434">
        <v>-435.30259999999998</v>
      </c>
      <c r="H1434" s="1">
        <v>4.2722959999999996E-6</v>
      </c>
      <c r="I1434">
        <v>218.0043</v>
      </c>
      <c r="J1434">
        <v>-452.85590000000002</v>
      </c>
      <c r="K1434">
        <v>1.1111839999999999</v>
      </c>
      <c r="L1434">
        <v>214.7424</v>
      </c>
      <c r="M1434">
        <v>0.99929860000000004</v>
      </c>
      <c r="N1434">
        <v>0</v>
      </c>
      <c r="O1434">
        <v>-3.3461159999999997E-2</v>
      </c>
      <c r="P1434">
        <v>0.98966149999999997</v>
      </c>
      <c r="Q1434">
        <v>0.134131</v>
      </c>
      <c r="R1434">
        <v>5.0788519999999997E-2</v>
      </c>
      <c r="S1434">
        <v>3.0288390000000001</v>
      </c>
      <c r="T1434">
        <v>-0.18958439999999999</v>
      </c>
      <c r="U1434">
        <v>0.555481</v>
      </c>
      <c r="V1434">
        <v>-8.4009879999999995E-2</v>
      </c>
      <c r="W1434">
        <v>0.15065010000000001</v>
      </c>
      <c r="X1434">
        <v>0.98501110000000003</v>
      </c>
      <c r="Y1434">
        <v>-0.2127378</v>
      </c>
      <c r="Z1434">
        <v>8.6733169999999998E-3</v>
      </c>
      <c r="AA1434">
        <v>0.97707089999999996</v>
      </c>
      <c r="AB1434">
        <v>20</v>
      </c>
      <c r="AC1434">
        <v>17.5533</v>
      </c>
      <c r="AD1434">
        <v>-1.1111797277040001</v>
      </c>
      <c r="AE1434">
        <v>3.26189999999999</v>
      </c>
      <c r="AF1434">
        <v>-3.8326637447642802</v>
      </c>
      <c r="AG1434">
        <v>-1.1111797277040001</v>
      </c>
      <c r="AH1434">
        <v>17.367033563113502</v>
      </c>
      <c r="AI1434">
        <v>93.575123282211294</v>
      </c>
      <c r="AJ1434">
        <v>102.444911600168</v>
      </c>
      <c r="AK1434">
        <v>17.819592771721901</v>
      </c>
      <c r="AL1434">
        <v>81.335397237917704</v>
      </c>
      <c r="AM1434">
        <v>94.874859966707106</v>
      </c>
      <c r="AN1434">
        <v>0.99999998984541705</v>
      </c>
    </row>
    <row r="1435" spans="1:40" x14ac:dyDescent="0.3">
      <c r="A1435" t="str">
        <f>"20200111150809627"</f>
        <v>20200111150809627</v>
      </c>
      <c r="B1435" t="str">
        <f>"1578726489623495"</f>
        <v>1578726489623495</v>
      </c>
      <c r="C1435" t="s">
        <v>40</v>
      </c>
      <c r="D1435">
        <v>5.2171709999999996</v>
      </c>
      <c r="E1435">
        <v>0.45069769999999998</v>
      </c>
      <c r="F1435" t="s">
        <v>58</v>
      </c>
      <c r="G1435">
        <v>-432.47089999999997</v>
      </c>
      <c r="H1435" s="1">
        <v>2.979024E-6</v>
      </c>
      <c r="I1435">
        <v>218.43340000000001</v>
      </c>
      <c r="J1435">
        <v>-452.65929999999997</v>
      </c>
      <c r="K1435">
        <v>1.111076</v>
      </c>
      <c r="L1435">
        <v>214.73660000000001</v>
      </c>
      <c r="M1435">
        <v>0.99932920000000003</v>
      </c>
      <c r="N1435">
        <v>0</v>
      </c>
      <c r="O1435">
        <v>-3.2742229999999997E-2</v>
      </c>
      <c r="P1435">
        <v>0.98956540000000004</v>
      </c>
      <c r="Q1435">
        <v>0.13448499999999999</v>
      </c>
      <c r="R1435">
        <v>5.1714980000000001E-2</v>
      </c>
      <c r="S1435">
        <v>3.0255740000000002</v>
      </c>
      <c r="T1435">
        <v>-0.16492319999999999</v>
      </c>
      <c r="U1435">
        <v>0.547821</v>
      </c>
      <c r="V1435">
        <v>-8.4212499999999996E-2</v>
      </c>
      <c r="W1435">
        <v>0.15059919999999999</v>
      </c>
      <c r="X1435">
        <v>0.98500160000000003</v>
      </c>
      <c r="Y1435">
        <v>-0.2099444</v>
      </c>
      <c r="Z1435">
        <v>7.4421490000000003E-3</v>
      </c>
      <c r="AA1435">
        <v>0.97768500000000003</v>
      </c>
      <c r="AB1435">
        <v>20</v>
      </c>
      <c r="AC1435">
        <v>20.188400000000001</v>
      </c>
      <c r="AD1435">
        <v>-1.111073020976</v>
      </c>
      <c r="AE1435">
        <v>3.6967999999999899</v>
      </c>
      <c r="AF1435">
        <v>-4.3431913486659104</v>
      </c>
      <c r="AG1435">
        <v>-1.111073020976</v>
      </c>
      <c r="AH1435">
        <v>19.997908848198598</v>
      </c>
      <c r="AI1435">
        <v>93.107751212409894</v>
      </c>
      <c r="AJ1435">
        <v>102.25333721486599</v>
      </c>
      <c r="AK1435">
        <v>20.494246818312899</v>
      </c>
      <c r="AL1435">
        <v>81.338347409064596</v>
      </c>
      <c r="AM1435">
        <v>94.886607479931101</v>
      </c>
      <c r="AN1435">
        <v>1.00000000809972</v>
      </c>
    </row>
    <row r="1436" spans="1:40" x14ac:dyDescent="0.3">
      <c r="A1436" t="str">
        <f>"20200111150809648"</f>
        <v>20200111150809648</v>
      </c>
      <c r="B1436" t="str">
        <f>"1578726489643991"</f>
        <v>1578726489643991</v>
      </c>
      <c r="C1436" t="s">
        <v>40</v>
      </c>
      <c r="D1436">
        <v>9.089461</v>
      </c>
      <c r="E1436">
        <v>0.39105089999999998</v>
      </c>
      <c r="F1436" t="s">
        <v>58</v>
      </c>
      <c r="G1436">
        <v>-428.44310000000002</v>
      </c>
      <c r="H1436" s="1">
        <v>2.0772889999999999E-6</v>
      </c>
      <c r="I1436">
        <v>219.07329999999999</v>
      </c>
      <c r="J1436">
        <v>-452.46690000000001</v>
      </c>
      <c r="K1436">
        <v>1.1109659999999999</v>
      </c>
      <c r="L1436">
        <v>214.73099999999999</v>
      </c>
      <c r="M1436">
        <v>0.99936020000000003</v>
      </c>
      <c r="N1436">
        <v>0</v>
      </c>
      <c r="O1436">
        <v>-3.2049069999999999E-2</v>
      </c>
      <c r="P1436">
        <v>0.98958539999999995</v>
      </c>
      <c r="Q1436">
        <v>0.1346743</v>
      </c>
      <c r="R1436">
        <v>5.0828159999999997E-2</v>
      </c>
      <c r="S1436">
        <v>3.022186</v>
      </c>
      <c r="T1436">
        <v>-0.13866229999999999</v>
      </c>
      <c r="U1436">
        <v>0.54122919999999997</v>
      </c>
      <c r="V1436">
        <v>-8.2636520000000005E-2</v>
      </c>
      <c r="W1436">
        <v>0.1502744</v>
      </c>
      <c r="X1436">
        <v>0.98518470000000002</v>
      </c>
      <c r="Y1436">
        <v>-0.20749690000000001</v>
      </c>
      <c r="Z1436">
        <v>6.179281E-3</v>
      </c>
      <c r="AA1436">
        <v>0.97821619999999998</v>
      </c>
      <c r="AB1436">
        <v>20</v>
      </c>
      <c r="AC1436">
        <v>24.023799999999898</v>
      </c>
      <c r="AD1436">
        <v>-1.110963922711</v>
      </c>
      <c r="AE1436">
        <v>4.3422999999999901</v>
      </c>
      <c r="AF1436">
        <v>-5.0995457382935996</v>
      </c>
      <c r="AG1436">
        <v>-1.110963922711</v>
      </c>
      <c r="AH1436">
        <v>23.822937142393499</v>
      </c>
      <c r="AI1436">
        <v>92.610944683995399</v>
      </c>
      <c r="AJ1436">
        <v>102.08240976553</v>
      </c>
      <c r="AK1436">
        <v>24.3879466471646</v>
      </c>
      <c r="AL1436">
        <v>81.357171591292996</v>
      </c>
      <c r="AM1436">
        <v>94.794701341037097</v>
      </c>
      <c r="AN1436">
        <v>1.0000000414235699</v>
      </c>
    </row>
    <row r="1437" spans="1:40" x14ac:dyDescent="0.3">
      <c r="A1437" t="str">
        <f>"20200111150809672"</f>
        <v>20200111150809672</v>
      </c>
      <c r="B1437" t="str">
        <f>"1578726489663756"</f>
        <v>1578726489663756</v>
      </c>
      <c r="C1437" t="s">
        <v>40</v>
      </c>
      <c r="D1437">
        <v>5.6119000000000003</v>
      </c>
      <c r="E1437">
        <v>0.45955800000000002</v>
      </c>
      <c r="F1437" t="s">
        <v>56</v>
      </c>
      <c r="G1437">
        <v>-396.52269999999999</v>
      </c>
      <c r="H1437">
        <v>7.3162520000000004</v>
      </c>
      <c r="I1437">
        <v>234.16669999999999</v>
      </c>
      <c r="J1437">
        <v>-452.25119999999998</v>
      </c>
      <c r="K1437">
        <v>1.1109039999999999</v>
      </c>
      <c r="L1437">
        <v>214.72489999999999</v>
      </c>
      <c r="M1437">
        <v>0.99939069999999997</v>
      </c>
      <c r="N1437">
        <v>0</v>
      </c>
      <c r="O1437">
        <v>-3.1329339999999997E-2</v>
      </c>
      <c r="P1437">
        <v>0.98961120000000002</v>
      </c>
      <c r="Q1437">
        <v>0.13478189999999901</v>
      </c>
      <c r="R1437">
        <v>5.0035589999999998E-2</v>
      </c>
      <c r="S1437">
        <v>2.9349059999999998</v>
      </c>
      <c r="T1437">
        <v>0.3255402</v>
      </c>
      <c r="U1437">
        <v>1.0196229999999999</v>
      </c>
      <c r="V1437">
        <v>-8.1134490000000004E-2</v>
      </c>
      <c r="W1437">
        <v>0.14990239999999999</v>
      </c>
      <c r="X1437">
        <v>0.98536619999999997</v>
      </c>
      <c r="Y1437">
        <v>-0.35548540000000001</v>
      </c>
      <c r="Z1437">
        <v>-2.2471040000000001E-2</v>
      </c>
      <c r="AA1437">
        <v>0.93441169999999996</v>
      </c>
      <c r="AB1437">
        <v>20</v>
      </c>
      <c r="AC1437">
        <v>55.728499999999997</v>
      </c>
      <c r="AD1437">
        <v>6.2053479999999999</v>
      </c>
      <c r="AE1437">
        <v>19.441800000000001</v>
      </c>
      <c r="AF1437">
        <v>-20.9468627571162</v>
      </c>
      <c r="AG1437">
        <v>6.2053479999999999</v>
      </c>
      <c r="AH1437">
        <v>54.489667592619703</v>
      </c>
      <c r="AI1437">
        <v>83.932386495230503</v>
      </c>
      <c r="AJ1437">
        <v>111.02770766748</v>
      </c>
      <c r="AK1437">
        <v>58.706058269319698</v>
      </c>
      <c r="AL1437">
        <v>81.378729820670202</v>
      </c>
      <c r="AM1437">
        <v>94.707083252794007</v>
      </c>
      <c r="AN1437">
        <v>1.00000004154787</v>
      </c>
    </row>
    <row r="1438" spans="1:40" x14ac:dyDescent="0.3">
      <c r="A1438" t="str">
        <f>"20200111150809694"</f>
        <v>20200111150809694</v>
      </c>
      <c r="B1438" t="str">
        <f>"1578726489683278"</f>
        <v>1578726489683278</v>
      </c>
      <c r="C1438" t="s">
        <v>40</v>
      </c>
      <c r="D1438">
        <v>6.1024890000000003</v>
      </c>
      <c r="E1438">
        <v>0.45518649999999999</v>
      </c>
      <c r="F1438" t="s">
        <v>69</v>
      </c>
      <c r="G1438">
        <v>-346.19260000000003</v>
      </c>
      <c r="H1438">
        <v>5.4508869999999998</v>
      </c>
      <c r="I1438">
        <v>231.36429999999999</v>
      </c>
      <c r="J1438">
        <v>-452.05549999999999</v>
      </c>
      <c r="K1438">
        <v>1.1108979999999999</v>
      </c>
      <c r="L1438">
        <v>214.71950000000001</v>
      </c>
      <c r="M1438">
        <v>0.99941440000000004</v>
      </c>
      <c r="N1438">
        <v>0</v>
      </c>
      <c r="O1438">
        <v>-3.0716879999999998E-2</v>
      </c>
      <c r="P1438">
        <v>0.98964960000000002</v>
      </c>
      <c r="Q1438">
        <v>0.13466600000000001</v>
      </c>
      <c r="R1438">
        <v>4.9582920000000003E-2</v>
      </c>
      <c r="S1438">
        <v>2.9910890000000001</v>
      </c>
      <c r="T1438">
        <v>0.12239849999999999</v>
      </c>
      <c r="U1438">
        <v>0.46926879999999999</v>
      </c>
      <c r="V1438">
        <v>-8.0080639999999995E-2</v>
      </c>
      <c r="W1438">
        <v>0.14947249999999901</v>
      </c>
      <c r="X1438">
        <v>0.98551770000000005</v>
      </c>
      <c r="Y1438">
        <v>-0.1850926</v>
      </c>
      <c r="Z1438">
        <v>-5.0120800000000004E-3</v>
      </c>
      <c r="AA1438">
        <v>0.98270829999999998</v>
      </c>
      <c r="AB1438">
        <v>20</v>
      </c>
      <c r="AC1438">
        <v>105.862899999999</v>
      </c>
      <c r="AD1438">
        <v>4.3399890000000001</v>
      </c>
      <c r="AE1438">
        <v>16.644799999999901</v>
      </c>
      <c r="AF1438">
        <v>-19.856523919301502</v>
      </c>
      <c r="AG1438">
        <v>4.3399890000000001</v>
      </c>
      <c r="AH1438">
        <v>105.12917239868</v>
      </c>
      <c r="AI1438">
        <v>87.677058395396699</v>
      </c>
      <c r="AJ1438">
        <v>100.69587471128</v>
      </c>
      <c r="AK1438">
        <v>107.07595405089501</v>
      </c>
      <c r="AL1438">
        <v>81.403641912678594</v>
      </c>
      <c r="AM1438">
        <v>94.645501600036397</v>
      </c>
      <c r="AN1438">
        <v>1.0000000370861699</v>
      </c>
    </row>
    <row r="1439" spans="1:40" x14ac:dyDescent="0.3">
      <c r="A1439" t="str">
        <f>"20200111150809716"</f>
        <v>20200111150809716</v>
      </c>
      <c r="B1439" t="str">
        <f>"1578726489713532"</f>
        <v>1578726489713532</v>
      </c>
      <c r="C1439" t="s">
        <v>40</v>
      </c>
      <c r="D1439">
        <v>4.9594569999999996</v>
      </c>
      <c r="E1439">
        <v>0.45084400000000002</v>
      </c>
      <c r="F1439" t="s">
        <v>69</v>
      </c>
      <c r="G1439">
        <v>-345.98750000000001</v>
      </c>
      <c r="H1439">
        <v>3.707897</v>
      </c>
      <c r="I1439">
        <v>232.4846</v>
      </c>
      <c r="J1439">
        <v>-451.86040000000003</v>
      </c>
      <c r="K1439">
        <v>1.1108979999999999</v>
      </c>
      <c r="L1439">
        <v>214.71420000000001</v>
      </c>
      <c r="M1439">
        <v>0.99943689999999996</v>
      </c>
      <c r="N1439">
        <v>0</v>
      </c>
      <c r="O1439">
        <v>-3.0116420000000001E-2</v>
      </c>
      <c r="P1439">
        <v>0.98976189999999997</v>
      </c>
      <c r="Q1439">
        <v>0.13422120000000001</v>
      </c>
      <c r="R1439">
        <v>4.854232E-2</v>
      </c>
      <c r="S1439">
        <v>2.996216</v>
      </c>
      <c r="T1439">
        <v>7.336152E-2</v>
      </c>
      <c r="U1439">
        <v>0.50183109999999997</v>
      </c>
      <c r="V1439">
        <v>-7.8453750000000003E-2</v>
      </c>
      <c r="W1439">
        <v>0.14875579999999999</v>
      </c>
      <c r="X1439">
        <v>0.98575690000000005</v>
      </c>
      <c r="Y1439">
        <v>-0.1947527</v>
      </c>
      <c r="Z1439">
        <v>-3.1000369999999999E-3</v>
      </c>
      <c r="AA1439">
        <v>0.98084749999999998</v>
      </c>
      <c r="AB1439">
        <v>20</v>
      </c>
      <c r="AC1439">
        <v>105.8729</v>
      </c>
      <c r="AD1439">
        <v>2.5969989999999998</v>
      </c>
      <c r="AE1439">
        <v>17.770399999999899</v>
      </c>
      <c r="AF1439">
        <v>-20.938945704803299</v>
      </c>
      <c r="AG1439">
        <v>2.5969989999999998</v>
      </c>
      <c r="AH1439">
        <v>105.22804591491899</v>
      </c>
      <c r="AI1439">
        <v>88.613416895138997</v>
      </c>
      <c r="AJ1439">
        <v>101.254077988342</v>
      </c>
      <c r="AK1439">
        <v>107.32253024461799</v>
      </c>
      <c r="AL1439">
        <v>81.445169525222497</v>
      </c>
      <c r="AM1439">
        <v>94.550426041806304</v>
      </c>
      <c r="AN1439">
        <v>0.99999997241015504</v>
      </c>
    </row>
    <row r="1440" spans="1:40" x14ac:dyDescent="0.3">
      <c r="A1440" t="str">
        <f>"20200111150809783"</f>
        <v>20200111150809783</v>
      </c>
      <c r="B1440" t="str">
        <f>"1578726489774044"</f>
        <v>1578726489774044</v>
      </c>
      <c r="C1440" t="s">
        <v>40</v>
      </c>
      <c r="D1440">
        <v>7.3614059999999997</v>
      </c>
      <c r="E1440">
        <v>0.45169730000000002</v>
      </c>
      <c r="F1440" t="s">
        <v>56</v>
      </c>
      <c r="G1440">
        <v>-353.74590000000001</v>
      </c>
      <c r="H1440">
        <v>6.5083690000000001</v>
      </c>
      <c r="I1440">
        <v>232.2921</v>
      </c>
      <c r="J1440">
        <v>-451.26299999999998</v>
      </c>
      <c r="K1440">
        <v>1.110886</v>
      </c>
      <c r="L1440">
        <v>214.69890000000001</v>
      </c>
      <c r="M1440">
        <v>0.99950190000000005</v>
      </c>
      <c r="N1440">
        <v>0</v>
      </c>
      <c r="O1440">
        <v>-2.8247649999999999E-2</v>
      </c>
      <c r="P1440">
        <v>0.98975860000000004</v>
      </c>
      <c r="Q1440">
        <v>0.13406499999999999</v>
      </c>
      <c r="R1440">
        <v>4.903735E-2</v>
      </c>
      <c r="S1440">
        <v>2.9825740000000001</v>
      </c>
      <c r="T1440">
        <v>0.16407920000000001</v>
      </c>
      <c r="U1440">
        <v>0.53434749999999998</v>
      </c>
      <c r="V1440">
        <v>-7.709916E-2</v>
      </c>
      <c r="W1440">
        <v>0.14789849999999999</v>
      </c>
      <c r="X1440">
        <v>0.9859928</v>
      </c>
      <c r="Y1440">
        <v>-0.2037457</v>
      </c>
      <c r="Z1440">
        <v>-7.0974580000000001E-3</v>
      </c>
      <c r="AA1440">
        <v>0.97899809999999998</v>
      </c>
      <c r="AB1440">
        <v>20</v>
      </c>
      <c r="AC1440">
        <v>97.517099999999999</v>
      </c>
      <c r="AD1440">
        <v>5.3974830000000003</v>
      </c>
      <c r="AE1440">
        <v>17.5931999999999</v>
      </c>
      <c r="AF1440">
        <v>-20.280907333650699</v>
      </c>
      <c r="AG1440">
        <v>5.3974830000000003</v>
      </c>
      <c r="AH1440">
        <v>96.694275508033996</v>
      </c>
      <c r="AI1440">
        <v>86.872962630355204</v>
      </c>
      <c r="AJ1440">
        <v>101.845652565693</v>
      </c>
      <c r="AK1440">
        <v>98.945595864773097</v>
      </c>
      <c r="AL1440">
        <v>81.494839066142603</v>
      </c>
      <c r="AM1440">
        <v>94.471113820764799</v>
      </c>
      <c r="AN1440">
        <v>1.00000002421339</v>
      </c>
    </row>
    <row r="1441" spans="1:40" x14ac:dyDescent="0.3">
      <c r="A1441" t="str">
        <f>"20200111150810444"</f>
        <v>20200111150810444</v>
      </c>
      <c r="B1441" t="str">
        <f>"1578726490433820"</f>
        <v>1578726490433820</v>
      </c>
      <c r="C1441" t="s">
        <v>40</v>
      </c>
      <c r="D1441">
        <v>5.1311019999999896</v>
      </c>
      <c r="E1441">
        <v>0.56158619999999904</v>
      </c>
      <c r="F1441" t="s">
        <v>69</v>
      </c>
      <c r="G1441">
        <v>-345.21820000000002</v>
      </c>
      <c r="H1441">
        <v>6.7369960000000004</v>
      </c>
      <c r="I1441">
        <v>233.50819999999999</v>
      </c>
      <c r="J1441">
        <v>-445.44150000000002</v>
      </c>
      <c r="K1441">
        <v>1.110787</v>
      </c>
      <c r="L1441">
        <v>214.60839999999999</v>
      </c>
      <c r="M1441">
        <v>0.99987210000000004</v>
      </c>
      <c r="N1441">
        <v>0</v>
      </c>
      <c r="O1441">
        <v>-9.8593699999999992E-3</v>
      </c>
      <c r="P1441">
        <v>0.98923950000000005</v>
      </c>
      <c r="Q1441">
        <v>0.13176479999999999</v>
      </c>
      <c r="R1441">
        <v>6.3587539999999998E-2</v>
      </c>
      <c r="S1441">
        <v>2.9834290000000001</v>
      </c>
      <c r="T1441">
        <v>0.15828429999999999</v>
      </c>
      <c r="U1441">
        <v>0.52917479999999995</v>
      </c>
      <c r="V1441">
        <v>-7.3448959999999994E-2</v>
      </c>
      <c r="W1441">
        <v>0.14415159999999999</v>
      </c>
      <c r="X1441">
        <v>0.98682599999999998</v>
      </c>
      <c r="Y1441">
        <v>-0.18408089999999999</v>
      </c>
      <c r="Z1441">
        <v>-5.360844E-3</v>
      </c>
      <c r="AA1441">
        <v>0.9828964</v>
      </c>
      <c r="AB1441">
        <v>20</v>
      </c>
      <c r="AC1441">
        <v>100.22329999999999</v>
      </c>
      <c r="AD1441">
        <v>5.6262089999999896</v>
      </c>
      <c r="AE1441">
        <v>18.899799999999999</v>
      </c>
      <c r="AF1441">
        <v>-19.8267630447098</v>
      </c>
      <c r="AG1441">
        <v>5.6262089999999896</v>
      </c>
      <c r="AH1441">
        <v>99.728587321062705</v>
      </c>
      <c r="AI1441">
        <v>86.832921217874699</v>
      </c>
      <c r="AJ1441">
        <v>101.244204590531</v>
      </c>
      <c r="AK1441">
        <v>101.83587722211399</v>
      </c>
      <c r="AL1441">
        <v>81.711846630787903</v>
      </c>
      <c r="AM1441">
        <v>94.256647211319205</v>
      </c>
      <c r="AN1441">
        <v>0.99999999389182004</v>
      </c>
    </row>
    <row r="1442" spans="1:40" x14ac:dyDescent="0.3">
      <c r="A1442" t="str">
        <f>"20200111150810467"</f>
        <v>20200111150810467</v>
      </c>
      <c r="B1442" t="str">
        <f>"1578726490464076"</f>
        <v>1578726490464076</v>
      </c>
      <c r="C1442" t="s">
        <v>40</v>
      </c>
      <c r="D1442">
        <v>5.0063490000000002</v>
      </c>
      <c r="E1442">
        <v>0.54668919999999999</v>
      </c>
      <c r="F1442" t="s">
        <v>41</v>
      </c>
      <c r="G1442">
        <v>-444.59120000000001</v>
      </c>
      <c r="H1442">
        <v>1.015018</v>
      </c>
      <c r="I1442">
        <v>214.52440000000001</v>
      </c>
      <c r="J1442">
        <v>-445.25099999999998</v>
      </c>
      <c r="K1442">
        <v>1.1107659999999999</v>
      </c>
      <c r="L1442">
        <v>214.60730000000001</v>
      </c>
      <c r="M1442">
        <v>0.99987910000000002</v>
      </c>
      <c r="N1442">
        <v>0</v>
      </c>
      <c r="O1442">
        <v>-9.2407849999999996E-3</v>
      </c>
      <c r="P1442">
        <v>0.98924880000000004</v>
      </c>
      <c r="Q1442">
        <v>0.131577</v>
      </c>
      <c r="R1442">
        <v>6.3831020000000002E-2</v>
      </c>
      <c r="S1442">
        <v>3.0987239999999998</v>
      </c>
      <c r="T1442">
        <v>-0.3491843</v>
      </c>
      <c r="U1442">
        <v>-0.3051758</v>
      </c>
      <c r="V1442">
        <v>-7.3078630000000006E-2</v>
      </c>
      <c r="W1442">
        <v>0.1438873</v>
      </c>
      <c r="X1442">
        <v>0.98689199999999999</v>
      </c>
      <c r="Y1442">
        <v>8.8313429999999998E-2</v>
      </c>
      <c r="Z1442">
        <v>-3.9128119999999999E-3</v>
      </c>
      <c r="AA1442">
        <v>0.996085</v>
      </c>
      <c r="AB1442">
        <v>20</v>
      </c>
      <c r="AC1442">
        <v>0.65979999999996097</v>
      </c>
      <c r="AD1442">
        <v>-9.5747999999999903E-2</v>
      </c>
      <c r="AE1442">
        <v>-8.2899999999995005E-2</v>
      </c>
      <c r="AF1442">
        <v>7.52390879870872E-2</v>
      </c>
      <c r="AG1442">
        <v>-9.5747999999999903E-2</v>
      </c>
      <c r="AH1442">
        <v>0.64712208241900804</v>
      </c>
      <c r="AI1442">
        <v>98.360886537876894</v>
      </c>
      <c r="AJ1442">
        <v>83.368155054830794</v>
      </c>
      <c r="AK1442">
        <v>0.65847975627155098</v>
      </c>
      <c r="AL1442">
        <v>81.727148911014396</v>
      </c>
      <c r="AM1442">
        <v>94.234981257842705</v>
      </c>
      <c r="AN1442">
        <v>0.99999993046398095</v>
      </c>
    </row>
    <row r="1443" spans="1:40" x14ac:dyDescent="0.3">
      <c r="A1443" t="str">
        <f>"20200111150810490"</f>
        <v>20200111150810490</v>
      </c>
      <c r="B1443" t="str">
        <f>"1578726490483596"</f>
        <v>1578726490483596</v>
      </c>
      <c r="C1443" t="s">
        <v>40</v>
      </c>
      <c r="D1443">
        <v>6.449058</v>
      </c>
      <c r="E1443">
        <v>0.55076029999999998</v>
      </c>
      <c r="F1443" t="s">
        <v>41</v>
      </c>
      <c r="G1443">
        <v>-444.40989999999999</v>
      </c>
      <c r="H1443">
        <v>1.027679</v>
      </c>
      <c r="I1443">
        <v>214.55629999999999</v>
      </c>
      <c r="J1443">
        <v>-445.0419</v>
      </c>
      <c r="K1443">
        <v>1.1107450000000001</v>
      </c>
      <c r="L1443">
        <v>214.6061</v>
      </c>
      <c r="M1443">
        <v>0.99988630000000001</v>
      </c>
      <c r="N1443">
        <v>0</v>
      </c>
      <c r="O1443">
        <v>-8.5634649999999993E-3</v>
      </c>
      <c r="P1443">
        <v>0.98926480000000006</v>
      </c>
      <c r="Q1443">
        <v>0.131123499999999</v>
      </c>
      <c r="R1443">
        <v>6.4515099999999895E-2</v>
      </c>
      <c r="S1443">
        <v>3.085175</v>
      </c>
      <c r="T1443">
        <v>-0.30510809999999999</v>
      </c>
      <c r="U1443">
        <v>-0.1853485</v>
      </c>
      <c r="V1443">
        <v>-7.3091489999999995E-2</v>
      </c>
      <c r="W1443">
        <v>0.1433451</v>
      </c>
      <c r="X1443">
        <v>0.98697000000000001</v>
      </c>
      <c r="Y1443">
        <v>5.1210850000000002E-2</v>
      </c>
      <c r="Z1443">
        <v>-1.679757E-3</v>
      </c>
      <c r="AA1443">
        <v>0.99868639999999997</v>
      </c>
      <c r="AB1443">
        <v>20</v>
      </c>
      <c r="AC1443">
        <v>0.632000000000005</v>
      </c>
      <c r="AD1443">
        <v>-8.3066000000000001E-2</v>
      </c>
      <c r="AE1443">
        <v>-4.9800000000004702E-2</v>
      </c>
      <c r="AF1443">
        <v>4.3636487868927397E-2</v>
      </c>
      <c r="AG1443">
        <v>-8.3066000000000001E-2</v>
      </c>
      <c r="AH1443">
        <v>0.62172935556375797</v>
      </c>
      <c r="AI1443">
        <v>97.591466335264499</v>
      </c>
      <c r="AJ1443">
        <v>85.985241283373796</v>
      </c>
      <c r="AK1443">
        <v>0.62876982672458204</v>
      </c>
      <c r="AL1443">
        <v>81.758540533083604</v>
      </c>
      <c r="AM1443">
        <v>94.2353902658175</v>
      </c>
      <c r="AN1443">
        <v>0.99999998225221498</v>
      </c>
    </row>
    <row r="1444" spans="1:40" x14ac:dyDescent="0.3">
      <c r="A1444" t="str">
        <f>"20200111150810511"</f>
        <v>20200111150810511</v>
      </c>
      <c r="B1444" t="str">
        <f>"1578726490504092"</f>
        <v>1578726490504092</v>
      </c>
      <c r="C1444" t="s">
        <v>40</v>
      </c>
      <c r="D1444">
        <v>5.1048739999999997</v>
      </c>
      <c r="E1444">
        <v>0.55348850000000005</v>
      </c>
      <c r="F1444" t="s">
        <v>41</v>
      </c>
      <c r="G1444">
        <v>-444.22930000000002</v>
      </c>
      <c r="H1444">
        <v>1.039914</v>
      </c>
      <c r="I1444">
        <v>214.5489</v>
      </c>
      <c r="J1444">
        <v>-444.85180000000003</v>
      </c>
      <c r="K1444">
        <v>1.1107260000000001</v>
      </c>
      <c r="L1444">
        <v>214.6052</v>
      </c>
      <c r="M1444">
        <v>0.99989229999999996</v>
      </c>
      <c r="N1444">
        <v>0</v>
      </c>
      <c r="O1444">
        <v>-7.9523049999999998E-3</v>
      </c>
      <c r="P1444">
        <v>0.98936000000000002</v>
      </c>
      <c r="Q1444">
        <v>0.13041259999999999</v>
      </c>
      <c r="R1444">
        <v>6.4495440000000001E-2</v>
      </c>
      <c r="S1444">
        <v>3.082306</v>
      </c>
      <c r="T1444">
        <v>-0.26880290000000001</v>
      </c>
      <c r="U1444">
        <v>-0.2162781</v>
      </c>
      <c r="V1444">
        <v>-7.2467329999999996E-2</v>
      </c>
      <c r="W1444">
        <v>0.14255419999999999</v>
      </c>
      <c r="X1444">
        <v>0.98713059999999997</v>
      </c>
      <c r="Y1444">
        <v>6.1856349999999997E-2</v>
      </c>
      <c r="Z1444">
        <v>-1.9974530000000002E-3</v>
      </c>
      <c r="AA1444">
        <v>0.9980831</v>
      </c>
      <c r="AB1444">
        <v>20</v>
      </c>
      <c r="AC1444">
        <v>0.62250000000000205</v>
      </c>
      <c r="AD1444">
        <v>-7.0812000000000097E-2</v>
      </c>
      <c r="AE1444">
        <v>-5.6299999999993099E-2</v>
      </c>
      <c r="AF1444">
        <v>5.0696837341175902E-2</v>
      </c>
      <c r="AG1444">
        <v>-7.0812000000000097E-2</v>
      </c>
      <c r="AH1444">
        <v>0.61503407844935598</v>
      </c>
      <c r="AI1444">
        <v>96.545828153924603</v>
      </c>
      <c r="AJ1444">
        <v>85.287801403854601</v>
      </c>
      <c r="AK1444">
        <v>0.62116940226837203</v>
      </c>
      <c r="AL1444">
        <v>81.804326277692397</v>
      </c>
      <c r="AM1444">
        <v>94.198671601591002</v>
      </c>
      <c r="AN1444">
        <v>1.00000001765566</v>
      </c>
    </row>
    <row r="1445" spans="1:40" x14ac:dyDescent="0.3">
      <c r="A1445" t="str">
        <f>"20200111150810533"</f>
        <v>20200111150810533</v>
      </c>
      <c r="B1445" t="str">
        <f>"1578726490523612"</f>
        <v>1578726490523612</v>
      </c>
      <c r="C1445" t="s">
        <v>40</v>
      </c>
      <c r="D1445">
        <v>5.962199</v>
      </c>
      <c r="E1445">
        <v>0.55557529999999999</v>
      </c>
      <c r="F1445" t="s">
        <v>41</v>
      </c>
      <c r="G1445">
        <v>-444.05090000000001</v>
      </c>
      <c r="H1445">
        <v>1.0465869999999999</v>
      </c>
      <c r="I1445">
        <v>214.54320000000001</v>
      </c>
      <c r="J1445">
        <v>-444.66489999999999</v>
      </c>
      <c r="K1445">
        <v>1.1107</v>
      </c>
      <c r="L1445">
        <v>214.6044</v>
      </c>
      <c r="M1445">
        <v>0.9998977</v>
      </c>
      <c r="N1445">
        <v>0</v>
      </c>
      <c r="O1445">
        <v>-7.3554319999999899E-3</v>
      </c>
      <c r="P1445">
        <v>0.98970499999999995</v>
      </c>
      <c r="Q1445">
        <v>0.12819839999999999</v>
      </c>
      <c r="R1445">
        <v>6.3635140000000007E-2</v>
      </c>
      <c r="S1445">
        <v>3.0802610000000001</v>
      </c>
      <c r="T1445">
        <v>-0.2468301</v>
      </c>
      <c r="U1445">
        <v>-0.23738100000000001</v>
      </c>
      <c r="V1445">
        <v>-7.1018330000000005E-2</v>
      </c>
      <c r="W1445">
        <v>0.14026759999999999</v>
      </c>
      <c r="X1445">
        <v>0.98756339999999998</v>
      </c>
      <c r="Y1445">
        <v>6.9303690000000001E-2</v>
      </c>
      <c r="Z1445">
        <v>-2.180623E-3</v>
      </c>
      <c r="AA1445">
        <v>0.99759319999999896</v>
      </c>
      <c r="AB1445">
        <v>20</v>
      </c>
      <c r="AC1445">
        <v>0.61399999999997501</v>
      </c>
      <c r="AD1445">
        <v>-6.4112999999999795E-2</v>
      </c>
      <c r="AE1445">
        <v>-6.1199999999985197E-2</v>
      </c>
      <c r="AF1445">
        <v>5.60763697549959E-2</v>
      </c>
      <c r="AG1445">
        <v>-6.4112999999999795E-2</v>
      </c>
      <c r="AH1445">
        <v>0.60787101120168396</v>
      </c>
      <c r="AI1445">
        <v>95.995534944355299</v>
      </c>
      <c r="AJ1445">
        <v>84.729356519839698</v>
      </c>
      <c r="AK1445">
        <v>0.61380958144465003</v>
      </c>
      <c r="AL1445">
        <v>81.936668895011593</v>
      </c>
      <c r="AM1445">
        <v>94.113212363454394</v>
      </c>
      <c r="AN1445">
        <v>1.00000003591265</v>
      </c>
    </row>
    <row r="1446" spans="1:40" x14ac:dyDescent="0.3">
      <c r="A1446" t="str">
        <f>"20200111150810554"</f>
        <v>20200111150810554</v>
      </c>
      <c r="B1446" t="str">
        <f>"1578726490544107"</f>
        <v>1578726490544107</v>
      </c>
      <c r="C1446" t="s">
        <v>40</v>
      </c>
      <c r="D1446">
        <v>8.8667099999999994</v>
      </c>
      <c r="E1446">
        <v>0.55223679999999997</v>
      </c>
      <c r="F1446" t="s">
        <v>41</v>
      </c>
      <c r="G1446">
        <v>-443.86930000000001</v>
      </c>
      <c r="H1446">
        <v>1.0542720000000001</v>
      </c>
      <c r="I1446">
        <v>214.53809999999999</v>
      </c>
      <c r="J1446">
        <v>-444.47390000000001</v>
      </c>
      <c r="K1446">
        <v>1.1106860000000001</v>
      </c>
      <c r="L1446">
        <v>214.60380000000001</v>
      </c>
      <c r="M1446">
        <v>0.99990299999999999</v>
      </c>
      <c r="N1446">
        <v>0</v>
      </c>
      <c r="O1446">
        <v>-6.7494859999999999E-3</v>
      </c>
      <c r="P1446">
        <v>0.98978409999999994</v>
      </c>
      <c r="Q1446">
        <v>0.12749530000000001</v>
      </c>
      <c r="R1446">
        <v>6.3815650000000002E-2</v>
      </c>
      <c r="S1446">
        <v>3.0758969999999999</v>
      </c>
      <c r="T1446">
        <v>-0.21833710000000001</v>
      </c>
      <c r="U1446">
        <v>-0.25555420000000001</v>
      </c>
      <c r="V1446">
        <v>-7.0600960000000004E-2</v>
      </c>
      <c r="W1446">
        <v>0.13948659999999999</v>
      </c>
      <c r="X1446">
        <v>0.98770389999999997</v>
      </c>
      <c r="Y1446">
        <v>7.5896099999999994E-2</v>
      </c>
      <c r="Z1446">
        <v>-2.208003E-3</v>
      </c>
      <c r="AA1446">
        <v>0.99711329999999998</v>
      </c>
      <c r="AB1446">
        <v>20</v>
      </c>
      <c r="AC1446">
        <v>0.60460000000000402</v>
      </c>
      <c r="AD1446">
        <v>-5.6414000000000103E-2</v>
      </c>
      <c r="AE1446">
        <v>-6.5700000000020894E-2</v>
      </c>
      <c r="AF1446">
        <v>6.10917805103725E-2</v>
      </c>
      <c r="AG1446">
        <v>-5.6414000000000103E-2</v>
      </c>
      <c r="AH1446">
        <v>0.59986797553504601</v>
      </c>
      <c r="AI1446">
        <v>95.345038335019396</v>
      </c>
      <c r="AJ1446">
        <v>84.184929673356805</v>
      </c>
      <c r="AK1446">
        <v>0.60560410592600999</v>
      </c>
      <c r="AL1446">
        <v>81.981860904619097</v>
      </c>
      <c r="AM1446">
        <v>94.0885418278109</v>
      </c>
      <c r="AN1446">
        <v>1.0000000006038401</v>
      </c>
    </row>
    <row r="1447" spans="1:40" x14ac:dyDescent="0.3">
      <c r="A1447" t="str">
        <f>"20200111150810577"</f>
        <v>20200111150810577</v>
      </c>
      <c r="B1447" t="str">
        <f>"1578726490573387"</f>
        <v>1578726490573387</v>
      </c>
      <c r="C1447" t="s">
        <v>40</v>
      </c>
      <c r="D1447">
        <v>7.664758</v>
      </c>
      <c r="E1447">
        <v>0.50799329999999998</v>
      </c>
      <c r="F1447" t="s">
        <v>58</v>
      </c>
      <c r="G1447">
        <v>-427.47899999999998</v>
      </c>
      <c r="H1447" s="1">
        <v>2.7498030000000002E-6</v>
      </c>
      <c r="I1447">
        <v>213.33690000000001</v>
      </c>
      <c r="J1447">
        <v>-444.27859999999998</v>
      </c>
      <c r="K1447">
        <v>1.1106860000000001</v>
      </c>
      <c r="L1447">
        <v>214.60319999999999</v>
      </c>
      <c r="M1447">
        <v>0.99990800000000002</v>
      </c>
      <c r="N1447">
        <v>0</v>
      </c>
      <c r="O1447">
        <v>-6.1309290000000002E-3</v>
      </c>
      <c r="P1447">
        <v>0.98968520000000004</v>
      </c>
      <c r="Q1447">
        <v>0.1281967</v>
      </c>
      <c r="R1447">
        <v>6.3944749999999995E-2</v>
      </c>
      <c r="S1447">
        <v>3.071625</v>
      </c>
      <c r="T1447">
        <v>-0.200743</v>
      </c>
      <c r="U1447">
        <v>-0.22897339999999999</v>
      </c>
      <c r="V1447">
        <v>-7.0118550000000002E-2</v>
      </c>
      <c r="W1447">
        <v>0.14011029999999999</v>
      </c>
      <c r="X1447">
        <v>0.98765000000000003</v>
      </c>
      <c r="Y1447">
        <v>6.8091209999999999E-2</v>
      </c>
      <c r="Z1447">
        <v>-1.819871E-3</v>
      </c>
      <c r="AA1447">
        <v>0.99767740000000005</v>
      </c>
      <c r="AB1447">
        <v>20</v>
      </c>
      <c r="AC1447">
        <v>16.799599999999899</v>
      </c>
      <c r="AD1447">
        <v>-1.1106832501970001</v>
      </c>
      <c r="AE1447">
        <v>-1.26629999999997</v>
      </c>
      <c r="AF1447">
        <v>1.1582374276890099</v>
      </c>
      <c r="AG1447">
        <v>-1.1106832501970001</v>
      </c>
      <c r="AH1447">
        <v>16.734315633881899</v>
      </c>
      <c r="AI1447">
        <v>93.788206708759205</v>
      </c>
      <c r="AJ1447">
        <v>86.040683561840495</v>
      </c>
      <c r="AK1447">
        <v>16.811081195317399</v>
      </c>
      <c r="AL1447">
        <v>81.945771239561097</v>
      </c>
      <c r="AM1447">
        <v>94.060919831767094</v>
      </c>
      <c r="AN1447">
        <v>1.00000001486009</v>
      </c>
    </row>
    <row r="1448" spans="1:40" x14ac:dyDescent="0.3">
      <c r="A1448" t="str">
        <f>"20200111150810598"</f>
        <v>20200111150810598</v>
      </c>
      <c r="B1448" t="str">
        <f>"1578726490593883"</f>
        <v>1578726490593883</v>
      </c>
      <c r="C1448" t="s">
        <v>40</v>
      </c>
      <c r="D1448">
        <v>5.6468179999999997</v>
      </c>
      <c r="E1448">
        <v>0.51948229999999995</v>
      </c>
      <c r="F1448" t="s">
        <v>70</v>
      </c>
      <c r="G1448">
        <v>-157.25</v>
      </c>
      <c r="H1448">
        <v>3.8547389999999999</v>
      </c>
      <c r="I1448">
        <v>226.5076</v>
      </c>
      <c r="J1448">
        <v>-444.09609999999998</v>
      </c>
      <c r="K1448">
        <v>1.1106819999999999</v>
      </c>
      <c r="L1448">
        <v>214.6027</v>
      </c>
      <c r="M1448">
        <v>0.99991229999999998</v>
      </c>
      <c r="N1448">
        <v>0</v>
      </c>
      <c r="O1448">
        <v>-5.5503719999999996E-3</v>
      </c>
      <c r="P1448">
        <v>0.98966829999999995</v>
      </c>
      <c r="Q1448">
        <v>0.12820090000000001</v>
      </c>
      <c r="R1448">
        <v>6.4199030000000004E-2</v>
      </c>
      <c r="S1448">
        <v>3.019409</v>
      </c>
      <c r="T1448">
        <v>2.886677E-2</v>
      </c>
      <c r="U1448">
        <v>0.1252289</v>
      </c>
      <c r="V1448">
        <v>-6.9798910000000006E-2</v>
      </c>
      <c r="W1448">
        <v>0.1400499</v>
      </c>
      <c r="X1448">
        <v>0.98768120000000004</v>
      </c>
      <c r="Y1448">
        <v>-4.6981990000000001E-2</v>
      </c>
      <c r="Z1448">
        <v>-2.7752670000000002E-4</v>
      </c>
      <c r="AA1448">
        <v>0.99889570000000005</v>
      </c>
      <c r="AB1448">
        <v>20</v>
      </c>
      <c r="AC1448">
        <v>286.84609999999998</v>
      </c>
      <c r="AD1448">
        <v>2.7440570000000002</v>
      </c>
      <c r="AE1448">
        <v>11.9048999999999</v>
      </c>
      <c r="AF1448">
        <v>-13.4957013447381</v>
      </c>
      <c r="AG1448">
        <v>2.7440570000000002</v>
      </c>
      <c r="AH1448">
        <v>286.74940303381999</v>
      </c>
      <c r="AI1448">
        <v>89.452329247753994</v>
      </c>
      <c r="AJ1448">
        <v>92.694605632092305</v>
      </c>
      <c r="AK1448">
        <v>287.07992605519797</v>
      </c>
      <c r="AL1448">
        <v>81.949266306930795</v>
      </c>
      <c r="AM1448">
        <v>94.042342100855095</v>
      </c>
      <c r="AN1448">
        <v>1.0000000075803099</v>
      </c>
    </row>
    <row r="1449" spans="1:40" x14ac:dyDescent="0.3">
      <c r="A1449" t="str">
        <f>"20200111150810622"</f>
        <v>20200111150810622</v>
      </c>
      <c r="B1449" t="str">
        <f>"1578726490613404"</f>
        <v>1578726490613404</v>
      </c>
      <c r="C1449" t="s">
        <v>40</v>
      </c>
      <c r="D1449">
        <v>8.9280360000000005</v>
      </c>
      <c r="E1449">
        <v>0.51679679999999995</v>
      </c>
      <c r="F1449" t="s">
        <v>71</v>
      </c>
      <c r="G1449">
        <v>-107.39749999999999</v>
      </c>
      <c r="H1449">
        <v>2.3831310000000001</v>
      </c>
      <c r="I1449">
        <v>218.44120000000001</v>
      </c>
      <c r="J1449">
        <v>-443.88869999999997</v>
      </c>
      <c r="K1449">
        <v>1.110671</v>
      </c>
      <c r="L1449">
        <v>214.60239999999999</v>
      </c>
      <c r="M1449">
        <v>0.99991629999999998</v>
      </c>
      <c r="N1449">
        <v>0</v>
      </c>
      <c r="O1449">
        <v>-4.8881760000000002E-3</v>
      </c>
      <c r="P1449">
        <v>0.98973909999999998</v>
      </c>
      <c r="Q1449">
        <v>0.12724299999999999</v>
      </c>
      <c r="R1449">
        <v>6.5007850000000006E-2</v>
      </c>
      <c r="S1449">
        <v>3.0275880000000002</v>
      </c>
      <c r="T1449">
        <v>1.1442300000000001E-2</v>
      </c>
      <c r="U1449">
        <v>3.4515379999999998E-2</v>
      </c>
      <c r="V1449">
        <v>-6.9952730000000005E-2</v>
      </c>
      <c r="W1449">
        <v>0.1390286</v>
      </c>
      <c r="X1449">
        <v>0.98781459999999999</v>
      </c>
      <c r="Y1449">
        <v>-1.6287469999999998E-2</v>
      </c>
      <c r="Z1449" s="1">
        <v>-4.9251729999999997E-5</v>
      </c>
      <c r="AA1449">
        <v>0.99986730000000001</v>
      </c>
      <c r="AB1449">
        <v>20</v>
      </c>
      <c r="AC1449">
        <v>336.49119999999999</v>
      </c>
      <c r="AD1449">
        <v>1.2724599999999999</v>
      </c>
      <c r="AE1449">
        <v>3.83880000000002</v>
      </c>
      <c r="AF1449">
        <v>-5.4836219601660003</v>
      </c>
      <c r="AG1449">
        <v>1.2724599999999999</v>
      </c>
      <c r="AH1449">
        <v>336.46360236083001</v>
      </c>
      <c r="AI1449">
        <v>89.783344888140206</v>
      </c>
      <c r="AJ1449">
        <v>90.933713420633694</v>
      </c>
      <c r="AK1449">
        <v>336.510690733415</v>
      </c>
      <c r="AL1449">
        <v>82.0083606553641</v>
      </c>
      <c r="AM1449">
        <v>94.050675542419697</v>
      </c>
      <c r="AN1449">
        <v>1.0000000100127799</v>
      </c>
    </row>
    <row r="1450" spans="1:40" x14ac:dyDescent="0.3">
      <c r="A1450" t="str">
        <f>"20200111150810643"</f>
        <v>20200111150810643</v>
      </c>
      <c r="B1450" t="str">
        <f>"1578726490633900"</f>
        <v>1578726490633900</v>
      </c>
      <c r="C1450" t="s">
        <v>40</v>
      </c>
      <c r="D1450">
        <v>5.0730019999999998</v>
      </c>
      <c r="E1450">
        <v>0.52056029999999998</v>
      </c>
      <c r="F1450" t="s">
        <v>70</v>
      </c>
      <c r="G1450">
        <v>-157.8382</v>
      </c>
      <c r="H1450">
        <v>8.6948980000000002</v>
      </c>
      <c r="I1450">
        <v>220.2071</v>
      </c>
      <c r="J1450">
        <v>-443.69319999999999</v>
      </c>
      <c r="K1450">
        <v>1.110657</v>
      </c>
      <c r="L1450">
        <v>214.60220000000001</v>
      </c>
      <c r="M1450">
        <v>0.99991980000000003</v>
      </c>
      <c r="N1450">
        <v>0</v>
      </c>
      <c r="O1450">
        <v>-4.2632349999999998E-3</v>
      </c>
      <c r="P1450">
        <v>0.98976839999999999</v>
      </c>
      <c r="Q1450">
        <v>0.1263553</v>
      </c>
      <c r="R1450">
        <v>6.6277230000000006E-2</v>
      </c>
      <c r="S1450">
        <v>3.0169679999999999</v>
      </c>
      <c r="T1450">
        <v>7.9991220000000002E-2</v>
      </c>
      <c r="U1450">
        <v>5.911255E-2</v>
      </c>
      <c r="V1450">
        <v>-7.0602689999999996E-2</v>
      </c>
      <c r="W1450">
        <v>0.13808699999999999</v>
      </c>
      <c r="X1450">
        <v>0.98790040000000001</v>
      </c>
      <c r="Y1450">
        <v>-2.3842269999999999E-2</v>
      </c>
      <c r="Z1450">
        <v>-4.2900129999999997E-4</v>
      </c>
      <c r="AA1450">
        <v>0.99971560000000004</v>
      </c>
      <c r="AB1450">
        <v>20</v>
      </c>
      <c r="AC1450">
        <v>285.85500000000002</v>
      </c>
      <c r="AD1450">
        <v>7.5842409999999996</v>
      </c>
      <c r="AE1450">
        <v>5.6048999999999802</v>
      </c>
      <c r="AF1450">
        <v>-6.8188046144010501</v>
      </c>
      <c r="AG1450">
        <v>7.5842409999999996</v>
      </c>
      <c r="AH1450">
        <v>285.62751919518701</v>
      </c>
      <c r="AI1450">
        <v>88.4794209268332</v>
      </c>
      <c r="AJ1450">
        <v>91.367566162158596</v>
      </c>
      <c r="AK1450">
        <v>285.80954590340798</v>
      </c>
      <c r="AL1450">
        <v>82.062835570458205</v>
      </c>
      <c r="AM1450">
        <v>94.087831172410603</v>
      </c>
      <c r="AN1450">
        <v>0.99999997986219702</v>
      </c>
    </row>
    <row r="1451" spans="1:40" x14ac:dyDescent="0.3">
      <c r="A1451" t="str">
        <f>"20200111150810667"</f>
        <v>20200111150810667</v>
      </c>
      <c r="B1451" t="str">
        <f>"1578726490664156"</f>
        <v>1578726490664156</v>
      </c>
      <c r="C1451" t="s">
        <v>40</v>
      </c>
      <c r="D1451">
        <v>5.0548289999999998</v>
      </c>
      <c r="E1451">
        <v>0.52169759999999998</v>
      </c>
      <c r="F1451" t="s">
        <v>71</v>
      </c>
      <c r="G1451">
        <v>-107.39749999999999</v>
      </c>
      <c r="H1451">
        <v>6.35215</v>
      </c>
      <c r="I1451">
        <v>218.2962</v>
      </c>
      <c r="J1451">
        <v>-443.49650000000003</v>
      </c>
      <c r="K1451">
        <v>1.110654</v>
      </c>
      <c r="L1451">
        <v>214.60210000000001</v>
      </c>
      <c r="M1451">
        <v>0.99992300000000001</v>
      </c>
      <c r="N1451">
        <v>0</v>
      </c>
      <c r="O1451">
        <v>-3.6339150000000001E-3</v>
      </c>
      <c r="P1451">
        <v>0.98976450000000005</v>
      </c>
      <c r="Q1451">
        <v>0.1261707</v>
      </c>
      <c r="R1451">
        <v>6.6689120000000005E-2</v>
      </c>
      <c r="S1451">
        <v>3.0227360000000001</v>
      </c>
      <c r="T1451">
        <v>4.7112699999999903E-2</v>
      </c>
      <c r="U1451">
        <v>3.3203129999999997E-2</v>
      </c>
      <c r="V1451">
        <v>-7.0391599999999999E-2</v>
      </c>
      <c r="W1451">
        <v>0.13785459999999999</v>
      </c>
      <c r="X1451">
        <v>0.98794789999999999</v>
      </c>
      <c r="Y1451">
        <v>-1.461546E-2</v>
      </c>
      <c r="Z1451">
        <v>-1.7052650000000001E-4</v>
      </c>
      <c r="AA1451">
        <v>0.99989320000000004</v>
      </c>
      <c r="AB1451">
        <v>20</v>
      </c>
      <c r="AC1451">
        <v>336.09899999999999</v>
      </c>
      <c r="AD1451">
        <v>5.2414959999999997</v>
      </c>
      <c r="AE1451">
        <v>3.6940999999999899</v>
      </c>
      <c r="AF1451">
        <v>-4.9143217356592501</v>
      </c>
      <c r="AG1451">
        <v>5.2414959999999997</v>
      </c>
      <c r="AH1451">
        <v>336.00164745610499</v>
      </c>
      <c r="AI1451">
        <v>89.106376006495196</v>
      </c>
      <c r="AJ1451">
        <v>90.8379417834565</v>
      </c>
      <c r="AK1451">
        <v>336.07845948774599</v>
      </c>
      <c r="AL1451">
        <v>82.076279531861601</v>
      </c>
      <c r="AM1451">
        <v>94.075455207863797</v>
      </c>
      <c r="AN1451">
        <v>0.99999996060306395</v>
      </c>
    </row>
    <row r="1452" spans="1:40" x14ac:dyDescent="0.3">
      <c r="A1452" t="str">
        <f>"20200111150810688"</f>
        <v>20200111150810688</v>
      </c>
      <c r="B1452" t="str">
        <f>"1578726490683676"</f>
        <v>1578726490683676</v>
      </c>
      <c r="C1452" t="s">
        <v>40</v>
      </c>
      <c r="D1452">
        <v>8.4906039999999994</v>
      </c>
      <c r="E1452">
        <v>0.52521219999999902</v>
      </c>
      <c r="F1452" t="s">
        <v>71</v>
      </c>
      <c r="G1452">
        <v>-107.39749999999999</v>
      </c>
      <c r="H1452">
        <v>5.1819280000000001</v>
      </c>
      <c r="I1452">
        <v>217.43029999999999</v>
      </c>
      <c r="J1452">
        <v>-443.30869999999999</v>
      </c>
      <c r="K1452">
        <v>1.110652</v>
      </c>
      <c r="L1452">
        <v>214.60210000000001</v>
      </c>
      <c r="M1452">
        <v>0.99992550000000002</v>
      </c>
      <c r="N1452">
        <v>0</v>
      </c>
      <c r="O1452">
        <v>-3.0340710000000002E-3</v>
      </c>
      <c r="P1452">
        <v>0.98975679999999999</v>
      </c>
      <c r="Q1452">
        <v>0.12616649999999999</v>
      </c>
      <c r="R1452">
        <v>6.6810209999999995E-2</v>
      </c>
      <c r="S1452">
        <v>3.0246279999999999</v>
      </c>
      <c r="T1452">
        <v>3.6638740000000003E-2</v>
      </c>
      <c r="U1452">
        <v>2.5451660000000001E-2</v>
      </c>
      <c r="V1452">
        <v>-6.9918599999999997E-2</v>
      </c>
      <c r="W1452">
        <v>0.13780780000000001</v>
      </c>
      <c r="X1452">
        <v>0.98798810000000004</v>
      </c>
      <c r="Y1452">
        <v>-1.1447590000000001E-2</v>
      </c>
      <c r="Z1452">
        <v>-1.06085E-4</v>
      </c>
      <c r="AA1452">
        <v>0.99993449999999995</v>
      </c>
      <c r="AB1452">
        <v>20</v>
      </c>
      <c r="AC1452">
        <v>335.91120000000001</v>
      </c>
      <c r="AD1452">
        <v>4.0712760000000001</v>
      </c>
      <c r="AE1452">
        <v>2.8281999999999798</v>
      </c>
      <c r="AF1452">
        <v>-3.8468716005965602</v>
      </c>
      <c r="AG1452">
        <v>4.0712760000000001</v>
      </c>
      <c r="AH1452">
        <v>335.85174006643302</v>
      </c>
      <c r="AI1452">
        <v>89.305526275303507</v>
      </c>
      <c r="AJ1452">
        <v>90.656241557119003</v>
      </c>
      <c r="AK1452">
        <v>335.89844449629499</v>
      </c>
      <c r="AL1452">
        <v>82.0789874707569</v>
      </c>
      <c r="AM1452">
        <v>94.047997161130496</v>
      </c>
      <c r="AN1452">
        <v>1.0000000430542</v>
      </c>
    </row>
    <row r="1453" spans="1:40" x14ac:dyDescent="0.3">
      <c r="A1453" t="str">
        <f>"20200111150810712"</f>
        <v>20200111150810712</v>
      </c>
      <c r="B1453" t="str">
        <f>"1578726490704171"</f>
        <v>1578726490704171</v>
      </c>
      <c r="C1453" t="s">
        <v>40</v>
      </c>
      <c r="D1453">
        <v>8.0892309999999998</v>
      </c>
      <c r="E1453">
        <v>0.52434969999999903</v>
      </c>
      <c r="F1453" t="s">
        <v>71</v>
      </c>
      <c r="G1453">
        <v>-109.68</v>
      </c>
      <c r="H1453">
        <v>7.5864079999999996</v>
      </c>
      <c r="I1453">
        <v>214.37819999999999</v>
      </c>
      <c r="J1453">
        <v>-443.09690000000001</v>
      </c>
      <c r="K1453">
        <v>1.110654</v>
      </c>
      <c r="L1453">
        <v>214.60230000000001</v>
      </c>
      <c r="M1453">
        <v>0.99992800000000004</v>
      </c>
      <c r="N1453">
        <v>0</v>
      </c>
      <c r="O1453">
        <v>-2.357657E-3</v>
      </c>
      <c r="P1453">
        <v>0.98978129999999998</v>
      </c>
      <c r="Q1453">
        <v>0.1260771</v>
      </c>
      <c r="R1453">
        <v>6.6616439999999999E-2</v>
      </c>
      <c r="S1453">
        <v>3.023682</v>
      </c>
      <c r="T1453">
        <v>5.8690310000000002E-2</v>
      </c>
      <c r="U1453">
        <v>-2.0294190000000002E-3</v>
      </c>
      <c r="V1453">
        <v>-6.9055439999999996E-2</v>
      </c>
      <c r="W1453">
        <v>0.13766800000000001</v>
      </c>
      <c r="X1453">
        <v>0.98806819999999895</v>
      </c>
      <c r="Y1453">
        <v>-1.685885E-3</v>
      </c>
      <c r="Z1453" s="1">
        <v>-6.2121579999999997E-5</v>
      </c>
      <c r="AA1453">
        <v>0.99999859999999896</v>
      </c>
      <c r="AB1453">
        <v>20</v>
      </c>
      <c r="AC1453">
        <v>333.4169</v>
      </c>
      <c r="AD1453">
        <v>6.4757540000000002</v>
      </c>
      <c r="AE1453">
        <v>-0.224100000000021</v>
      </c>
      <c r="AF1453">
        <v>-0.56182579087511197</v>
      </c>
      <c r="AG1453">
        <v>6.4757540000000002</v>
      </c>
      <c r="AH1453">
        <v>333.29077459834002</v>
      </c>
      <c r="AI1453">
        <v>88.886899383221404</v>
      </c>
      <c r="AJ1453">
        <v>90.096582979794107</v>
      </c>
      <c r="AK1453">
        <v>333.35415322213902</v>
      </c>
      <c r="AL1453">
        <v>82.087073758618203</v>
      </c>
      <c r="AM1453">
        <v>93.997863782079193</v>
      </c>
      <c r="AN1453">
        <v>0.99999994993441499</v>
      </c>
    </row>
    <row r="1454" spans="1:40" x14ac:dyDescent="0.3">
      <c r="A1454" t="str">
        <f>"20200111150810733"</f>
        <v>20200111150810733</v>
      </c>
      <c r="B1454" t="str">
        <f>"1578726490723691"</f>
        <v>1578726490723691</v>
      </c>
      <c r="C1454" t="s">
        <v>40</v>
      </c>
      <c r="D1454">
        <v>5.5280849999999999</v>
      </c>
      <c r="E1454">
        <v>0.52334250000000004</v>
      </c>
      <c r="F1454" t="s">
        <v>71</v>
      </c>
      <c r="G1454">
        <v>-107.39749999999999</v>
      </c>
      <c r="H1454">
        <v>5.8245380000000004</v>
      </c>
      <c r="I1454">
        <v>215.05260000000001</v>
      </c>
      <c r="J1454">
        <v>-442.90989999999999</v>
      </c>
      <c r="K1454">
        <v>1.1106370000000001</v>
      </c>
      <c r="L1454">
        <v>214.60249999999999</v>
      </c>
      <c r="M1454">
        <v>0.99992990000000004</v>
      </c>
      <c r="N1454">
        <v>0</v>
      </c>
      <c r="O1454">
        <v>-1.7608389999999999E-3</v>
      </c>
      <c r="P1454">
        <v>0.98983069999999895</v>
      </c>
      <c r="Q1454">
        <v>0.12615019999999999</v>
      </c>
      <c r="R1454">
        <v>6.5735979999999999E-2</v>
      </c>
      <c r="S1454">
        <v>3.02536</v>
      </c>
      <c r="T1454">
        <v>4.2482499999999999E-2</v>
      </c>
      <c r="U1454">
        <v>4.0588380000000004E-3</v>
      </c>
      <c r="V1454">
        <v>-6.75843E-2</v>
      </c>
      <c r="W1454">
        <v>0.13768459999999999</v>
      </c>
      <c r="X1454">
        <v>0.98816760000000003</v>
      </c>
      <c r="Y1454">
        <v>-3.102081E-3</v>
      </c>
      <c r="Z1454" s="1">
        <v>-4.6505229999999999E-5</v>
      </c>
      <c r="AA1454">
        <v>0.99999519999999997</v>
      </c>
      <c r="AB1454">
        <v>20</v>
      </c>
      <c r="AC1454">
        <v>335.51240000000001</v>
      </c>
      <c r="AD1454">
        <v>4.7139009999999999</v>
      </c>
      <c r="AE1454">
        <v>0.45010000000001998</v>
      </c>
      <c r="AF1454">
        <v>-1.04071768607307</v>
      </c>
      <c r="AG1454">
        <v>4.7139009999999999</v>
      </c>
      <c r="AH1454">
        <v>335.44487100088202</v>
      </c>
      <c r="AI1454">
        <v>89.194897345334596</v>
      </c>
      <c r="AJ1454">
        <v>90.177759581122501</v>
      </c>
      <c r="AK1454">
        <v>335.47960509804199</v>
      </c>
      <c r="AL1454">
        <v>82.086113474545897</v>
      </c>
      <c r="AM1454">
        <v>93.912569341472405</v>
      </c>
      <c r="AN1454">
        <v>0.99999994618670296</v>
      </c>
    </row>
    <row r="1455" spans="1:40" x14ac:dyDescent="0.3">
      <c r="A1455" t="str">
        <f>"20200111150810755"</f>
        <v>20200111150810755</v>
      </c>
      <c r="B1455" t="str">
        <f>"1578726490744190"</f>
        <v>1578726490744190</v>
      </c>
      <c r="C1455" t="s">
        <v>40</v>
      </c>
      <c r="D1455">
        <v>6.3914770000000001</v>
      </c>
      <c r="E1455">
        <v>0.52312150000000002</v>
      </c>
      <c r="F1455" t="s">
        <v>71</v>
      </c>
      <c r="G1455">
        <v>-109.68</v>
      </c>
      <c r="H1455">
        <v>8.0679029999999994</v>
      </c>
      <c r="I1455">
        <v>215.6591</v>
      </c>
      <c r="J1455">
        <v>-442.7174</v>
      </c>
      <c r="K1455">
        <v>1.110616</v>
      </c>
      <c r="L1455">
        <v>214.60290000000001</v>
      </c>
      <c r="M1455">
        <v>0.99993189999999998</v>
      </c>
      <c r="N1455">
        <v>0</v>
      </c>
      <c r="O1455">
        <v>-1.1457469999999999E-3</v>
      </c>
      <c r="P1455">
        <v>0.98985020000000001</v>
      </c>
      <c r="Q1455">
        <v>0.12596599999999999</v>
      </c>
      <c r="R1455">
        <v>6.579786E-2</v>
      </c>
      <c r="S1455">
        <v>3.0221559999999998</v>
      </c>
      <c r="T1455">
        <v>6.3097829999999994E-2</v>
      </c>
      <c r="U1455">
        <v>9.5825200000000006E-3</v>
      </c>
      <c r="V1455">
        <v>-6.7036940000000003E-2</v>
      </c>
      <c r="W1455">
        <v>0.13741389999999901</v>
      </c>
      <c r="X1455">
        <v>0.98824259999999997</v>
      </c>
      <c r="Y1455">
        <v>-4.3153669999999996E-3</v>
      </c>
      <c r="Z1455" s="1">
        <v>-6.8964349999999996E-5</v>
      </c>
      <c r="AA1455">
        <v>0.99999070000000001</v>
      </c>
      <c r="AB1455">
        <v>20</v>
      </c>
      <c r="AC1455">
        <v>333.03739999999999</v>
      </c>
      <c r="AD1455">
        <v>6.9572869999999902</v>
      </c>
      <c r="AE1455">
        <v>1.05619999999998</v>
      </c>
      <c r="AF1455">
        <v>-1.4371744554793799</v>
      </c>
      <c r="AG1455">
        <v>6.9572869999999902</v>
      </c>
      <c r="AH1455">
        <v>332.89069607925097</v>
      </c>
      <c r="AI1455">
        <v>88.802725789856893</v>
      </c>
      <c r="AJ1455">
        <v>90.247359028363505</v>
      </c>
      <c r="AK1455">
        <v>332.96649208132601</v>
      </c>
      <c r="AL1455">
        <v>82.101772580375993</v>
      </c>
      <c r="AM1455">
        <v>93.880685339023103</v>
      </c>
      <c r="AN1455">
        <v>0.99999998384626598</v>
      </c>
    </row>
    <row r="1456" spans="1:40" x14ac:dyDescent="0.3">
      <c r="A1456" t="str">
        <f>"20200111150810777"</f>
        <v>20200111150810777</v>
      </c>
      <c r="B1456" t="str">
        <f>"1578726490773468"</f>
        <v>1578726490773468</v>
      </c>
      <c r="C1456" t="s">
        <v>40</v>
      </c>
      <c r="D1456">
        <v>4.6396879999999996</v>
      </c>
      <c r="E1456">
        <v>0.52085530000000002</v>
      </c>
      <c r="F1456" t="s">
        <v>71</v>
      </c>
      <c r="G1456">
        <v>-109.68</v>
      </c>
      <c r="H1456">
        <v>8.1162580000000002</v>
      </c>
      <c r="I1456">
        <v>215.86920000000001</v>
      </c>
      <c r="J1456">
        <v>-442.52589999999998</v>
      </c>
      <c r="K1456">
        <v>1.110592</v>
      </c>
      <c r="L1456">
        <v>214.60339999999999</v>
      </c>
      <c r="M1456">
        <v>0.99993379999999998</v>
      </c>
      <c r="N1456">
        <v>0</v>
      </c>
      <c r="O1456">
        <v>-5.3355600000000003E-4</v>
      </c>
      <c r="P1456">
        <v>0.98984300000000003</v>
      </c>
      <c r="Q1456">
        <v>0.12582260000000001</v>
      </c>
      <c r="R1456">
        <v>6.6181210000000004E-2</v>
      </c>
      <c r="S1456">
        <v>3.021881</v>
      </c>
      <c r="T1456">
        <v>6.3567520000000002E-2</v>
      </c>
      <c r="U1456">
        <v>1.1489869999999999E-2</v>
      </c>
      <c r="V1456">
        <v>-6.6814170000000006E-2</v>
      </c>
      <c r="W1456">
        <v>0.13714709999999999</v>
      </c>
      <c r="X1456">
        <v>0.98829480000000003</v>
      </c>
      <c r="Y1456">
        <v>-4.3347070000000001E-3</v>
      </c>
      <c r="Z1456" s="1">
        <v>-5.6809889999999999E-5</v>
      </c>
      <c r="AA1456">
        <v>0.99999059999999995</v>
      </c>
      <c r="AB1456">
        <v>20</v>
      </c>
      <c r="AC1456">
        <v>332.84589999999997</v>
      </c>
      <c r="AD1456">
        <v>7.0056659999999997</v>
      </c>
      <c r="AE1456">
        <v>1.26580000000001</v>
      </c>
      <c r="AF1456">
        <v>-1.44276433073302</v>
      </c>
      <c r="AG1456">
        <v>7.0056659999999997</v>
      </c>
      <c r="AH1456">
        <v>332.69779125153701</v>
      </c>
      <c r="AI1456">
        <v>88.793704011222104</v>
      </c>
      <c r="AJ1456">
        <v>90.248465096475201</v>
      </c>
      <c r="AK1456">
        <v>332.77467035318102</v>
      </c>
      <c r="AL1456">
        <v>82.117205621444</v>
      </c>
      <c r="AM1456">
        <v>93.867624995876795</v>
      </c>
      <c r="AN1456">
        <v>1.0000000360291099</v>
      </c>
    </row>
    <row r="1457" spans="1:40" x14ac:dyDescent="0.3">
      <c r="A1457" t="str">
        <f>"20200111150810799"</f>
        <v>20200111150810799</v>
      </c>
      <c r="B1457" t="str">
        <f>"1578726490793963"</f>
        <v>1578726490793963</v>
      </c>
      <c r="C1457" t="s">
        <v>40</v>
      </c>
      <c r="D1457">
        <v>7.6951009999999904</v>
      </c>
      <c r="E1457">
        <v>0.52121110000000004</v>
      </c>
      <c r="F1457" t="s">
        <v>71</v>
      </c>
      <c r="G1457">
        <v>-107.39749999999999</v>
      </c>
      <c r="H1457">
        <v>7.5287750000000004</v>
      </c>
      <c r="I1457">
        <v>218.0172</v>
      </c>
      <c r="J1457">
        <v>-442.32819999999998</v>
      </c>
      <c r="K1457">
        <v>1.11056</v>
      </c>
      <c r="L1457">
        <v>214.60400000000001</v>
      </c>
      <c r="M1457">
        <v>0.99993569999999998</v>
      </c>
      <c r="N1457">
        <v>0</v>
      </c>
      <c r="O1457" s="1">
        <v>9.8973669999999995E-5</v>
      </c>
      <c r="P1457">
        <v>0.9897667</v>
      </c>
      <c r="Q1457">
        <v>0.12593770000000001</v>
      </c>
      <c r="R1457">
        <v>6.7093630000000001E-2</v>
      </c>
      <c r="S1457">
        <v>3.0213320000000001</v>
      </c>
      <c r="T1457">
        <v>5.7863240000000003E-2</v>
      </c>
      <c r="U1457">
        <v>3.0776979999999999E-2</v>
      </c>
      <c r="V1457">
        <v>-6.7099710000000007E-2</v>
      </c>
      <c r="W1457">
        <v>0.13710129999999901</v>
      </c>
      <c r="X1457">
        <v>0.98828179999999999</v>
      </c>
      <c r="Y1457">
        <v>-1.0085230000000001E-2</v>
      </c>
      <c r="Z1457" s="1">
        <v>-9.4667180000000006E-5</v>
      </c>
      <c r="AA1457">
        <v>0.99994919999999998</v>
      </c>
      <c r="AB1457">
        <v>20</v>
      </c>
      <c r="AC1457">
        <v>334.9307</v>
      </c>
      <c r="AD1457">
        <v>6.418215</v>
      </c>
      <c r="AE1457">
        <v>3.4131999999999798</v>
      </c>
      <c r="AF1457">
        <v>-3.3788079162769802</v>
      </c>
      <c r="AG1457">
        <v>6.418215</v>
      </c>
      <c r="AH1457">
        <v>334.80810291824201</v>
      </c>
      <c r="AI1457">
        <v>88.901839964190103</v>
      </c>
      <c r="AJ1457">
        <v>90.578196465574806</v>
      </c>
      <c r="AK1457">
        <v>334.88666083681801</v>
      </c>
      <c r="AL1457">
        <v>82.119854719910293</v>
      </c>
      <c r="AM1457">
        <v>93.884154299579393</v>
      </c>
      <c r="AN1457">
        <v>1.0000000268775</v>
      </c>
    </row>
    <row r="1458" spans="1:40" x14ac:dyDescent="0.3">
      <c r="A1458" t="str">
        <f>"20200111150810822"</f>
        <v>20200111150810822</v>
      </c>
      <c r="B1458" t="str">
        <f>"1578726490813484"</f>
        <v>1578726490813484</v>
      </c>
      <c r="C1458" t="s">
        <v>40</v>
      </c>
      <c r="D1458">
        <v>4.6749390000000002</v>
      </c>
      <c r="E1458">
        <v>0.4349094</v>
      </c>
      <c r="F1458" t="s">
        <v>71</v>
      </c>
      <c r="G1458">
        <v>-107.39749999999999</v>
      </c>
      <c r="H1458">
        <v>9.0446550000000006</v>
      </c>
      <c r="I1458">
        <v>218.03110000000001</v>
      </c>
      <c r="J1458">
        <v>-442.12580000000003</v>
      </c>
      <c r="K1458">
        <v>1.11053</v>
      </c>
      <c r="L1458">
        <v>214.60480000000001</v>
      </c>
      <c r="M1458">
        <v>0.99993750000000003</v>
      </c>
      <c r="N1458">
        <v>0</v>
      </c>
      <c r="O1458">
        <v>7.4568550000000001E-4</v>
      </c>
      <c r="P1458">
        <v>0.98965800000000004</v>
      </c>
      <c r="Q1458">
        <v>0.12629189999999901</v>
      </c>
      <c r="R1458">
        <v>6.8028350000000001E-2</v>
      </c>
      <c r="S1458">
        <v>3.019806</v>
      </c>
      <c r="T1458">
        <v>7.1535940000000006E-2</v>
      </c>
      <c r="U1458">
        <v>3.0899050000000001E-2</v>
      </c>
      <c r="V1458">
        <v>-6.7395449999999996E-2</v>
      </c>
      <c r="W1458">
        <v>0.1372737</v>
      </c>
      <c r="X1458">
        <v>0.9882377</v>
      </c>
      <c r="Y1458">
        <v>-9.4834489999999997E-3</v>
      </c>
      <c r="Z1458" s="1">
        <v>-9.4645030000000001E-5</v>
      </c>
      <c r="AA1458">
        <v>0.99995500000000004</v>
      </c>
      <c r="AB1458">
        <v>20</v>
      </c>
      <c r="AC1458">
        <v>334.72829999999999</v>
      </c>
      <c r="AD1458">
        <v>7.9341249999999999</v>
      </c>
      <c r="AE1458">
        <v>3.4262999999999901</v>
      </c>
      <c r="AF1458">
        <v>-3.1748978758128201</v>
      </c>
      <c r="AG1458">
        <v>7.9341249999999999</v>
      </c>
      <c r="AH1458">
        <v>334.542821938673</v>
      </c>
      <c r="AI1458">
        <v>88.641470727957696</v>
      </c>
      <c r="AJ1458">
        <v>90.543735437875597</v>
      </c>
      <c r="AK1458">
        <v>334.65195356777502</v>
      </c>
      <c r="AL1458">
        <v>82.109882298699105</v>
      </c>
      <c r="AM1458">
        <v>93.901394402365597</v>
      </c>
      <c r="AN1458">
        <v>0.99999998354684105</v>
      </c>
    </row>
    <row r="1459" spans="1:40" x14ac:dyDescent="0.3">
      <c r="A1459" t="str">
        <f>"20200111150810844"</f>
        <v>20200111150810844</v>
      </c>
      <c r="B1459" t="str">
        <f>"1578726490833982"</f>
        <v>1578726490833982</v>
      </c>
      <c r="C1459" t="s">
        <v>40</v>
      </c>
      <c r="D1459">
        <v>5.5385039999999996</v>
      </c>
      <c r="E1459">
        <v>0.4969576</v>
      </c>
      <c r="F1459" t="s">
        <v>56</v>
      </c>
      <c r="G1459">
        <v>-370.97590000000002</v>
      </c>
      <c r="H1459">
        <v>15.12663</v>
      </c>
      <c r="I1459">
        <v>232.2921</v>
      </c>
      <c r="J1459">
        <v>-441.93439999999998</v>
      </c>
      <c r="K1459">
        <v>1.1104959999999999</v>
      </c>
      <c r="L1459">
        <v>214.60570000000001</v>
      </c>
      <c r="M1459">
        <v>0.99993880000000002</v>
      </c>
      <c r="N1459">
        <v>0</v>
      </c>
      <c r="O1459">
        <v>1.3566769999999999E-3</v>
      </c>
      <c r="P1459">
        <v>0.98952309999999999</v>
      </c>
      <c r="Q1459">
        <v>0.12651499999999999</v>
      </c>
      <c r="R1459">
        <v>6.9558259999999997E-2</v>
      </c>
      <c r="S1459">
        <v>2.9085390000000002</v>
      </c>
      <c r="T1459">
        <v>0.57296720000000001</v>
      </c>
      <c r="U1459">
        <v>0.72303769999999901</v>
      </c>
      <c r="V1459">
        <v>-6.8320870000000006E-2</v>
      </c>
      <c r="W1459">
        <v>0.13732749999999999</v>
      </c>
      <c r="X1459">
        <v>0.98816669999999995</v>
      </c>
      <c r="Y1459">
        <v>-0.2356885</v>
      </c>
      <c r="Z1459">
        <v>-2.239762E-2</v>
      </c>
      <c r="AA1459">
        <v>0.97157059999999995</v>
      </c>
      <c r="AB1459">
        <v>20</v>
      </c>
      <c r="AC1459">
        <v>70.958499999999901</v>
      </c>
      <c r="AD1459">
        <v>14.016133999999999</v>
      </c>
      <c r="AE1459">
        <v>17.6863999999999</v>
      </c>
      <c r="AF1459">
        <v>-16.966844956165801</v>
      </c>
      <c r="AG1459">
        <v>14.016133999999999</v>
      </c>
      <c r="AH1459">
        <v>68.467331282551797</v>
      </c>
      <c r="AI1459">
        <v>78.761566584422994</v>
      </c>
      <c r="AJ1459">
        <v>103.918051024115</v>
      </c>
      <c r="AK1459">
        <v>71.917322621376897</v>
      </c>
      <c r="AL1459">
        <v>82.106770485914794</v>
      </c>
      <c r="AM1459">
        <v>93.955079611560393</v>
      </c>
      <c r="AN1459">
        <v>1.00000000526134</v>
      </c>
    </row>
    <row r="1460" spans="1:40" x14ac:dyDescent="0.3">
      <c r="A1460" t="str">
        <f>"20200111150810868"</f>
        <v>20200111150810868</v>
      </c>
      <c r="B1460" t="str">
        <f>"1578726490863260"</f>
        <v>1578726490863260</v>
      </c>
      <c r="C1460" t="s">
        <v>40</v>
      </c>
      <c r="D1460">
        <v>4.6708189999999998</v>
      </c>
      <c r="E1460">
        <v>0.50269969999999997</v>
      </c>
      <c r="F1460" t="s">
        <v>72</v>
      </c>
      <c r="G1460">
        <v>-238.40049999999999</v>
      </c>
      <c r="H1460">
        <v>16.257539999999999</v>
      </c>
      <c r="I1460">
        <v>230.41890000000001</v>
      </c>
      <c r="J1460">
        <v>-441.7235</v>
      </c>
      <c r="K1460">
        <v>1.110471</v>
      </c>
      <c r="L1460">
        <v>214.60669999999999</v>
      </c>
      <c r="M1460">
        <v>0.99993969999999999</v>
      </c>
      <c r="N1460">
        <v>0</v>
      </c>
      <c r="O1460">
        <v>2.0290120000000002E-3</v>
      </c>
      <c r="P1460">
        <v>0.98946400000000001</v>
      </c>
      <c r="Q1460">
        <v>0.1260365</v>
      </c>
      <c r="R1460">
        <v>7.1245420000000004E-2</v>
      </c>
      <c r="S1460">
        <v>2.9870000000000001</v>
      </c>
      <c r="T1460">
        <v>0.22229309999999999</v>
      </c>
      <c r="U1460">
        <v>0.2320709</v>
      </c>
      <c r="V1460">
        <v>-6.9343600000000005E-2</v>
      </c>
      <c r="W1460">
        <v>0.13666619999999999</v>
      </c>
      <c r="X1460">
        <v>0.98818709999999998</v>
      </c>
      <c r="Y1460">
        <v>-7.523581E-2</v>
      </c>
      <c r="Z1460">
        <v>-2.6409070000000001E-3</v>
      </c>
      <c r="AA1460">
        <v>0.99716229999999995</v>
      </c>
      <c r="AB1460">
        <v>20</v>
      </c>
      <c r="AC1460">
        <v>203.32299999999901</v>
      </c>
      <c r="AD1460">
        <v>15.147068999999901</v>
      </c>
      <c r="AE1460">
        <v>15.812200000000001</v>
      </c>
      <c r="AF1460">
        <v>-15.315112431390499</v>
      </c>
      <c r="AG1460">
        <v>15.147068999999901</v>
      </c>
      <c r="AH1460">
        <v>202.23901014041999</v>
      </c>
      <c r="AI1460">
        <v>85.728906296428505</v>
      </c>
      <c r="AJ1460">
        <v>94.330616878032203</v>
      </c>
      <c r="AK1460">
        <v>203.382898963147</v>
      </c>
      <c r="AL1460">
        <v>82.145020509984604</v>
      </c>
      <c r="AM1460">
        <v>94.014010500994402</v>
      </c>
      <c r="AN1460">
        <v>0.99999996484490405</v>
      </c>
    </row>
    <row r="1461" spans="1:40" x14ac:dyDescent="0.3">
      <c r="A1461" t="str">
        <f>"20200111150810890"</f>
        <v>20200111150810890</v>
      </c>
      <c r="B1461" t="str">
        <f>"1578726490883756"</f>
        <v>1578726490883756</v>
      </c>
      <c r="C1461" t="s">
        <v>40</v>
      </c>
      <c r="D1461">
        <v>4.6555160000000004</v>
      </c>
      <c r="E1461">
        <v>0.50471100000000002</v>
      </c>
      <c r="F1461" t="s">
        <v>70</v>
      </c>
      <c r="G1461">
        <v>-157.25</v>
      </c>
      <c r="H1461">
        <v>18.154150000000001</v>
      </c>
      <c r="I1461">
        <v>232.7441</v>
      </c>
      <c r="J1461">
        <v>-441.53100000000001</v>
      </c>
      <c r="K1461">
        <v>1.110452</v>
      </c>
      <c r="L1461">
        <v>214.6078</v>
      </c>
      <c r="M1461">
        <v>0.9999401</v>
      </c>
      <c r="N1461">
        <v>0</v>
      </c>
      <c r="O1461">
        <v>2.6434800000000001E-3</v>
      </c>
      <c r="P1461">
        <v>0.98935399999999996</v>
      </c>
      <c r="Q1461">
        <v>0.1265783</v>
      </c>
      <c r="R1461">
        <v>7.1814219999999998E-2</v>
      </c>
      <c r="S1461">
        <v>2.9953919999999998</v>
      </c>
      <c r="T1461">
        <v>0.1794636</v>
      </c>
      <c r="U1461">
        <v>0.19097900000000001</v>
      </c>
      <c r="V1461">
        <v>-6.9305549999999994E-2</v>
      </c>
      <c r="W1461">
        <v>0.13704459999999999</v>
      </c>
      <c r="X1461">
        <v>0.98813740000000005</v>
      </c>
      <c r="Y1461">
        <v>-6.0885910000000001E-2</v>
      </c>
      <c r="Z1461">
        <v>-1.6623759999999999E-3</v>
      </c>
      <c r="AA1461">
        <v>0.99814340000000001</v>
      </c>
      <c r="AB1461">
        <v>20</v>
      </c>
      <c r="AC1461">
        <v>284.28100000000001</v>
      </c>
      <c r="AD1461">
        <v>17.043697999999999</v>
      </c>
      <c r="AE1461">
        <v>18.136299999999999</v>
      </c>
      <c r="AF1461">
        <v>-17.322690015518202</v>
      </c>
      <c r="AG1461">
        <v>17.043697999999999</v>
      </c>
      <c r="AH1461">
        <v>283.31372428945201</v>
      </c>
      <c r="AI1461">
        <v>86.563728909600499</v>
      </c>
      <c r="AJ1461">
        <v>93.498887888453993</v>
      </c>
      <c r="AK1461">
        <v>284.354056770162</v>
      </c>
      <c r="AL1461">
        <v>82.123134145620497</v>
      </c>
      <c r="AM1461">
        <v>94.012016261744094</v>
      </c>
      <c r="AN1461">
        <v>1.00000000146436</v>
      </c>
    </row>
    <row r="1462" spans="1:40" x14ac:dyDescent="0.3">
      <c r="A1462" t="str">
        <f>"20200111150810913"</f>
        <v>20200111150810913</v>
      </c>
      <c r="B1462" t="str">
        <f>"1578726490903276"</f>
        <v>1578726490903276</v>
      </c>
      <c r="C1462" t="s">
        <v>40</v>
      </c>
      <c r="D1462">
        <v>5.9389219999999998</v>
      </c>
      <c r="E1462">
        <v>0.51120880000000002</v>
      </c>
      <c r="F1462" t="s">
        <v>70</v>
      </c>
      <c r="G1462">
        <v>-167.89859999999999</v>
      </c>
      <c r="H1462">
        <v>12.29508</v>
      </c>
      <c r="I1462">
        <v>230.721</v>
      </c>
      <c r="J1462">
        <v>-441.32470000000001</v>
      </c>
      <c r="K1462">
        <v>1.110439</v>
      </c>
      <c r="L1462">
        <v>214.60910000000001</v>
      </c>
      <c r="M1462">
        <v>0.99993989999999999</v>
      </c>
      <c r="N1462">
        <v>0</v>
      </c>
      <c r="O1462">
        <v>3.3020189999999998E-3</v>
      </c>
      <c r="P1462">
        <v>0.98926729999999996</v>
      </c>
      <c r="Q1462">
        <v>0.12736620000000001</v>
      </c>
      <c r="R1462">
        <v>7.1608430000000001E-2</v>
      </c>
      <c r="S1462">
        <v>3.0037539999999998</v>
      </c>
      <c r="T1462">
        <v>0.1227779</v>
      </c>
      <c r="U1462">
        <v>0.17687990000000001</v>
      </c>
      <c r="V1462">
        <v>-6.8449590000000005E-2</v>
      </c>
      <c r="W1462">
        <v>0.13766139999999999</v>
      </c>
      <c r="X1462">
        <v>0.98811130000000003</v>
      </c>
      <c r="Y1462">
        <v>-5.544425E-2</v>
      </c>
      <c r="Z1462">
        <v>-9.9688500000000009E-4</v>
      </c>
      <c r="AA1462">
        <v>0.9984613</v>
      </c>
      <c r="AB1462">
        <v>20</v>
      </c>
      <c r="AC1462">
        <v>273.42610000000002</v>
      </c>
      <c r="AD1462">
        <v>11.184640999999999</v>
      </c>
      <c r="AE1462">
        <v>16.111899999999899</v>
      </c>
      <c r="AF1462">
        <v>-15.183586415125699</v>
      </c>
      <c r="AG1462">
        <v>11.184640999999999</v>
      </c>
      <c r="AH1462">
        <v>273.02255619807602</v>
      </c>
      <c r="AI1462">
        <v>87.657748235660506</v>
      </c>
      <c r="AJ1462">
        <v>93.18310774935</v>
      </c>
      <c r="AK1462">
        <v>273.67307811265601</v>
      </c>
      <c r="AL1462">
        <v>82.087455739884405</v>
      </c>
      <c r="AM1462">
        <v>93.962728924079698</v>
      </c>
      <c r="AN1462">
        <v>0.99999997430440801</v>
      </c>
    </row>
    <row r="1463" spans="1:40" x14ac:dyDescent="0.3">
      <c r="A1463" t="str">
        <f>"20200111150813446"</f>
        <v>20200111150813446</v>
      </c>
      <c r="B1463" t="str">
        <f>"1578726493444114"</f>
        <v>1578726493444114</v>
      </c>
      <c r="C1463" t="s">
        <v>40</v>
      </c>
      <c r="D1463">
        <v>6.0207860000000002</v>
      </c>
      <c r="E1463">
        <v>0.64271119999999904</v>
      </c>
      <c r="F1463" t="s">
        <v>70</v>
      </c>
      <c r="G1463">
        <v>-169.1439</v>
      </c>
      <c r="H1463">
        <v>14.2928</v>
      </c>
      <c r="I1463">
        <v>225.92250000000001</v>
      </c>
      <c r="J1463">
        <v>-414.44749999999999</v>
      </c>
      <c r="K1463">
        <v>1.109248</v>
      </c>
      <c r="L1463">
        <v>215.4238</v>
      </c>
      <c r="M1463">
        <v>0.99993339999999997</v>
      </c>
      <c r="N1463">
        <v>0</v>
      </c>
      <c r="O1463">
        <v>-3.8906040000000002E-4</v>
      </c>
      <c r="P1463">
        <v>0.99021599999999999</v>
      </c>
      <c r="Q1463">
        <v>0.12560930000000001</v>
      </c>
      <c r="R1463">
        <v>6.0783660000000003E-2</v>
      </c>
      <c r="S1463">
        <v>3.0047299999999999</v>
      </c>
      <c r="T1463">
        <v>0.14552679999999901</v>
      </c>
      <c r="U1463">
        <v>0.1248932</v>
      </c>
      <c r="V1463">
        <v>-6.0863830000000001E-2</v>
      </c>
      <c r="W1463">
        <v>0.13715279999999999</v>
      </c>
      <c r="X1463">
        <v>0.98867830000000001</v>
      </c>
      <c r="Y1463">
        <v>-4.1868969999999998E-2</v>
      </c>
      <c r="Z1463">
        <v>-1.0317060000000001E-3</v>
      </c>
      <c r="AA1463">
        <v>0.99912259999999997</v>
      </c>
      <c r="AB1463">
        <v>27</v>
      </c>
      <c r="AC1463">
        <v>245.30359999999999</v>
      </c>
      <c r="AD1463">
        <v>13.183552000000001</v>
      </c>
      <c r="AE1463">
        <v>10.498699999999999</v>
      </c>
      <c r="AF1463">
        <v>-10.563687127102201</v>
      </c>
      <c r="AG1463">
        <v>13.183552000000001</v>
      </c>
      <c r="AH1463">
        <v>244.594302577658</v>
      </c>
      <c r="AI1463">
        <v>86.917629660846004</v>
      </c>
      <c r="AJ1463">
        <v>92.472988064075494</v>
      </c>
      <c r="AK1463">
        <v>245.177018463205</v>
      </c>
      <c r="AL1463">
        <v>82.116875940489507</v>
      </c>
      <c r="AM1463">
        <v>93.5227286140383</v>
      </c>
      <c r="AN1463">
        <v>1.0000000386204899</v>
      </c>
    </row>
    <row r="1464" spans="1:40" x14ac:dyDescent="0.3">
      <c r="A1464" t="str">
        <f>"20200111150813535"</f>
        <v>20200111150813535</v>
      </c>
      <c r="B1464" t="str">
        <f>"1578726493533906"</f>
        <v>1578726493533906</v>
      </c>
      <c r="C1464" t="s">
        <v>40</v>
      </c>
      <c r="D1464">
        <v>5.4926399999999997</v>
      </c>
      <c r="E1464">
        <v>0.60881790000000002</v>
      </c>
      <c r="F1464" t="s">
        <v>55</v>
      </c>
      <c r="G1464">
        <v>-398.62299999999999</v>
      </c>
      <c r="H1464" s="1">
        <v>3.0519299999999999E-6</v>
      </c>
      <c r="I1464">
        <v>210.55279999999999</v>
      </c>
      <c r="J1464">
        <v>-413.37509999999997</v>
      </c>
      <c r="K1464">
        <v>1.1097189999999999</v>
      </c>
      <c r="L1464">
        <v>215.41749999999999</v>
      </c>
      <c r="M1464">
        <v>0.99992610000000004</v>
      </c>
      <c r="N1464">
        <v>0</v>
      </c>
      <c r="O1464">
        <v>-3.862168E-3</v>
      </c>
      <c r="P1464">
        <v>0.98977760000000004</v>
      </c>
      <c r="Q1464">
        <v>0.12862599999999999</v>
      </c>
      <c r="R1464">
        <v>6.1610310000000001E-2</v>
      </c>
      <c r="S1464">
        <v>3.116241</v>
      </c>
      <c r="T1464">
        <v>-0.2184382</v>
      </c>
      <c r="U1464">
        <v>-0.95921330000000005</v>
      </c>
      <c r="V1464">
        <v>-6.5270250000000002E-2</v>
      </c>
      <c r="W1464">
        <v>0.14011080000000001</v>
      </c>
      <c r="X1464">
        <v>0.98798220000000003</v>
      </c>
      <c r="Y1464">
        <v>0.28985490000000003</v>
      </c>
      <c r="Z1464">
        <v>-9.653422E-3</v>
      </c>
      <c r="AA1464">
        <v>0.95702200000000004</v>
      </c>
      <c r="AB1464">
        <v>27</v>
      </c>
      <c r="AC1464">
        <v>14.752099999999899</v>
      </c>
      <c r="AD1464">
        <v>-1.1097159480700001</v>
      </c>
      <c r="AE1464">
        <v>-4.8646999999999903</v>
      </c>
      <c r="AF1464">
        <v>4.7832724723759803</v>
      </c>
      <c r="AG1464">
        <v>-1.1097159480700001</v>
      </c>
      <c r="AH1464">
        <v>14.695776727552399</v>
      </c>
      <c r="AI1464">
        <v>94.107060964012206</v>
      </c>
      <c r="AJ1464">
        <v>71.9706462830719</v>
      </c>
      <c r="AK1464">
        <v>15.4944189518827</v>
      </c>
      <c r="AL1464">
        <v>81.945742466836904</v>
      </c>
      <c r="AM1464">
        <v>93.779707193742993</v>
      </c>
      <c r="AN1464">
        <v>1.0000000346642699</v>
      </c>
    </row>
    <row r="1465" spans="1:40" x14ac:dyDescent="0.3">
      <c r="A1465" t="str">
        <f>"20200111150813558"</f>
        <v>20200111150813558</v>
      </c>
      <c r="B1465" t="str">
        <f>"1578726493553426"</f>
        <v>1578726493553426</v>
      </c>
      <c r="C1465" t="s">
        <v>40</v>
      </c>
      <c r="D1465">
        <v>7.6900789999999901</v>
      </c>
      <c r="E1465">
        <v>0.60073849999999995</v>
      </c>
      <c r="F1465" t="s">
        <v>41</v>
      </c>
      <c r="G1465">
        <v>-412.6739</v>
      </c>
      <c r="H1465">
        <v>0.88239979999999996</v>
      </c>
      <c r="I1465">
        <v>215.26580000000001</v>
      </c>
      <c r="J1465">
        <v>-413.11079999999998</v>
      </c>
      <c r="K1465">
        <v>1.109861</v>
      </c>
      <c r="L1465">
        <v>215.416</v>
      </c>
      <c r="M1465">
        <v>0.99992440000000005</v>
      </c>
      <c r="N1465">
        <v>0</v>
      </c>
      <c r="O1465">
        <v>-4.2605079999999997E-3</v>
      </c>
      <c r="P1465">
        <v>0.98996320000000004</v>
      </c>
      <c r="Q1465">
        <v>0.1280878</v>
      </c>
      <c r="R1465">
        <v>5.9719920000000003E-2</v>
      </c>
      <c r="S1465">
        <v>3.2094119999999999</v>
      </c>
      <c r="T1465">
        <v>-1.0405629999999999</v>
      </c>
      <c r="U1465">
        <v>-0.69404600000000005</v>
      </c>
      <c r="V1465">
        <v>-6.3824259999999994E-2</v>
      </c>
      <c r="W1465">
        <v>0.13955229999999999</v>
      </c>
      <c r="X1465">
        <v>0.98815569999999997</v>
      </c>
      <c r="Y1465">
        <v>0.1977216</v>
      </c>
      <c r="Z1465">
        <v>-2.9587809999999999E-2</v>
      </c>
      <c r="AA1465">
        <v>0.9798116</v>
      </c>
      <c r="AB1465">
        <v>27</v>
      </c>
      <c r="AC1465">
        <v>0.43689999999998003</v>
      </c>
      <c r="AD1465">
        <v>-0.2274612</v>
      </c>
      <c r="AE1465">
        <v>-0.15019999999998301</v>
      </c>
      <c r="AF1465">
        <v>0.11939544894319</v>
      </c>
      <c r="AG1465">
        <v>-0.2274612</v>
      </c>
      <c r="AH1465">
        <v>0.35216954403165701</v>
      </c>
      <c r="AI1465">
        <v>121.453612445605</v>
      </c>
      <c r="AJ1465">
        <v>71.271885770515297</v>
      </c>
      <c r="AK1465">
        <v>0.435909690735651</v>
      </c>
      <c r="AL1465">
        <v>81.978059660392304</v>
      </c>
      <c r="AM1465">
        <v>93.695559535792697</v>
      </c>
      <c r="AN1465">
        <v>1.0000000340211599</v>
      </c>
    </row>
    <row r="1466" spans="1:40" x14ac:dyDescent="0.3">
      <c r="A1466" t="str">
        <f>"20200111150813580"</f>
        <v>20200111150813580</v>
      </c>
      <c r="B1466" t="str">
        <f>"1578726493573922"</f>
        <v>1578726493573922</v>
      </c>
      <c r="C1466" t="s">
        <v>40</v>
      </c>
      <c r="D1466">
        <v>6.4735170000000002</v>
      </c>
      <c r="E1466">
        <v>0.56275659999999905</v>
      </c>
      <c r="F1466" t="s">
        <v>41</v>
      </c>
      <c r="G1466">
        <v>-412.4248</v>
      </c>
      <c r="H1466">
        <v>0.90860350000000001</v>
      </c>
      <c r="I1466">
        <v>215.27930000000001</v>
      </c>
      <c r="J1466">
        <v>-412.83870000000002</v>
      </c>
      <c r="K1466">
        <v>1.1100049999999999</v>
      </c>
      <c r="L1466">
        <v>215.4144</v>
      </c>
      <c r="M1466">
        <v>0.99992329999999996</v>
      </c>
      <c r="N1466">
        <v>0</v>
      </c>
      <c r="O1466">
        <v>-4.4807140000000002E-3</v>
      </c>
      <c r="P1466">
        <v>0.99004970000000003</v>
      </c>
      <c r="Q1466">
        <v>0.12790509999999999</v>
      </c>
      <c r="R1466">
        <v>5.867087E-2</v>
      </c>
      <c r="S1466">
        <v>3.1897280000000001</v>
      </c>
      <c r="T1466">
        <v>-0.93576970000000004</v>
      </c>
      <c r="U1466">
        <v>-0.63406370000000001</v>
      </c>
      <c r="V1466">
        <v>-6.3042470000000003E-2</v>
      </c>
      <c r="W1466">
        <v>0.13934969999999999</v>
      </c>
      <c r="X1466">
        <v>0.98823450000000002</v>
      </c>
      <c r="Y1466">
        <v>0.1833169</v>
      </c>
      <c r="Z1466">
        <v>-2.48192E-2</v>
      </c>
      <c r="AA1466">
        <v>0.98274050000000002</v>
      </c>
      <c r="AB1466">
        <v>27</v>
      </c>
      <c r="AC1466">
        <v>0.41390000000001198</v>
      </c>
      <c r="AD1466">
        <v>-0.20140149999999901</v>
      </c>
      <c r="AE1466">
        <v>-0.135099999999994</v>
      </c>
      <c r="AF1466">
        <v>0.109758233888193</v>
      </c>
      <c r="AG1466">
        <v>-0.20140149999999901</v>
      </c>
      <c r="AH1466">
        <v>0.34144080865395499</v>
      </c>
      <c r="AI1466">
        <v>119.316689142245</v>
      </c>
      <c r="AJ1466">
        <v>72.179681043973304</v>
      </c>
      <c r="AK1466">
        <v>0.41132865195944202</v>
      </c>
      <c r="AL1466">
        <v>81.989782532483105</v>
      </c>
      <c r="AM1466">
        <v>93.650125107382195</v>
      </c>
      <c r="AN1466">
        <v>1.00000005945201</v>
      </c>
    </row>
    <row r="1467" spans="1:40" x14ac:dyDescent="0.3">
      <c r="A1467" t="str">
        <f>"20200111150816170"</f>
        <v>20200111150816170</v>
      </c>
      <c r="B1467" t="str">
        <f>"1578726496163887"</f>
        <v>1578726496163887</v>
      </c>
      <c r="C1467" t="s">
        <v>40</v>
      </c>
      <c r="D1467">
        <v>9.3996519999999997</v>
      </c>
      <c r="E1467">
        <v>0.51327400000000001</v>
      </c>
      <c r="F1467" t="s">
        <v>55</v>
      </c>
      <c r="G1467">
        <v>-340.8057</v>
      </c>
      <c r="H1467" s="1">
        <v>-1.108054E-6</v>
      </c>
      <c r="I1467">
        <v>213.0703</v>
      </c>
      <c r="J1467">
        <v>-381.46609999999998</v>
      </c>
      <c r="K1467">
        <v>1.109672</v>
      </c>
      <c r="L1467">
        <v>215.0008</v>
      </c>
      <c r="M1467">
        <v>0.99889360000000005</v>
      </c>
      <c r="N1467">
        <v>0</v>
      </c>
      <c r="O1467">
        <v>-4.555066E-2</v>
      </c>
      <c r="P1467">
        <v>0.99197029999999997</v>
      </c>
      <c r="Q1467">
        <v>0.124941</v>
      </c>
      <c r="R1467">
        <v>1.961653E-2</v>
      </c>
      <c r="S1467">
        <v>3.0379939999999999</v>
      </c>
      <c r="T1467">
        <v>-8.2346799999999998E-2</v>
      </c>
      <c r="U1467">
        <v>-0.14424129999999999</v>
      </c>
      <c r="V1467">
        <v>-6.4619120000000002E-2</v>
      </c>
      <c r="W1467">
        <v>0.1365992</v>
      </c>
      <c r="X1467">
        <v>0.98851659999999997</v>
      </c>
      <c r="Y1467">
        <v>1.889937E-3</v>
      </c>
      <c r="Z1467">
        <v>1.2075949999999999E-3</v>
      </c>
      <c r="AA1467">
        <v>0.99999749999999998</v>
      </c>
      <c r="AB1467">
        <v>27</v>
      </c>
      <c r="AC1467">
        <v>40.660399999999903</v>
      </c>
      <c r="AD1467">
        <v>-1.1096731080539901</v>
      </c>
      <c r="AE1467">
        <v>-1.9304999999999899</v>
      </c>
      <c r="AF1467">
        <v>7.6204621595572203E-2</v>
      </c>
      <c r="AG1467">
        <v>-1.1096731080539901</v>
      </c>
      <c r="AH1467">
        <v>40.675903738878901</v>
      </c>
      <c r="AI1467">
        <v>91.562687058235596</v>
      </c>
      <c r="AJ1467">
        <v>89.892658854819203</v>
      </c>
      <c r="AK1467">
        <v>40.691108691280803</v>
      </c>
      <c r="AL1467">
        <v>82.148896107532707</v>
      </c>
      <c r="AM1467">
        <v>93.740091585981105</v>
      </c>
      <c r="AN1467">
        <v>1.00000002029288</v>
      </c>
    </row>
    <row r="1468" spans="1:40" x14ac:dyDescent="0.3">
      <c r="A1468" t="str">
        <f>"20200111150816194"</f>
        <v>20200111150816194</v>
      </c>
      <c r="B1468" t="str">
        <f>"1578726496184383"</f>
        <v>1578726496184383</v>
      </c>
      <c r="C1468" t="s">
        <v>40</v>
      </c>
      <c r="D1468">
        <v>8.1168069999999997</v>
      </c>
      <c r="E1468">
        <v>0.50047640000000004</v>
      </c>
      <c r="F1468" t="s">
        <v>71</v>
      </c>
      <c r="G1468">
        <v>-107.39749999999999</v>
      </c>
      <c r="H1468">
        <v>6.7477649999999896</v>
      </c>
      <c r="I1468">
        <v>210.40090000000001</v>
      </c>
      <c r="J1468">
        <v>-381.18419999999998</v>
      </c>
      <c r="K1468">
        <v>1.109667</v>
      </c>
      <c r="L1468">
        <v>214.9872</v>
      </c>
      <c r="M1468">
        <v>0.9988629</v>
      </c>
      <c r="N1468">
        <v>0</v>
      </c>
      <c r="O1468">
        <v>-4.622681E-2</v>
      </c>
      <c r="P1468">
        <v>0.99199619999999999</v>
      </c>
      <c r="Q1468">
        <v>0.124974</v>
      </c>
      <c r="R1468">
        <v>1.8038510000000001E-2</v>
      </c>
      <c r="S1468">
        <v>3.0174560000000001</v>
      </c>
      <c r="T1468">
        <v>6.2075140000000001E-2</v>
      </c>
      <c r="U1468">
        <v>-5.0643920000000002E-2</v>
      </c>
      <c r="V1468">
        <v>-6.3714599999999996E-2</v>
      </c>
      <c r="W1468">
        <v>0.13659540000000001</v>
      </c>
      <c r="X1468">
        <v>0.9885758</v>
      </c>
      <c r="Y1468">
        <v>-2.9444100000000001E-2</v>
      </c>
      <c r="Z1468">
        <v>-1.2533380000000001E-3</v>
      </c>
      <c r="AA1468">
        <v>0.9995657</v>
      </c>
      <c r="AB1468">
        <v>27</v>
      </c>
      <c r="AC1468">
        <v>273.7867</v>
      </c>
      <c r="AD1468">
        <v>5.6380979999999896</v>
      </c>
      <c r="AE1468">
        <v>-4.5862999999999898</v>
      </c>
      <c r="AF1468">
        <v>-8.0723276732826896</v>
      </c>
      <c r="AG1468">
        <v>5.6380979999999896</v>
      </c>
      <c r="AH1468">
        <v>273.59000873513799</v>
      </c>
      <c r="AI1468">
        <v>88.819938481471496</v>
      </c>
      <c r="AJ1468">
        <v>91.6900330713746</v>
      </c>
      <c r="AK1468">
        <v>273.767133715527</v>
      </c>
      <c r="AL1468">
        <v>82.149115596577801</v>
      </c>
      <c r="AM1468">
        <v>93.687664112578602</v>
      </c>
      <c r="AN1468">
        <v>0.99999998294997905</v>
      </c>
    </row>
    <row r="1469" spans="1:40" x14ac:dyDescent="0.3">
      <c r="A1469" t="str">
        <f>"20200111150816216"</f>
        <v>20200111150816216</v>
      </c>
      <c r="B1469" t="str">
        <f>"1578726496213663"</f>
        <v>1578726496213663</v>
      </c>
      <c r="C1469" t="s">
        <v>40</v>
      </c>
      <c r="D1469">
        <v>8.1550060000000002</v>
      </c>
      <c r="E1469">
        <v>0.56229779999999996</v>
      </c>
      <c r="F1469" t="s">
        <v>70</v>
      </c>
      <c r="G1469">
        <v>-124.6118</v>
      </c>
      <c r="H1469">
        <v>17.476120000000002</v>
      </c>
      <c r="I1469">
        <v>219.10550000000001</v>
      </c>
      <c r="J1469">
        <v>-380.90949999999998</v>
      </c>
      <c r="K1469">
        <v>1.1096619999999999</v>
      </c>
      <c r="L1469">
        <v>214.97370000000001</v>
      </c>
      <c r="M1469">
        <v>0.99883259999999996</v>
      </c>
      <c r="N1469">
        <v>0</v>
      </c>
      <c r="O1469">
        <v>-4.6885679999999999E-2</v>
      </c>
      <c r="P1469">
        <v>0.99208929999999995</v>
      </c>
      <c r="Q1469">
        <v>0.1243853</v>
      </c>
      <c r="R1469">
        <v>1.6941600000000001E-2</v>
      </c>
      <c r="S1469">
        <v>2.9992369999999999</v>
      </c>
      <c r="T1469">
        <v>0.1913184</v>
      </c>
      <c r="U1469">
        <v>4.814148E-2</v>
      </c>
      <c r="V1469">
        <v>-6.3276490000000005E-2</v>
      </c>
      <c r="W1469">
        <v>0.135971799999999</v>
      </c>
      <c r="X1469">
        <v>0.98868990000000001</v>
      </c>
      <c r="Y1469">
        <v>-6.269168E-2</v>
      </c>
      <c r="Z1469">
        <v>-4.9845860000000001E-3</v>
      </c>
      <c r="AA1469">
        <v>0.99802049999999998</v>
      </c>
      <c r="AB1469">
        <v>27</v>
      </c>
      <c r="AC1469">
        <v>256.29770000000002</v>
      </c>
      <c r="AD1469">
        <v>16.366457999999898</v>
      </c>
      <c r="AE1469">
        <v>4.1317999999999904</v>
      </c>
      <c r="AF1469">
        <v>-16.079209796202001</v>
      </c>
      <c r="AG1469">
        <v>16.366457999999898</v>
      </c>
      <c r="AH1469">
        <v>254.783394575546</v>
      </c>
      <c r="AI1469">
        <v>86.331832536997297</v>
      </c>
      <c r="AJ1469">
        <v>93.611109349515104</v>
      </c>
      <c r="AK1469">
        <v>255.81434691309701</v>
      </c>
      <c r="AL1469">
        <v>82.185181736384706</v>
      </c>
      <c r="AM1469">
        <v>93.661954990782704</v>
      </c>
      <c r="AN1469">
        <v>0.99999998147198399</v>
      </c>
    </row>
    <row r="1470" spans="1:40" x14ac:dyDescent="0.3">
      <c r="A1470" t="str">
        <f>"20200111150816238"</f>
        <v>20200111150816238</v>
      </c>
      <c r="B1470" t="str">
        <f>"1578726496234159"</f>
        <v>1578726496234159</v>
      </c>
      <c r="C1470" t="s">
        <v>40</v>
      </c>
      <c r="D1470">
        <v>5.5155000000000003</v>
      </c>
      <c r="E1470">
        <v>0.46553670000000003</v>
      </c>
      <c r="F1470" t="s">
        <v>73</v>
      </c>
      <c r="G1470">
        <v>-168.42410000000001</v>
      </c>
      <c r="H1470">
        <v>17.929870000000001</v>
      </c>
      <c r="I1470">
        <v>183.27619999999999</v>
      </c>
      <c r="J1470">
        <v>-380.64789999999999</v>
      </c>
      <c r="K1470">
        <v>1.109645</v>
      </c>
      <c r="L1470">
        <v>214.9607</v>
      </c>
      <c r="M1470">
        <v>0.99880329999999995</v>
      </c>
      <c r="N1470">
        <v>0</v>
      </c>
      <c r="O1470">
        <v>-4.7513319999999998E-2</v>
      </c>
      <c r="P1470">
        <v>0.99220960000000002</v>
      </c>
      <c r="Q1470">
        <v>0.1235995</v>
      </c>
      <c r="R1470">
        <v>1.5599740000000001E-2</v>
      </c>
      <c r="S1470">
        <v>3.0017399999999999</v>
      </c>
      <c r="T1470">
        <v>0.2376163</v>
      </c>
      <c r="U1470">
        <v>-0.44778440000000003</v>
      </c>
      <c r="V1470">
        <v>-6.2564620000000001E-2</v>
      </c>
      <c r="W1470">
        <v>0.13515079999999999</v>
      </c>
      <c r="X1470">
        <v>0.98884780000000005</v>
      </c>
      <c r="Y1470">
        <v>0.10021819999999999</v>
      </c>
      <c r="Z1470">
        <v>2.0812059999999999E-4</v>
      </c>
      <c r="AA1470">
        <v>0.99496549999999995</v>
      </c>
      <c r="AB1470">
        <v>27</v>
      </c>
      <c r="AC1470">
        <v>212.22380000000001</v>
      </c>
      <c r="AD1470">
        <v>16.820225000000001</v>
      </c>
      <c r="AE1470">
        <v>-31.6845</v>
      </c>
      <c r="AF1470">
        <v>21.432876770892602</v>
      </c>
      <c r="AG1470">
        <v>16.820225000000001</v>
      </c>
      <c r="AH1470">
        <v>212.18579985974401</v>
      </c>
      <c r="AI1470">
        <v>85.4904240796957</v>
      </c>
      <c r="AJ1470">
        <v>84.232119737413299</v>
      </c>
      <c r="AK1470">
        <v>213.92779585141801</v>
      </c>
      <c r="AL1470">
        <v>82.232660154807604</v>
      </c>
      <c r="AM1470">
        <v>93.620291024379497</v>
      </c>
      <c r="AN1470">
        <v>1.0000000209906099</v>
      </c>
    </row>
    <row r="1471" spans="1:40" x14ac:dyDescent="0.3">
      <c r="A1471" t="str">
        <f>"20200111150816261"</f>
        <v>20200111150816261</v>
      </c>
      <c r="B1471" t="str">
        <f>"1578726496253679"</f>
        <v>1578726496253679</v>
      </c>
      <c r="C1471" t="s">
        <v>40</v>
      </c>
      <c r="D1471">
        <v>5.0734680000000001</v>
      </c>
      <c r="E1471">
        <v>0.48901620000000001</v>
      </c>
      <c r="F1471" t="s">
        <v>72</v>
      </c>
      <c r="G1471">
        <v>-238.87020000000001</v>
      </c>
      <c r="H1471">
        <v>30.36805</v>
      </c>
      <c r="I1471">
        <v>230.60599999999999</v>
      </c>
      <c r="J1471">
        <v>-380.36959999999999</v>
      </c>
      <c r="K1471">
        <v>1.109639</v>
      </c>
      <c r="L1471">
        <v>214.9468</v>
      </c>
      <c r="M1471">
        <v>0.99877179999999999</v>
      </c>
      <c r="N1471">
        <v>0</v>
      </c>
      <c r="O1471">
        <v>-4.8180279999999999E-2</v>
      </c>
      <c r="P1471">
        <v>0.99225439999999998</v>
      </c>
      <c r="Q1471">
        <v>0.12336030000000001</v>
      </c>
      <c r="R1471">
        <v>1.460913E-2</v>
      </c>
      <c r="S1471">
        <v>2.94278</v>
      </c>
      <c r="T1471">
        <v>0.6072959</v>
      </c>
      <c r="U1471">
        <v>0.32473750000000001</v>
      </c>
      <c r="V1471">
        <v>-6.2239269999999999E-2</v>
      </c>
      <c r="W1471">
        <v>0.13487389999999999</v>
      </c>
      <c r="X1471">
        <v>0.98890610000000001</v>
      </c>
      <c r="Y1471">
        <v>-0.1532511</v>
      </c>
      <c r="Z1471">
        <v>-2.5416870000000001E-2</v>
      </c>
      <c r="AA1471">
        <v>0.98786039999999997</v>
      </c>
      <c r="AB1471">
        <v>27</v>
      </c>
      <c r="AC1471">
        <v>141.49939999999901</v>
      </c>
      <c r="AD1471">
        <v>29.258410999999999</v>
      </c>
      <c r="AE1471">
        <v>15.659199999999901</v>
      </c>
      <c r="AF1471">
        <v>-21.5487659846446</v>
      </c>
      <c r="AG1471">
        <v>29.258410999999999</v>
      </c>
      <c r="AH1471">
        <v>134.88330080272101</v>
      </c>
      <c r="AI1471">
        <v>77.909927039768803</v>
      </c>
      <c r="AJ1471">
        <v>99.076789907913906</v>
      </c>
      <c r="AK1471">
        <v>139.69219292839301</v>
      </c>
      <c r="AL1471">
        <v>82.248671681599404</v>
      </c>
      <c r="AM1471">
        <v>93.601302617719895</v>
      </c>
      <c r="AN1471">
        <v>0.99999998512427601</v>
      </c>
    </row>
    <row r="1472" spans="1:40" x14ac:dyDescent="0.3">
      <c r="A1472" t="str">
        <f>"20200111150816282"</f>
        <v>20200111150816282</v>
      </c>
      <c r="B1472" t="str">
        <f>"1578726496274175"</f>
        <v>1578726496274175</v>
      </c>
      <c r="C1472" t="s">
        <v>40</v>
      </c>
      <c r="D1472">
        <v>7.6722509999999904</v>
      </c>
      <c r="E1472">
        <v>0.48663469999999998</v>
      </c>
      <c r="F1472" t="s">
        <v>70</v>
      </c>
      <c r="G1472">
        <v>-157.25</v>
      </c>
      <c r="H1472">
        <v>35.857610000000001</v>
      </c>
      <c r="I1472">
        <v>224.92339999999999</v>
      </c>
      <c r="J1472">
        <v>-380.09100000000001</v>
      </c>
      <c r="K1472">
        <v>1.109634</v>
      </c>
      <c r="L1472">
        <v>214.93260000000001</v>
      </c>
      <c r="M1472">
        <v>0.99873990000000001</v>
      </c>
      <c r="N1472">
        <v>0</v>
      </c>
      <c r="O1472">
        <v>-4.884724E-2</v>
      </c>
      <c r="P1472">
        <v>0.99220680000000006</v>
      </c>
      <c r="Q1472">
        <v>0.1237307</v>
      </c>
      <c r="R1472">
        <v>1.4716079999999999E-2</v>
      </c>
      <c r="S1472">
        <v>2.9641109999999999</v>
      </c>
      <c r="T1472">
        <v>0.46162239999999999</v>
      </c>
      <c r="U1472">
        <v>0.13253779999999901</v>
      </c>
      <c r="V1472">
        <v>-6.3004550000000006E-2</v>
      </c>
      <c r="W1472">
        <v>0.13520409999999999</v>
      </c>
      <c r="X1472">
        <v>0.98881260000000004</v>
      </c>
      <c r="Y1472">
        <v>-9.1726169999999996E-2</v>
      </c>
      <c r="Z1472">
        <v>-1.465464E-2</v>
      </c>
      <c r="AA1472">
        <v>0.99567649999999996</v>
      </c>
      <c r="AB1472">
        <v>27</v>
      </c>
      <c r="AC1472">
        <v>222.84099999999901</v>
      </c>
      <c r="AD1472">
        <v>34.747976000000001</v>
      </c>
      <c r="AE1472">
        <v>9.9907999999999806</v>
      </c>
      <c r="AF1472">
        <v>-20.370453579613301</v>
      </c>
      <c r="AG1472">
        <v>34.747976000000001</v>
      </c>
      <c r="AH1472">
        <v>216.825427122988</v>
      </c>
      <c r="AI1472">
        <v>80.934571125603995</v>
      </c>
      <c r="AJ1472">
        <v>95.367106800257005</v>
      </c>
      <c r="AK1472">
        <v>220.534902140686</v>
      </c>
      <c r="AL1472">
        <v>82.229578148192005</v>
      </c>
      <c r="AM1472">
        <v>93.6458085127761</v>
      </c>
      <c r="AN1472">
        <v>1.0000000399481299</v>
      </c>
    </row>
    <row r="1473" spans="1:40" x14ac:dyDescent="0.3">
      <c r="A1473" t="str">
        <f>"20200111150816304"</f>
        <v>20200111150816304</v>
      </c>
      <c r="B1473" t="str">
        <f>"1578726496294207"</f>
        <v>1578726496294207</v>
      </c>
      <c r="C1473" t="s">
        <v>40</v>
      </c>
      <c r="D1473">
        <v>6.804373</v>
      </c>
      <c r="E1473">
        <v>0.48730230000000002</v>
      </c>
      <c r="F1473" t="s">
        <v>70</v>
      </c>
      <c r="G1473">
        <v>-157.25</v>
      </c>
      <c r="H1473">
        <v>31.0932</v>
      </c>
      <c r="I1473">
        <v>226.26689999999999</v>
      </c>
      <c r="J1473">
        <v>-379.822</v>
      </c>
      <c r="K1473">
        <v>1.1096280000000001</v>
      </c>
      <c r="L1473">
        <v>214.9187</v>
      </c>
      <c r="M1473">
        <v>0.99870879999999995</v>
      </c>
      <c r="N1473">
        <v>0</v>
      </c>
      <c r="O1473">
        <v>-4.9491319999999998E-2</v>
      </c>
      <c r="P1473">
        <v>0.99215299999999995</v>
      </c>
      <c r="Q1473">
        <v>0.1241496</v>
      </c>
      <c r="R1473">
        <v>1.4813659999999999E-2</v>
      </c>
      <c r="S1473">
        <v>2.9714969999999998</v>
      </c>
      <c r="T1473">
        <v>0.3998196</v>
      </c>
      <c r="U1473">
        <v>0.151138299999999</v>
      </c>
      <c r="V1473">
        <v>-6.373674E-2</v>
      </c>
      <c r="W1473">
        <v>0.13558399999999901</v>
      </c>
      <c r="X1473">
        <v>0.98871359999999997</v>
      </c>
      <c r="Y1473">
        <v>-9.883169E-2</v>
      </c>
      <c r="Z1473">
        <v>-1.3240450000000001E-2</v>
      </c>
      <c r="AA1473">
        <v>0.99501609999999996</v>
      </c>
      <c r="AB1473">
        <v>27</v>
      </c>
      <c r="AC1473">
        <v>222.572</v>
      </c>
      <c r="AD1473">
        <v>29.983571999999999</v>
      </c>
      <c r="AE1473">
        <v>11.348199999999901</v>
      </c>
      <c r="AF1473">
        <v>-21.953029368443801</v>
      </c>
      <c r="AG1473">
        <v>29.983571999999999</v>
      </c>
      <c r="AH1473">
        <v>217.795267902679</v>
      </c>
      <c r="AI1473">
        <v>82.200473501688904</v>
      </c>
      <c r="AJ1473">
        <v>95.755781271541096</v>
      </c>
      <c r="AK1473">
        <v>220.94281796231999</v>
      </c>
      <c r="AL1473">
        <v>82.207608780712505</v>
      </c>
      <c r="AM1473">
        <v>93.688429270877705</v>
      </c>
      <c r="AN1473">
        <v>0.99999998795339295</v>
      </c>
    </row>
    <row r="1474" spans="1:40" x14ac:dyDescent="0.3">
      <c r="A1474" t="str">
        <f>"20200111150816326"</f>
        <v>20200111150816326</v>
      </c>
      <c r="B1474" t="str">
        <f>"1578726496324458"</f>
        <v>1578726496324458</v>
      </c>
      <c r="C1474" t="s">
        <v>40</v>
      </c>
      <c r="D1474">
        <v>4.6496230000000001</v>
      </c>
      <c r="E1474">
        <v>0.4856085</v>
      </c>
      <c r="F1474" t="s">
        <v>70</v>
      </c>
      <c r="G1474">
        <v>-157.25</v>
      </c>
      <c r="H1474">
        <v>28.882570000000001</v>
      </c>
      <c r="I1474">
        <v>225.82259999999999</v>
      </c>
      <c r="J1474">
        <v>-379.55869999999999</v>
      </c>
      <c r="K1474">
        <v>1.1096250000000001</v>
      </c>
      <c r="L1474">
        <v>214.905</v>
      </c>
      <c r="M1474">
        <v>0.99867760000000005</v>
      </c>
      <c r="N1474">
        <v>0</v>
      </c>
      <c r="O1474">
        <v>-5.012171E-2</v>
      </c>
      <c r="P1474">
        <v>0.99212</v>
      </c>
      <c r="Q1474">
        <v>0.12439459999999999</v>
      </c>
      <c r="R1474">
        <v>1.4961479999999999E-2</v>
      </c>
      <c r="S1474">
        <v>2.975098</v>
      </c>
      <c r="T1474">
        <v>0.37123879999999998</v>
      </c>
      <c r="U1474">
        <v>0.14575199999999999</v>
      </c>
      <c r="V1474">
        <v>-6.4507560000000005E-2</v>
      </c>
      <c r="W1474">
        <v>0.13579369999999999</v>
      </c>
      <c r="X1474">
        <v>0.98863480000000004</v>
      </c>
      <c r="Y1474">
        <v>-9.7790550000000004E-2</v>
      </c>
      <c r="Z1474">
        <v>-1.230087E-2</v>
      </c>
      <c r="AA1474">
        <v>0.99513099999999999</v>
      </c>
      <c r="AB1474">
        <v>27</v>
      </c>
      <c r="AC1474">
        <v>222.30869999999999</v>
      </c>
      <c r="AD1474">
        <v>27.772945</v>
      </c>
      <c r="AE1474">
        <v>10.917599999999901</v>
      </c>
      <c r="AF1474">
        <v>-21.709089860646301</v>
      </c>
      <c r="AG1474">
        <v>27.772945</v>
      </c>
      <c r="AH1474">
        <v>218.08642713821601</v>
      </c>
      <c r="AI1474">
        <v>82.777856003544599</v>
      </c>
      <c r="AJ1474">
        <v>95.684696347692807</v>
      </c>
      <c r="AK1474">
        <v>220.91697707162101</v>
      </c>
      <c r="AL1474">
        <v>82.1954814867034</v>
      </c>
      <c r="AM1474">
        <v>93.733207752964802</v>
      </c>
      <c r="AN1474">
        <v>0.99999996101394095</v>
      </c>
    </row>
    <row r="1475" spans="1:40" x14ac:dyDescent="0.3">
      <c r="A1475" t="str">
        <f>"20200111150816350"</f>
        <v>20200111150816350</v>
      </c>
      <c r="B1475" t="str">
        <f>"1578726496343977"</f>
        <v>1578726496343977</v>
      </c>
      <c r="C1475" t="s">
        <v>40</v>
      </c>
      <c r="D1475">
        <v>5.9815779999999998</v>
      </c>
      <c r="E1475">
        <v>0.4866878</v>
      </c>
      <c r="F1475" t="s">
        <v>70</v>
      </c>
      <c r="G1475">
        <v>-157.25</v>
      </c>
      <c r="H1475">
        <v>34.91751</v>
      </c>
      <c r="I1475">
        <v>226.94800000000001</v>
      </c>
      <c r="J1475">
        <v>-379.2722</v>
      </c>
      <c r="K1475">
        <v>1.109623</v>
      </c>
      <c r="L1475">
        <v>214.88980000000001</v>
      </c>
      <c r="M1475">
        <v>0.99864330000000001</v>
      </c>
      <c r="N1475">
        <v>0</v>
      </c>
      <c r="O1475">
        <v>-5.0808020000000002E-2</v>
      </c>
      <c r="P1475">
        <v>0.9921008</v>
      </c>
      <c r="Q1475">
        <v>0.124617699999999</v>
      </c>
      <c r="R1475">
        <v>1.438303E-2</v>
      </c>
      <c r="S1475">
        <v>2.9648439999999998</v>
      </c>
      <c r="T1475">
        <v>0.45088299999999998</v>
      </c>
      <c r="U1475">
        <v>0.16061400000000001</v>
      </c>
      <c r="V1475">
        <v>-6.4608639999999995E-2</v>
      </c>
      <c r="W1475">
        <v>0.13598170000000001</v>
      </c>
      <c r="X1475">
        <v>0.98860239999999999</v>
      </c>
      <c r="Y1475">
        <v>-0.1029965</v>
      </c>
      <c r="Z1475">
        <v>-1.5458939999999999E-2</v>
      </c>
      <c r="AA1475">
        <v>0.99456160000000005</v>
      </c>
      <c r="AB1475">
        <v>27</v>
      </c>
      <c r="AC1475">
        <v>222.0222</v>
      </c>
      <c r="AD1475">
        <v>33.807887000000001</v>
      </c>
      <c r="AE1475">
        <v>12.0581999999999</v>
      </c>
      <c r="AF1475">
        <v>-22.796832350660399</v>
      </c>
      <c r="AG1475">
        <v>33.807887000000001</v>
      </c>
      <c r="AH1475">
        <v>216.12615043727999</v>
      </c>
      <c r="AI1475">
        <v>81.157733173191005</v>
      </c>
      <c r="AJ1475">
        <v>96.021253286397396</v>
      </c>
      <c r="AK1475">
        <v>219.93904085329299</v>
      </c>
      <c r="AL1475">
        <v>82.184609353309796</v>
      </c>
      <c r="AM1475">
        <v>93.739163108750702</v>
      </c>
      <c r="AN1475">
        <v>1.00000000219164</v>
      </c>
    </row>
    <row r="1476" spans="1:40" x14ac:dyDescent="0.3">
      <c r="A1476" t="str">
        <f>"20200111150816372"</f>
        <v>20200111150816372</v>
      </c>
      <c r="B1476" t="str">
        <f>"1578726496364473"</f>
        <v>1578726496364473</v>
      </c>
      <c r="C1476" t="s">
        <v>40</v>
      </c>
      <c r="D1476">
        <v>9.8535769999999996</v>
      </c>
      <c r="E1476">
        <v>0.4864561</v>
      </c>
      <c r="F1476" t="s">
        <v>70</v>
      </c>
      <c r="G1476">
        <v>-157.25</v>
      </c>
      <c r="H1476">
        <v>39.57488</v>
      </c>
      <c r="I1476">
        <v>226.2295</v>
      </c>
      <c r="J1476">
        <v>-378.9966</v>
      </c>
      <c r="K1476">
        <v>1.1096239999999999</v>
      </c>
      <c r="L1476">
        <v>214.875</v>
      </c>
      <c r="M1476">
        <v>0.99860979999999999</v>
      </c>
      <c r="N1476">
        <v>0</v>
      </c>
      <c r="O1476">
        <v>-5.146858E-2</v>
      </c>
      <c r="P1476">
        <v>0.99207210000000001</v>
      </c>
      <c r="Q1476">
        <v>0.1248827</v>
      </c>
      <c r="R1476">
        <v>1.404002E-2</v>
      </c>
      <c r="S1476">
        <v>2.9573670000000001</v>
      </c>
      <c r="T1476">
        <v>0.51236320000000002</v>
      </c>
      <c r="U1476">
        <v>0.15104679999999901</v>
      </c>
      <c r="V1476">
        <v>-6.4919110000000002E-2</v>
      </c>
      <c r="W1476">
        <v>0.13621420000000001</v>
      </c>
      <c r="X1476">
        <v>0.98855009999999999</v>
      </c>
      <c r="Y1476">
        <v>-0.1000926</v>
      </c>
      <c r="Z1476">
        <v>-1.7446779999999999E-2</v>
      </c>
      <c r="AA1476">
        <v>0.99482510000000002</v>
      </c>
      <c r="AB1476">
        <v>27</v>
      </c>
      <c r="AC1476">
        <v>221.7466</v>
      </c>
      <c r="AD1476">
        <v>38.465255999999997</v>
      </c>
      <c r="AE1476">
        <v>11.3545</v>
      </c>
      <c r="AF1476">
        <v>-22.0902123894246</v>
      </c>
      <c r="AG1476">
        <v>38.465255999999997</v>
      </c>
      <c r="AH1476">
        <v>214.43279796814099</v>
      </c>
      <c r="AI1476">
        <v>79.882788795736502</v>
      </c>
      <c r="AJ1476">
        <v>95.8816884373108</v>
      </c>
      <c r="AK1476">
        <v>218.97255135518901</v>
      </c>
      <c r="AL1476">
        <v>82.171163345186699</v>
      </c>
      <c r="AM1476">
        <v>93.757278123829394</v>
      </c>
      <c r="AN1476">
        <v>1.00000004966741</v>
      </c>
    </row>
    <row r="1477" spans="1:40" x14ac:dyDescent="0.3">
      <c r="A1477" t="str">
        <f>"20200111150816395"</f>
        <v>20200111150816395</v>
      </c>
      <c r="B1477" t="str">
        <f>"1578726496383996"</f>
        <v>1578726496383996</v>
      </c>
      <c r="C1477" t="s">
        <v>40</v>
      </c>
      <c r="D1477">
        <v>5.0521159999999998</v>
      </c>
      <c r="E1477">
        <v>0.51820299999999997</v>
      </c>
      <c r="F1477" t="s">
        <v>70</v>
      </c>
      <c r="G1477">
        <v>-157.25</v>
      </c>
      <c r="H1477">
        <v>42.300530000000002</v>
      </c>
      <c r="I1477">
        <v>226.33070000000001</v>
      </c>
      <c r="J1477">
        <v>-378.71910000000003</v>
      </c>
      <c r="K1477">
        <v>1.109623</v>
      </c>
      <c r="L1477">
        <v>214.86</v>
      </c>
      <c r="M1477">
        <v>0.99857569999999996</v>
      </c>
      <c r="N1477">
        <v>0</v>
      </c>
      <c r="O1477">
        <v>-5.2133069999999997E-2</v>
      </c>
      <c r="P1477">
        <v>0.99198010000000003</v>
      </c>
      <c r="Q1477">
        <v>0.12565809999999999</v>
      </c>
      <c r="R1477">
        <v>1.361185E-2</v>
      </c>
      <c r="S1477">
        <v>2.9527589999999999</v>
      </c>
      <c r="T1477">
        <v>0.54849519999999996</v>
      </c>
      <c r="U1477">
        <v>0.15254210000000001</v>
      </c>
      <c r="V1477">
        <v>-6.5144320000000006E-2</v>
      </c>
      <c r="W1477">
        <v>0.136953399999999</v>
      </c>
      <c r="X1477">
        <v>0.98843309999999995</v>
      </c>
      <c r="Y1477">
        <v>-0.1009755</v>
      </c>
      <c r="Z1477">
        <v>-1.8889099999999999E-2</v>
      </c>
      <c r="AA1477">
        <v>0.99470959999999997</v>
      </c>
      <c r="AB1477">
        <v>27</v>
      </c>
      <c r="AC1477">
        <v>221.4691</v>
      </c>
      <c r="AD1477">
        <v>41.190907000000003</v>
      </c>
      <c r="AE1477">
        <v>11.4706999999999</v>
      </c>
      <c r="AF1477">
        <v>-22.2346230942677</v>
      </c>
      <c r="AG1477">
        <v>41.190907000000003</v>
      </c>
      <c r="AH1477">
        <v>213.21407292863199</v>
      </c>
      <c r="AI1477">
        <v>79.123274591510693</v>
      </c>
      <c r="AJ1477">
        <v>95.953462133216604</v>
      </c>
      <c r="AK1477">
        <v>218.29180052957301</v>
      </c>
      <c r="AL1477">
        <v>82.128409284302094</v>
      </c>
      <c r="AM1477">
        <v>93.770719913441198</v>
      </c>
      <c r="AN1477">
        <v>1.00000000468771</v>
      </c>
    </row>
    <row r="1478" spans="1:40" x14ac:dyDescent="0.3">
      <c r="A1478" t="str">
        <f>"20200111150816439"</f>
        <v>20200111150816439</v>
      </c>
      <c r="B1478" t="str">
        <f>"1578726496434277"</f>
        <v>1578726496434277</v>
      </c>
      <c r="C1478" t="s">
        <v>40</v>
      </c>
      <c r="D1478">
        <v>5.2143769999999998</v>
      </c>
      <c r="E1478">
        <v>0.46564749999999999</v>
      </c>
      <c r="F1478" t="s">
        <v>41</v>
      </c>
      <c r="G1478">
        <v>-377.95350000000002</v>
      </c>
      <c r="H1478">
        <v>0.99939080000000002</v>
      </c>
      <c r="I1478">
        <v>214.83070000000001</v>
      </c>
      <c r="J1478">
        <v>-378.18259999999998</v>
      </c>
      <c r="K1478">
        <v>1.109618</v>
      </c>
      <c r="L1478">
        <v>214.8304</v>
      </c>
      <c r="M1478">
        <v>0.99850859999999997</v>
      </c>
      <c r="N1478">
        <v>0</v>
      </c>
      <c r="O1478">
        <v>-5.3418550000000002E-2</v>
      </c>
      <c r="P1478">
        <v>0.99176770000000003</v>
      </c>
      <c r="Q1478">
        <v>0.1274257</v>
      </c>
      <c r="R1478">
        <v>1.2634019999999999E-2</v>
      </c>
      <c r="S1478">
        <v>3.0820620000000001</v>
      </c>
      <c r="T1478">
        <v>-0.4438394</v>
      </c>
      <c r="U1478">
        <v>-0.1156769</v>
      </c>
      <c r="V1478">
        <v>-6.5428440000000004E-2</v>
      </c>
      <c r="W1478">
        <v>0.13865269999999999</v>
      </c>
      <c r="X1478">
        <v>0.98817739999999998</v>
      </c>
      <c r="Y1478">
        <v>-1.5225610000000001E-2</v>
      </c>
      <c r="Z1478">
        <v>8.7366639999999999E-3</v>
      </c>
      <c r="AA1478">
        <v>0.99984589999999995</v>
      </c>
      <c r="AB1478">
        <v>28</v>
      </c>
      <c r="AC1478">
        <v>0.229099999999959</v>
      </c>
      <c r="AD1478">
        <v>-0.110227199999999</v>
      </c>
      <c r="AE1478">
        <v>3.0000000000995799E-4</v>
      </c>
      <c r="AF1478">
        <v>-1.0181624902160799E-2</v>
      </c>
      <c r="AG1478">
        <v>-0.110227199999999</v>
      </c>
      <c r="AH1478">
        <v>0.18575658777520501</v>
      </c>
      <c r="AI1478">
        <v>120.64701886157999</v>
      </c>
      <c r="AJ1478">
        <v>93.137336821870306</v>
      </c>
      <c r="AK1478">
        <v>0.216238782385066</v>
      </c>
      <c r="AL1478">
        <v>82.030108798464397</v>
      </c>
      <c r="AM1478">
        <v>93.788094850533</v>
      </c>
      <c r="AN1478">
        <v>1.00000001292444</v>
      </c>
    </row>
    <row r="1479" spans="1:40" x14ac:dyDescent="0.3">
      <c r="A1479" t="str">
        <f>"20200111150816463"</f>
        <v>20200111150816463</v>
      </c>
      <c r="B1479" t="str">
        <f>"1578726496453796"</f>
        <v>1578726496453796</v>
      </c>
      <c r="C1479" t="s">
        <v>40</v>
      </c>
      <c r="D1479">
        <v>4.9876870000000002</v>
      </c>
      <c r="E1479">
        <v>0.47037069999999997</v>
      </c>
      <c r="F1479" t="s">
        <v>70</v>
      </c>
      <c r="G1479">
        <v>-157.8382</v>
      </c>
      <c r="H1479">
        <v>37.485419999999998</v>
      </c>
      <c r="I1479">
        <v>238.1542</v>
      </c>
      <c r="J1479">
        <v>-377.88929999999999</v>
      </c>
      <c r="K1479">
        <v>1.1096170000000001</v>
      </c>
      <c r="L1479">
        <v>214.81389999999999</v>
      </c>
      <c r="M1479">
        <v>0.99847129999999995</v>
      </c>
      <c r="N1479">
        <v>0</v>
      </c>
      <c r="O1479">
        <v>-5.4121290000000002E-2</v>
      </c>
      <c r="P1479">
        <v>0.99173900000000004</v>
      </c>
      <c r="Q1479">
        <v>0.12764139999999999</v>
      </c>
      <c r="R1479">
        <v>1.2701260000000001E-2</v>
      </c>
      <c r="S1479">
        <v>2.9581599999999999</v>
      </c>
      <c r="T1479">
        <v>0.48835190000000001</v>
      </c>
      <c r="U1479">
        <v>0.3131256</v>
      </c>
      <c r="V1479">
        <v>-6.6190570000000004E-2</v>
      </c>
      <c r="W1479">
        <v>0.1388307</v>
      </c>
      <c r="X1479">
        <v>0.98810169999999997</v>
      </c>
      <c r="Y1479">
        <v>-0.15611520000000001</v>
      </c>
      <c r="Z1479">
        <v>-2.161865E-2</v>
      </c>
      <c r="AA1479">
        <v>0.9875022</v>
      </c>
      <c r="AB1479">
        <v>28</v>
      </c>
      <c r="AC1479">
        <v>220.05109999999999</v>
      </c>
      <c r="AD1479">
        <v>36.375802999999998</v>
      </c>
      <c r="AE1479">
        <v>23.340299999999999</v>
      </c>
      <c r="AF1479">
        <v>-34.289706341223201</v>
      </c>
      <c r="AG1479">
        <v>36.375802999999998</v>
      </c>
      <c r="AH1479">
        <v>212.717189621708</v>
      </c>
      <c r="AI1479">
        <v>80.417339524519903</v>
      </c>
      <c r="AJ1479">
        <v>99.157223112609998</v>
      </c>
      <c r="AK1479">
        <v>218.51220964838501</v>
      </c>
      <c r="AL1479">
        <v>82.019810947028205</v>
      </c>
      <c r="AM1479">
        <v>93.832381700046</v>
      </c>
      <c r="AN1479">
        <v>1.00000006218115</v>
      </c>
    </row>
    <row r="1480" spans="1:40" x14ac:dyDescent="0.3">
      <c r="A1480" t="str">
        <f>"20200111150816486"</f>
        <v>20200111150816486</v>
      </c>
      <c r="B1480" t="str">
        <f>"1578726496474292"</f>
        <v>1578726496474292</v>
      </c>
      <c r="C1480" t="s">
        <v>40</v>
      </c>
      <c r="D1480">
        <v>7.8419610000000004</v>
      </c>
      <c r="E1480">
        <v>0.47072029999999898</v>
      </c>
      <c r="F1480" t="s">
        <v>55</v>
      </c>
      <c r="G1480">
        <v>-361.44349999999997</v>
      </c>
      <c r="H1480" s="1">
        <v>-7.6862639999999999E-7</v>
      </c>
      <c r="I1480">
        <v>216.251</v>
      </c>
      <c r="J1480">
        <v>-377.60980000000001</v>
      </c>
      <c r="K1480">
        <v>1.10961</v>
      </c>
      <c r="L1480">
        <v>214.798</v>
      </c>
      <c r="M1480">
        <v>0.99843510000000002</v>
      </c>
      <c r="N1480">
        <v>0</v>
      </c>
      <c r="O1480">
        <v>-5.4791029999999998E-2</v>
      </c>
      <c r="P1480">
        <v>0.99177070000000001</v>
      </c>
      <c r="Q1480">
        <v>0.1274295</v>
      </c>
      <c r="R1480">
        <v>1.235048E-2</v>
      </c>
      <c r="S1480">
        <v>3.048035</v>
      </c>
      <c r="T1480">
        <v>-0.20565520000000001</v>
      </c>
      <c r="U1480">
        <v>0.26635740000000002</v>
      </c>
      <c r="V1480">
        <v>-6.6505250000000002E-2</v>
      </c>
      <c r="W1480">
        <v>0.1385856</v>
      </c>
      <c r="X1480">
        <v>0.98811490000000002</v>
      </c>
      <c r="Y1480">
        <v>-0.1410681</v>
      </c>
      <c r="Z1480">
        <v>8.4312940000000006E-3</v>
      </c>
      <c r="AA1480">
        <v>0.98996399999999996</v>
      </c>
      <c r="AB1480">
        <v>28</v>
      </c>
      <c r="AC1480">
        <v>16.1663</v>
      </c>
      <c r="AD1480">
        <v>-1.1096107686263901</v>
      </c>
      <c r="AE1480">
        <v>1.4529999999999701</v>
      </c>
      <c r="AF1480">
        <v>-2.3257717324795699</v>
      </c>
      <c r="AG1480">
        <v>-1.1096107686263901</v>
      </c>
      <c r="AH1480">
        <v>15.9876806754841</v>
      </c>
      <c r="AI1480">
        <v>93.928972239794405</v>
      </c>
      <c r="AJ1480">
        <v>98.276913760954301</v>
      </c>
      <c r="AK1480">
        <v>16.1940230823196</v>
      </c>
      <c r="AL1480">
        <v>82.033990608963094</v>
      </c>
      <c r="AM1480">
        <v>93.850495458866803</v>
      </c>
      <c r="AN1480">
        <v>0.99999998620346597</v>
      </c>
    </row>
    <row r="1481" spans="1:40" x14ac:dyDescent="0.3">
      <c r="A1481" t="str">
        <f>"20200111150816507"</f>
        <v>20200111150816507</v>
      </c>
      <c r="B1481" t="str">
        <f>"1578726496504080"</f>
        <v>1578726496504080</v>
      </c>
      <c r="C1481" t="s">
        <v>40</v>
      </c>
      <c r="D1481">
        <v>4.875432</v>
      </c>
      <c r="E1481">
        <v>0.46570519999999999</v>
      </c>
      <c r="F1481" t="s">
        <v>55</v>
      </c>
      <c r="G1481">
        <v>-359.6277</v>
      </c>
      <c r="H1481" s="1">
        <v>3.5109059999999999E-6</v>
      </c>
      <c r="I1481">
        <v>216.34819999999999</v>
      </c>
      <c r="J1481">
        <v>-377.34370000000001</v>
      </c>
      <c r="K1481">
        <v>1.1096060000000001</v>
      </c>
      <c r="L1481">
        <v>214.78270000000001</v>
      </c>
      <c r="M1481">
        <v>0.99840030000000002</v>
      </c>
      <c r="N1481">
        <v>0</v>
      </c>
      <c r="O1481">
        <v>-5.5428619999999998E-2</v>
      </c>
      <c r="P1481">
        <v>0.99182630000000005</v>
      </c>
      <c r="Q1481">
        <v>0.1270548</v>
      </c>
      <c r="R1481">
        <v>1.17435E-2</v>
      </c>
      <c r="S1481">
        <v>3.0458069999999999</v>
      </c>
      <c r="T1481">
        <v>-0.18794540000000001</v>
      </c>
      <c r="U1481">
        <v>0.26257320000000001</v>
      </c>
      <c r="V1481">
        <v>-6.6534940000000001E-2</v>
      </c>
      <c r="W1481">
        <v>0.13818279999999999</v>
      </c>
      <c r="X1481">
        <v>0.98816930000000003</v>
      </c>
      <c r="Y1481">
        <v>-0.14061419999999999</v>
      </c>
      <c r="Z1481">
        <v>7.7379379999999998E-3</v>
      </c>
      <c r="AA1481">
        <v>0.99003419999999998</v>
      </c>
      <c r="AB1481">
        <v>28</v>
      </c>
      <c r="AC1481">
        <v>17.716000000000001</v>
      </c>
      <c r="AD1481">
        <v>-1.1096024890939999</v>
      </c>
      <c r="AE1481">
        <v>1.5654999999999799</v>
      </c>
      <c r="AF1481">
        <v>-2.5352591285875898</v>
      </c>
      <c r="AG1481">
        <v>-1.1096024890939999</v>
      </c>
      <c r="AH1481">
        <v>17.533732495254199</v>
      </c>
      <c r="AI1481">
        <v>93.583897818311698</v>
      </c>
      <c r="AJ1481">
        <v>98.227559991918895</v>
      </c>
      <c r="AK1481">
        <v>17.750789609142</v>
      </c>
      <c r="AL1481">
        <v>82.057293466041997</v>
      </c>
      <c r="AM1481">
        <v>93.851997833988307</v>
      </c>
      <c r="AN1481">
        <v>0.99999997495956605</v>
      </c>
    </row>
    <row r="1482" spans="1:40" x14ac:dyDescent="0.3">
      <c r="A1482" t="str">
        <f>"20200111150816540"</f>
        <v>20200111150816540</v>
      </c>
      <c r="B1482" t="str">
        <f>"1578726496534336"</f>
        <v>1578726496534336</v>
      </c>
      <c r="C1482" t="s">
        <v>40</v>
      </c>
      <c r="D1482">
        <v>6.9391679999999996</v>
      </c>
      <c r="E1482">
        <v>0.44664979999999999</v>
      </c>
      <c r="F1482" t="s">
        <v>70</v>
      </c>
      <c r="G1482">
        <v>-157.8382</v>
      </c>
      <c r="H1482">
        <v>48.967970000000001</v>
      </c>
      <c r="I1482">
        <v>238.09129999999999</v>
      </c>
      <c r="J1482">
        <v>-376.94110000000001</v>
      </c>
      <c r="K1482">
        <v>1.109602</v>
      </c>
      <c r="L1482">
        <v>214.7593</v>
      </c>
      <c r="M1482">
        <v>0.99834679999999998</v>
      </c>
      <c r="N1482">
        <v>0</v>
      </c>
      <c r="O1482">
        <v>-5.6390389999999999E-2</v>
      </c>
      <c r="P1482">
        <v>0.99202049999999997</v>
      </c>
      <c r="Q1482">
        <v>0.12561510000000001</v>
      </c>
      <c r="R1482">
        <v>1.0784180000000001E-2</v>
      </c>
      <c r="S1482">
        <v>2.938904</v>
      </c>
      <c r="T1482">
        <v>0.640764</v>
      </c>
      <c r="U1482">
        <v>0.31207279999999998</v>
      </c>
      <c r="V1482">
        <v>-6.6543039999999998E-2</v>
      </c>
      <c r="W1482">
        <v>0.136707299999999</v>
      </c>
      <c r="X1482">
        <v>0.98837399999999997</v>
      </c>
      <c r="Y1482">
        <v>-0.15654989999999999</v>
      </c>
      <c r="Z1482">
        <v>-2.8946220000000002E-2</v>
      </c>
      <c r="AA1482">
        <v>0.98724579999999995</v>
      </c>
      <c r="AB1482">
        <v>28</v>
      </c>
      <c r="AC1482">
        <v>219.10290000000001</v>
      </c>
      <c r="AD1482">
        <v>47.858367999999999</v>
      </c>
      <c r="AE1482">
        <v>23.331999999999901</v>
      </c>
      <c r="AF1482">
        <v>-34.044828650669402</v>
      </c>
      <c r="AG1482">
        <v>47.858367999999999</v>
      </c>
      <c r="AH1482">
        <v>207.64265846561801</v>
      </c>
      <c r="AI1482">
        <v>77.186219037606904</v>
      </c>
      <c r="AJ1482">
        <v>99.311296787296897</v>
      </c>
      <c r="AK1482">
        <v>215.78912706655601</v>
      </c>
      <c r="AL1482">
        <v>82.142643722478198</v>
      </c>
      <c r="AM1482">
        <v>93.851669892388102</v>
      </c>
      <c r="AN1482">
        <v>1.0000000129608599</v>
      </c>
    </row>
    <row r="1483" spans="1:40" x14ac:dyDescent="0.3">
      <c r="A1483" t="str">
        <f>"20200111150816562"</f>
        <v>20200111150816562</v>
      </c>
      <c r="B1483" t="str">
        <f>"1578726496553855"</f>
        <v>1578726496553855</v>
      </c>
      <c r="C1483" t="s">
        <v>40</v>
      </c>
      <c r="D1483">
        <v>5.0458619999999996</v>
      </c>
      <c r="E1483">
        <v>0.47282600000000002</v>
      </c>
      <c r="F1483" t="s">
        <v>72</v>
      </c>
      <c r="G1483">
        <v>-251.1584</v>
      </c>
      <c r="H1483">
        <v>25.468409999999999</v>
      </c>
      <c r="I1483">
        <v>234.40289999999999</v>
      </c>
      <c r="J1483">
        <v>-376.65339999999998</v>
      </c>
      <c r="K1483">
        <v>1.109602</v>
      </c>
      <c r="L1483">
        <v>214.7422</v>
      </c>
      <c r="M1483">
        <v>0.99830839999999998</v>
      </c>
      <c r="N1483">
        <v>0</v>
      </c>
      <c r="O1483">
        <v>-5.7072199999999997E-2</v>
      </c>
      <c r="P1483">
        <v>0.99201899999999998</v>
      </c>
      <c r="Q1483">
        <v>0.1257279</v>
      </c>
      <c r="R1483">
        <v>9.5502509999999992E-3</v>
      </c>
      <c r="S1483">
        <v>2.9468990000000002</v>
      </c>
      <c r="T1483">
        <v>0.57068999999999903</v>
      </c>
      <c r="U1483">
        <v>0.46022030000000003</v>
      </c>
      <c r="V1483">
        <v>-6.5987509999999999E-2</v>
      </c>
      <c r="W1483">
        <v>0.1367961</v>
      </c>
      <c r="X1483">
        <v>0.98839900000000003</v>
      </c>
      <c r="Y1483">
        <v>-0.20566509999999999</v>
      </c>
      <c r="Z1483">
        <v>-3.051009E-2</v>
      </c>
      <c r="AA1483">
        <v>0.97814670000000004</v>
      </c>
      <c r="AB1483">
        <v>28</v>
      </c>
      <c r="AC1483">
        <v>125.494999999999</v>
      </c>
      <c r="AD1483">
        <v>24.358808</v>
      </c>
      <c r="AE1483">
        <v>19.660699999999899</v>
      </c>
      <c r="AF1483">
        <v>-25.841112548134699</v>
      </c>
      <c r="AG1483">
        <v>24.358808</v>
      </c>
      <c r="AH1483">
        <v>119.764192145114</v>
      </c>
      <c r="AI1483">
        <v>78.755396283303696</v>
      </c>
      <c r="AJ1483">
        <v>102.17585586590501</v>
      </c>
      <c r="AK1483">
        <v>124.918278666806</v>
      </c>
      <c r="AL1483">
        <v>82.137507928668597</v>
      </c>
      <c r="AM1483">
        <v>93.819513749679899</v>
      </c>
      <c r="AN1483">
        <v>1.0000000538261</v>
      </c>
    </row>
    <row r="1484" spans="1:40" x14ac:dyDescent="0.3">
      <c r="A1484" t="str">
        <f>"20200111150816585"</f>
        <v>20200111150816585</v>
      </c>
      <c r="B1484" t="str">
        <f>"1578726496574351"</f>
        <v>1578726496574351</v>
      </c>
      <c r="C1484" t="s">
        <v>40</v>
      </c>
      <c r="D1484">
        <v>4.7623220000000002</v>
      </c>
      <c r="E1484">
        <v>0.47269509999999998</v>
      </c>
      <c r="F1484" t="s">
        <v>55</v>
      </c>
      <c r="G1484">
        <v>-364.16840000000002</v>
      </c>
      <c r="H1484" s="1">
        <v>6.8143659999999899E-7</v>
      </c>
      <c r="I1484">
        <v>215.71420000000001</v>
      </c>
      <c r="J1484">
        <v>-376.37900000000002</v>
      </c>
      <c r="K1484">
        <v>1.109604</v>
      </c>
      <c r="L1484">
        <v>214.72579999999999</v>
      </c>
      <c r="M1484">
        <v>0.99827160000000004</v>
      </c>
      <c r="N1484">
        <v>0</v>
      </c>
      <c r="O1484">
        <v>-5.7712989999999999E-2</v>
      </c>
      <c r="P1484">
        <v>0.9919462</v>
      </c>
      <c r="Q1484">
        <v>0.12638930000000001</v>
      </c>
      <c r="R1484">
        <v>8.2804619999999902E-3</v>
      </c>
      <c r="S1484">
        <v>3.056305</v>
      </c>
      <c r="T1484">
        <v>-0.27162920000000002</v>
      </c>
      <c r="U1484">
        <v>0.23794560000000001</v>
      </c>
      <c r="V1484">
        <v>-6.5351519999999996E-2</v>
      </c>
      <c r="W1484">
        <v>0.13743569999999999</v>
      </c>
      <c r="X1484">
        <v>0.98835249999999997</v>
      </c>
      <c r="Y1484">
        <v>-0.13427929999999999</v>
      </c>
      <c r="Z1484">
        <v>1.105887E-2</v>
      </c>
      <c r="AA1484">
        <v>0.99088180000000003</v>
      </c>
      <c r="AB1484">
        <v>28</v>
      </c>
      <c r="AC1484">
        <v>12.210599999999999</v>
      </c>
      <c r="AD1484">
        <v>-1.1096033185634</v>
      </c>
      <c r="AE1484">
        <v>0.98840000000001205</v>
      </c>
      <c r="AF1484">
        <v>-1.67774175814509</v>
      </c>
      <c r="AG1484">
        <v>-1.1096033185634</v>
      </c>
      <c r="AH1484">
        <v>12.0344673791134</v>
      </c>
      <c r="AI1484">
        <v>95.217719710669002</v>
      </c>
      <c r="AJ1484">
        <v>97.936530843134804</v>
      </c>
      <c r="AK1484">
        <v>12.201411476978199</v>
      </c>
      <c r="AL1484">
        <v>82.100511923354404</v>
      </c>
      <c r="AM1484">
        <v>93.782985996284197</v>
      </c>
      <c r="AN1484">
        <v>1.00000002852852</v>
      </c>
    </row>
    <row r="1485" spans="1:40" x14ac:dyDescent="0.3">
      <c r="A1485" t="str">
        <f>"20200111150816629"</f>
        <v>20200111150816629</v>
      </c>
      <c r="B1485" t="str">
        <f>"1578726496624128"</f>
        <v>1578726496624128</v>
      </c>
      <c r="C1485" t="s">
        <v>40</v>
      </c>
      <c r="D1485">
        <v>5.167751</v>
      </c>
      <c r="E1485">
        <v>0.46825250000000002</v>
      </c>
      <c r="F1485" t="s">
        <v>55</v>
      </c>
      <c r="G1485">
        <v>-362.8691</v>
      </c>
      <c r="H1485" s="1">
        <v>-9.9730219999999998E-9</v>
      </c>
      <c r="I1485">
        <v>215.76929999999999</v>
      </c>
      <c r="J1485">
        <v>-375.83260000000001</v>
      </c>
      <c r="K1485">
        <v>1.1096220000000001</v>
      </c>
      <c r="L1485">
        <v>214.6927</v>
      </c>
      <c r="M1485">
        <v>0.99819959999999996</v>
      </c>
      <c r="N1485">
        <v>0</v>
      </c>
      <c r="O1485">
        <v>-5.8952160000000003E-2</v>
      </c>
      <c r="P1485">
        <v>0.99192829999999999</v>
      </c>
      <c r="Q1485">
        <v>0.1266225</v>
      </c>
      <c r="R1485">
        <v>6.6761479999999998E-3</v>
      </c>
      <c r="S1485">
        <v>3.0543819999999999</v>
      </c>
      <c r="T1485">
        <v>-0.2508649</v>
      </c>
      <c r="U1485">
        <v>0.23591609999999999</v>
      </c>
      <c r="V1485">
        <v>-6.4983520000000003E-2</v>
      </c>
      <c r="W1485">
        <v>0.13763399999999901</v>
      </c>
      <c r="X1485">
        <v>0.98834909999999998</v>
      </c>
      <c r="Y1485">
        <v>-0.13500609999999999</v>
      </c>
      <c r="Z1485">
        <v>1.0354250000000001E-2</v>
      </c>
      <c r="AA1485">
        <v>0.99079070000000002</v>
      </c>
      <c r="AB1485">
        <v>28</v>
      </c>
      <c r="AC1485">
        <v>12.9635</v>
      </c>
      <c r="AD1485">
        <v>-1.1096220099730201</v>
      </c>
      <c r="AE1485">
        <v>1.07659999999998</v>
      </c>
      <c r="AF1485">
        <v>-1.8257156254008799</v>
      </c>
      <c r="AG1485">
        <v>-1.1096220099730201</v>
      </c>
      <c r="AH1485">
        <v>12.784453822005901</v>
      </c>
      <c r="AI1485">
        <v>94.910957945481002</v>
      </c>
      <c r="AJ1485">
        <v>98.127313736539904</v>
      </c>
      <c r="AK1485">
        <v>12.9617420926684</v>
      </c>
      <c r="AL1485">
        <v>82.08904061474</v>
      </c>
      <c r="AM1485">
        <v>93.7617579182578</v>
      </c>
      <c r="AN1485">
        <v>0.99999995964919897</v>
      </c>
    </row>
    <row r="1486" spans="1:40" x14ac:dyDescent="0.3">
      <c r="A1486" t="str">
        <f>"20200111150816651"</f>
        <v>20200111150816651</v>
      </c>
      <c r="B1486" t="str">
        <f>"1578726496643647"</f>
        <v>1578726496643647</v>
      </c>
      <c r="C1486" t="s">
        <v>40</v>
      </c>
      <c r="D1486">
        <v>5.0546949999999997</v>
      </c>
      <c r="E1486">
        <v>0.45244390000000001</v>
      </c>
      <c r="F1486" t="s">
        <v>70</v>
      </c>
      <c r="G1486">
        <v>-157.8382</v>
      </c>
      <c r="H1486">
        <v>66.727360000000004</v>
      </c>
      <c r="I1486">
        <v>235.56010000000001</v>
      </c>
      <c r="J1486">
        <v>-375.55180000000001</v>
      </c>
      <c r="K1486">
        <v>1.1096360000000001</v>
      </c>
      <c r="L1486">
        <v>214.6755</v>
      </c>
      <c r="M1486">
        <v>0.99816419999999995</v>
      </c>
      <c r="N1486">
        <v>0</v>
      </c>
      <c r="O1486">
        <v>-5.9553340000000003E-2</v>
      </c>
      <c r="P1486">
        <v>0.99184320000000004</v>
      </c>
      <c r="Q1486">
        <v>0.1272829</v>
      </c>
      <c r="R1486">
        <v>6.8246180000000002E-3</v>
      </c>
      <c r="S1486">
        <v>2.9107059999999998</v>
      </c>
      <c r="T1486">
        <v>0.87614179999999997</v>
      </c>
      <c r="U1486">
        <v>0.27862550000000003</v>
      </c>
      <c r="V1486">
        <v>-6.5727830000000001E-2</v>
      </c>
      <c r="W1486">
        <v>0.13827819999999999</v>
      </c>
      <c r="X1486">
        <v>0.98821000000000003</v>
      </c>
      <c r="Y1486">
        <v>-0.1453922</v>
      </c>
      <c r="Z1486">
        <v>-3.8867029999999997E-2</v>
      </c>
      <c r="AA1486">
        <v>0.9886104</v>
      </c>
      <c r="AB1486">
        <v>28</v>
      </c>
      <c r="AC1486">
        <v>217.71360000000001</v>
      </c>
      <c r="AD1486">
        <v>65.617723999999995</v>
      </c>
      <c r="AE1486">
        <v>20.884599999999999</v>
      </c>
      <c r="AF1486">
        <v>-31.021617618342201</v>
      </c>
      <c r="AG1486">
        <v>65.617723999999995</v>
      </c>
      <c r="AH1486">
        <v>198.23966616518001</v>
      </c>
      <c r="AI1486">
        <v>71.891106272965601</v>
      </c>
      <c r="AJ1486">
        <v>98.893825843085693</v>
      </c>
      <c r="AK1486">
        <v>211.10895694849299</v>
      </c>
      <c r="AL1486">
        <v>82.051774716248801</v>
      </c>
      <c r="AM1486">
        <v>93.805252581882598</v>
      </c>
      <c r="AN1486">
        <v>1.00000000616587</v>
      </c>
    </row>
    <row r="1487" spans="1:40" x14ac:dyDescent="0.3">
      <c r="A1487" t="str">
        <f>"20200111150816674"</f>
        <v>20200111150816674</v>
      </c>
      <c r="B1487" t="str">
        <f>"1578726496664146"</f>
        <v>1578726496664146</v>
      </c>
      <c r="C1487" t="s">
        <v>40</v>
      </c>
      <c r="D1487">
        <v>6.9521670000000002</v>
      </c>
      <c r="E1487">
        <v>0.45987610000000001</v>
      </c>
      <c r="F1487" t="s">
        <v>55</v>
      </c>
      <c r="G1487">
        <v>-357.61770000000001</v>
      </c>
      <c r="H1487" s="1">
        <v>2.4130520000000002E-6</v>
      </c>
      <c r="I1487">
        <v>216.99420000000001</v>
      </c>
      <c r="J1487">
        <v>-375.2672</v>
      </c>
      <c r="K1487">
        <v>1.109658</v>
      </c>
      <c r="L1487">
        <v>214.65790000000001</v>
      </c>
      <c r="M1487">
        <v>0.99813010000000002</v>
      </c>
      <c r="N1487">
        <v>0</v>
      </c>
      <c r="O1487">
        <v>-6.0123540000000003E-2</v>
      </c>
      <c r="P1487">
        <v>0.99176779999999998</v>
      </c>
      <c r="Q1487">
        <v>0.1278735</v>
      </c>
      <c r="R1487">
        <v>6.7251430000000003E-3</v>
      </c>
      <c r="S1487">
        <v>3.046173</v>
      </c>
      <c r="T1487">
        <v>-0.18847559999999999</v>
      </c>
      <c r="U1487">
        <v>0.39384459999999999</v>
      </c>
      <c r="V1487">
        <v>-6.6196489999999997E-2</v>
      </c>
      <c r="W1487">
        <v>0.1388529</v>
      </c>
      <c r="X1487">
        <v>0.98809809999999998</v>
      </c>
      <c r="Y1487">
        <v>-0.1871573</v>
      </c>
      <c r="Z1487">
        <v>9.4637839999999994E-3</v>
      </c>
      <c r="AA1487">
        <v>0.98228439999999995</v>
      </c>
      <c r="AB1487">
        <v>28</v>
      </c>
      <c r="AC1487">
        <v>17.6494999999999</v>
      </c>
      <c r="AD1487">
        <v>-1.109655586948</v>
      </c>
      <c r="AE1487">
        <v>2.3362999999999898</v>
      </c>
      <c r="AF1487">
        <v>-3.3801566567893802</v>
      </c>
      <c r="AG1487">
        <v>-1.109655586948</v>
      </c>
      <c r="AH1487">
        <v>17.409459909571599</v>
      </c>
      <c r="AI1487">
        <v>93.580342102445897</v>
      </c>
      <c r="AJ1487">
        <v>100.987633057464</v>
      </c>
      <c r="AK1487">
        <v>17.769245591444399</v>
      </c>
      <c r="AL1487">
        <v>82.018525873952399</v>
      </c>
      <c r="AM1487">
        <v>93.832737364188503</v>
      </c>
      <c r="AN1487">
        <v>0.99999997917516903</v>
      </c>
    </row>
    <row r="1488" spans="1:40" x14ac:dyDescent="0.3">
      <c r="A1488" t="str">
        <f>"20200111150816696"</f>
        <v>20200111150816696</v>
      </c>
      <c r="B1488" t="str">
        <f>"1578726496694319"</f>
        <v>1578726496694319</v>
      </c>
      <c r="C1488" t="s">
        <v>40</v>
      </c>
      <c r="D1488">
        <v>7.818899</v>
      </c>
      <c r="E1488">
        <v>0.45011000000000001</v>
      </c>
      <c r="F1488" t="s">
        <v>72</v>
      </c>
      <c r="G1488">
        <v>-243.03659999999999</v>
      </c>
      <c r="H1488">
        <v>43.209220000000002</v>
      </c>
      <c r="I1488">
        <v>230.41890000000001</v>
      </c>
      <c r="J1488">
        <v>-374.99880000000002</v>
      </c>
      <c r="K1488">
        <v>1.1096870000000001</v>
      </c>
      <c r="L1488">
        <v>214.64109999999999</v>
      </c>
      <c r="M1488">
        <v>0.99810049999999995</v>
      </c>
      <c r="N1488">
        <v>0</v>
      </c>
      <c r="O1488">
        <v>-6.0614260000000003E-2</v>
      </c>
      <c r="P1488">
        <v>0.9917049</v>
      </c>
      <c r="Q1488">
        <v>0.12832539999999901</v>
      </c>
      <c r="R1488">
        <v>7.3353689999999996E-3</v>
      </c>
      <c r="S1488">
        <v>2.9034119999999999</v>
      </c>
      <c r="T1488">
        <v>0.9243884</v>
      </c>
      <c r="U1488">
        <v>0.34606930000000002</v>
      </c>
      <c r="V1488">
        <v>-6.7299020000000001E-2</v>
      </c>
      <c r="W1488">
        <v>0.1392902</v>
      </c>
      <c r="X1488">
        <v>0.98796209999999995</v>
      </c>
      <c r="Y1488">
        <v>-0.16719899999999999</v>
      </c>
      <c r="Z1488">
        <v>-4.4668510000000002E-2</v>
      </c>
      <c r="AA1488">
        <v>0.98491079999999998</v>
      </c>
      <c r="AB1488">
        <v>28</v>
      </c>
      <c r="AC1488">
        <v>131.9622</v>
      </c>
      <c r="AD1488">
        <v>42.099533000000001</v>
      </c>
      <c r="AE1488">
        <v>15.777799999999999</v>
      </c>
      <c r="AF1488">
        <v>-21.582399146568701</v>
      </c>
      <c r="AG1488">
        <v>42.099533000000001</v>
      </c>
      <c r="AH1488">
        <v>118.83839914268</v>
      </c>
      <c r="AI1488">
        <v>70.7836354816816</v>
      </c>
      <c r="AJ1488">
        <v>100.293373301412</v>
      </c>
      <c r="AK1488">
        <v>127.909091711789</v>
      </c>
      <c r="AL1488">
        <v>81.993224843608104</v>
      </c>
      <c r="AM1488">
        <v>93.896912879937901</v>
      </c>
      <c r="AN1488">
        <v>1.0000000144726999</v>
      </c>
    </row>
    <row r="1489" spans="1:40" x14ac:dyDescent="0.3">
      <c r="A1489" t="str">
        <f>"20200111150816718"</f>
        <v>20200111150816718</v>
      </c>
      <c r="B1489" t="str">
        <f>"1578726496713838"</f>
        <v>1578726496713838</v>
      </c>
      <c r="C1489" t="s">
        <v>40</v>
      </c>
      <c r="D1489">
        <v>5.1639160000000004</v>
      </c>
      <c r="E1489">
        <v>0.45680720000000002</v>
      </c>
      <c r="F1489" t="s">
        <v>72</v>
      </c>
      <c r="G1489">
        <v>-251.16399999999999</v>
      </c>
      <c r="H1489">
        <v>42.529350000000001</v>
      </c>
      <c r="I1489">
        <v>232.8775</v>
      </c>
      <c r="J1489">
        <v>-374.73079999999999</v>
      </c>
      <c r="K1489">
        <v>1.109729</v>
      </c>
      <c r="L1489">
        <v>214.62440000000001</v>
      </c>
      <c r="M1489">
        <v>0.99807409999999996</v>
      </c>
      <c r="N1489">
        <v>0</v>
      </c>
      <c r="O1489">
        <v>-6.1048699999999997E-2</v>
      </c>
      <c r="P1489">
        <v>0.99166030000000005</v>
      </c>
      <c r="Q1489">
        <v>0.1285895</v>
      </c>
      <c r="R1489">
        <v>8.6400629999999999E-3</v>
      </c>
      <c r="S1489">
        <v>2.896576</v>
      </c>
      <c r="T1489">
        <v>0.96883319999999995</v>
      </c>
      <c r="U1489">
        <v>0.42655939999999998</v>
      </c>
      <c r="V1489">
        <v>-6.9042880000000001E-2</v>
      </c>
      <c r="W1489">
        <v>0.13953579999999999</v>
      </c>
      <c r="X1489">
        <v>0.98780710000000005</v>
      </c>
      <c r="Y1489">
        <v>-0.19228319999999999</v>
      </c>
      <c r="Z1489">
        <v>-5.0942340000000003E-2</v>
      </c>
      <c r="AA1489">
        <v>0.98001640000000001</v>
      </c>
      <c r="AB1489">
        <v>28</v>
      </c>
      <c r="AC1489">
        <v>123.56679999999901</v>
      </c>
      <c r="AD1489">
        <v>41.419620999999999</v>
      </c>
      <c r="AE1489">
        <v>18.2530999999999</v>
      </c>
      <c r="AF1489">
        <v>-23.210840220739499</v>
      </c>
      <c r="AG1489">
        <v>41.419620999999999</v>
      </c>
      <c r="AH1489">
        <v>110.11380663961999</v>
      </c>
      <c r="AI1489">
        <v>69.793118179017995</v>
      </c>
      <c r="AJ1489">
        <v>101.903099622849</v>
      </c>
      <c r="AK1489">
        <v>119.914046384082</v>
      </c>
      <c r="AL1489">
        <v>81.979014210392194</v>
      </c>
      <c r="AM1489">
        <v>93.998192105606407</v>
      </c>
      <c r="AN1489">
        <v>1.0000000127853701</v>
      </c>
    </row>
    <row r="1490" spans="1:40" x14ac:dyDescent="0.3">
      <c r="A1490" t="str">
        <f>"20200111150817232"</f>
        <v>20200111150817232</v>
      </c>
      <c r="B1490" t="str">
        <f>"1578726497224027"</f>
        <v>1578726497224027</v>
      </c>
      <c r="C1490" t="s">
        <v>40</v>
      </c>
      <c r="D1490">
        <v>6.0853809999999999</v>
      </c>
      <c r="E1490">
        <v>0.45680720000000002</v>
      </c>
      <c r="F1490" t="s">
        <v>55</v>
      </c>
      <c r="G1490">
        <v>-356.5206</v>
      </c>
      <c r="H1490" s="1">
        <v>1.837676E-6</v>
      </c>
      <c r="I1490">
        <v>216.8005</v>
      </c>
      <c r="J1490">
        <v>-368.28989999999999</v>
      </c>
      <c r="K1490">
        <v>1.110606</v>
      </c>
      <c r="L1490">
        <v>214.24789999999999</v>
      </c>
      <c r="M1490">
        <v>0.99854560000000003</v>
      </c>
      <c r="N1490">
        <v>0</v>
      </c>
      <c r="O1490">
        <v>-5.2825690000000002E-2</v>
      </c>
      <c r="P1490">
        <v>0.99172269999999896</v>
      </c>
      <c r="Q1490">
        <v>0.12723599999999999</v>
      </c>
      <c r="R1490">
        <v>1.7244619999999999E-2</v>
      </c>
      <c r="S1490">
        <v>3.0461429999999998</v>
      </c>
      <c r="T1490">
        <v>-0.1856315</v>
      </c>
      <c r="U1490">
        <v>0.3640137</v>
      </c>
      <c r="V1490">
        <v>-6.9798940000000004E-2</v>
      </c>
      <c r="W1490">
        <v>0.13780689999999901</v>
      </c>
      <c r="X1490">
        <v>0.9879966</v>
      </c>
      <c r="Y1490">
        <v>-0.17053650000000001</v>
      </c>
      <c r="Z1490">
        <v>8.3794899999999999E-3</v>
      </c>
      <c r="AA1490">
        <v>0.98531570000000002</v>
      </c>
      <c r="AB1490">
        <v>28</v>
      </c>
      <c r="AC1490">
        <v>11.7692999999999</v>
      </c>
      <c r="AD1490">
        <v>-1.1106041623239999</v>
      </c>
      <c r="AE1490">
        <v>2.5526000000000102</v>
      </c>
      <c r="AF1490">
        <v>-3.1440540705696098</v>
      </c>
      <c r="AG1490">
        <v>-1.1106041623239999</v>
      </c>
      <c r="AH1490">
        <v>11.520041091458699</v>
      </c>
      <c r="AI1490">
        <v>95.3134926560612</v>
      </c>
      <c r="AJ1490">
        <v>105.265416806914</v>
      </c>
      <c r="AK1490">
        <v>11.992908919563</v>
      </c>
      <c r="AL1490">
        <v>82.079038852956501</v>
      </c>
      <c r="AM1490">
        <v>94.041057663470497</v>
      </c>
      <c r="AN1490">
        <v>0.999999957662145</v>
      </c>
    </row>
    <row r="1491" spans="1:40" x14ac:dyDescent="0.3">
      <c r="A1491" t="str">
        <f>"20200111150817254"</f>
        <v>20200111150817254</v>
      </c>
      <c r="B1491" t="str">
        <f>"1578726497244528"</f>
        <v>1578726497244528</v>
      </c>
      <c r="C1491" t="s">
        <v>40</v>
      </c>
      <c r="D1491">
        <v>6.901662</v>
      </c>
      <c r="E1491">
        <v>0.50287320000000002</v>
      </c>
      <c r="F1491" t="s">
        <v>55</v>
      </c>
      <c r="G1491">
        <v>-350.53590000000003</v>
      </c>
      <c r="H1491" s="1">
        <v>-1.3348619999999999E-6</v>
      </c>
      <c r="I1491">
        <v>216.5205</v>
      </c>
      <c r="J1491">
        <v>-368.00580000000002</v>
      </c>
      <c r="K1491">
        <v>1.110603</v>
      </c>
      <c r="L1491">
        <v>214.2337</v>
      </c>
      <c r="M1491">
        <v>0.99858469999999999</v>
      </c>
      <c r="N1491">
        <v>0</v>
      </c>
      <c r="O1491">
        <v>-5.2078279999999998E-2</v>
      </c>
      <c r="P1491">
        <v>0.9918148</v>
      </c>
      <c r="Q1491">
        <v>0.12664159999999999</v>
      </c>
      <c r="R1491">
        <v>1.628858E-2</v>
      </c>
      <c r="S1491">
        <v>3.0426639999999998</v>
      </c>
      <c r="T1491">
        <v>-0.1903349</v>
      </c>
      <c r="U1491">
        <v>0.38948060000000001</v>
      </c>
      <c r="V1491">
        <v>-6.8107050000000002E-2</v>
      </c>
      <c r="W1491">
        <v>0.13721749999999999</v>
      </c>
      <c r="X1491">
        <v>0.98819670000000004</v>
      </c>
      <c r="Y1491">
        <v>-0.1780147</v>
      </c>
      <c r="Z1491">
        <v>8.7831019999999992E-3</v>
      </c>
      <c r="AA1491">
        <v>0.98398859999999999</v>
      </c>
      <c r="AB1491">
        <v>28</v>
      </c>
      <c r="AC1491">
        <v>17.4698999999999</v>
      </c>
      <c r="AD1491">
        <v>-1.1106043348620001</v>
      </c>
      <c r="AE1491">
        <v>2.2867999999999902</v>
      </c>
      <c r="AF1491">
        <v>-3.1809128291275099</v>
      </c>
      <c r="AG1491">
        <v>-1.1106043348620001</v>
      </c>
      <c r="AH1491">
        <v>17.258516596657799</v>
      </c>
      <c r="AI1491">
        <v>93.621143741851597</v>
      </c>
      <c r="AJ1491">
        <v>100.44297360719899</v>
      </c>
      <c r="AK1491">
        <v>17.5843124270537</v>
      </c>
      <c r="AL1491">
        <v>82.113132938185998</v>
      </c>
      <c r="AM1491">
        <v>93.942621402884697</v>
      </c>
      <c r="AN1491">
        <v>0.99999996522842005</v>
      </c>
    </row>
    <row r="1492" spans="1:40" x14ac:dyDescent="0.3">
      <c r="A1492" t="str">
        <f>"20200111150817298"</f>
        <v>20200111150817298</v>
      </c>
      <c r="B1492" t="str">
        <f>"1578726497294299"</f>
        <v>1578726497294299</v>
      </c>
      <c r="C1492" t="s">
        <v>40</v>
      </c>
      <c r="D1492">
        <v>5.4524379999999999</v>
      </c>
      <c r="E1492">
        <v>0.46149400000000002</v>
      </c>
      <c r="F1492" t="s">
        <v>71</v>
      </c>
      <c r="G1492">
        <v>-107.39749999999999</v>
      </c>
      <c r="H1492">
        <v>94.352879999999999</v>
      </c>
      <c r="I1492">
        <v>217.2586</v>
      </c>
      <c r="J1492">
        <v>-367.45350000000002</v>
      </c>
      <c r="K1492">
        <v>1.110595</v>
      </c>
      <c r="L1492">
        <v>214.20660000000001</v>
      </c>
      <c r="M1492">
        <v>0.99865919999999997</v>
      </c>
      <c r="N1492">
        <v>0</v>
      </c>
      <c r="O1492">
        <v>-5.0629689999999998E-2</v>
      </c>
      <c r="P1492">
        <v>0.99192579999999997</v>
      </c>
      <c r="Q1492">
        <v>0.12573960000000001</v>
      </c>
      <c r="R1492">
        <v>1.651563E-2</v>
      </c>
      <c r="S1492">
        <v>2.89209</v>
      </c>
      <c r="T1492">
        <v>1.034753</v>
      </c>
      <c r="U1492">
        <v>3.3569340000000003E-2</v>
      </c>
      <c r="V1492">
        <v>-6.6902950000000003E-2</v>
      </c>
      <c r="W1492">
        <v>0.13632049999999901</v>
      </c>
      <c r="X1492">
        <v>0.98840309999999998</v>
      </c>
      <c r="Y1492">
        <v>-5.562636E-2</v>
      </c>
      <c r="Z1492">
        <v>-2.7216560000000001E-2</v>
      </c>
      <c r="AA1492">
        <v>0.99808070000000004</v>
      </c>
      <c r="AB1492">
        <v>28</v>
      </c>
      <c r="AC1492">
        <v>260.05599999999998</v>
      </c>
      <c r="AD1492">
        <v>93.242284999999995</v>
      </c>
      <c r="AE1492">
        <v>3.0519999999999898</v>
      </c>
      <c r="AF1492">
        <v>-14.368504728186601</v>
      </c>
      <c r="AG1492">
        <v>93.242284999999995</v>
      </c>
      <c r="AH1492">
        <v>230.00364977797</v>
      </c>
      <c r="AI1492">
        <v>67.9714453784363</v>
      </c>
      <c r="AJ1492">
        <v>93.574666039522299</v>
      </c>
      <c r="AK1492">
        <v>248.60059644202801</v>
      </c>
      <c r="AL1492">
        <v>82.165014953419998</v>
      </c>
      <c r="AM1492">
        <v>93.872325464630094</v>
      </c>
      <c r="AN1492">
        <v>0.99999998576428095</v>
      </c>
    </row>
    <row r="1493" spans="1:40" x14ac:dyDescent="0.3">
      <c r="A1493" t="str">
        <f>"20200111150817321"</f>
        <v>20200111150817321</v>
      </c>
      <c r="B1493" t="str">
        <f>"1578726497313819"</f>
        <v>1578726497313819</v>
      </c>
      <c r="C1493" t="s">
        <v>40</v>
      </c>
      <c r="D1493">
        <v>5.4567800000000002</v>
      </c>
      <c r="E1493">
        <v>0.45972689999999999</v>
      </c>
      <c r="F1493" t="s">
        <v>55</v>
      </c>
      <c r="G1493">
        <v>-328.32420000000002</v>
      </c>
      <c r="H1493" s="1">
        <v>2.8929150000000001E-6</v>
      </c>
      <c r="I1493">
        <v>218.74270000000001</v>
      </c>
      <c r="J1493">
        <v>-367.16090000000003</v>
      </c>
      <c r="K1493">
        <v>1.1105969999999901</v>
      </c>
      <c r="L1493">
        <v>214.1926</v>
      </c>
      <c r="M1493">
        <v>0.99869779999999997</v>
      </c>
      <c r="N1493">
        <v>0</v>
      </c>
      <c r="O1493">
        <v>-4.986297E-2</v>
      </c>
      <c r="P1493">
        <v>0.99187060000000005</v>
      </c>
      <c r="Q1493">
        <v>0.1259499</v>
      </c>
      <c r="R1493">
        <v>1.8157329999999999E-2</v>
      </c>
      <c r="S1493">
        <v>3.0295100000000001</v>
      </c>
      <c r="T1493">
        <v>-8.5985420000000007E-2</v>
      </c>
      <c r="U1493">
        <v>0.35119630000000002</v>
      </c>
      <c r="V1493">
        <v>-6.7779939999999997E-2</v>
      </c>
      <c r="W1493">
        <v>0.1365297</v>
      </c>
      <c r="X1493">
        <v>0.98831449999999998</v>
      </c>
      <c r="Y1493">
        <v>-0.16445960000000001</v>
      </c>
      <c r="Z1493">
        <v>3.7365409999999999E-3</v>
      </c>
      <c r="AA1493">
        <v>0.98637680000000005</v>
      </c>
      <c r="AB1493">
        <v>28</v>
      </c>
      <c r="AC1493">
        <v>38.8367</v>
      </c>
      <c r="AD1493">
        <v>-1.1105941070849901</v>
      </c>
      <c r="AE1493">
        <v>4.5501000000000102</v>
      </c>
      <c r="AF1493">
        <v>-6.4758412583225704</v>
      </c>
      <c r="AG1493">
        <v>-1.1105941070849901</v>
      </c>
      <c r="AH1493">
        <v>38.530407473837997</v>
      </c>
      <c r="AI1493">
        <v>91.628203056329895</v>
      </c>
      <c r="AJ1493">
        <v>99.540587918669104</v>
      </c>
      <c r="AK1493">
        <v>39.086599230090002</v>
      </c>
      <c r="AL1493">
        <v>82.152915782926797</v>
      </c>
      <c r="AM1493">
        <v>93.923278533697399</v>
      </c>
      <c r="AN1493">
        <v>1.00000001507937</v>
      </c>
    </row>
    <row r="1494" spans="1:40" x14ac:dyDescent="0.3">
      <c r="A1494" t="str">
        <f>"20200111150817344"</f>
        <v>20200111150817344</v>
      </c>
      <c r="B1494" t="str">
        <f>"1578726497334314"</f>
        <v>1578726497334314</v>
      </c>
      <c r="C1494" t="s">
        <v>40</v>
      </c>
      <c r="D1494">
        <v>5.5686419999999996</v>
      </c>
      <c r="E1494">
        <v>0.46540110000000001</v>
      </c>
      <c r="F1494" t="s">
        <v>55</v>
      </c>
      <c r="G1494">
        <v>-344.73970000000003</v>
      </c>
      <c r="H1494" s="1">
        <v>9.8545819999999991E-7</v>
      </c>
      <c r="I1494">
        <v>216.92099999999999</v>
      </c>
      <c r="J1494">
        <v>-366.87450000000001</v>
      </c>
      <c r="K1494">
        <v>1.1105989999999999</v>
      </c>
      <c r="L1494">
        <v>214.17920000000001</v>
      </c>
      <c r="M1494">
        <v>0.99873509999999999</v>
      </c>
      <c r="N1494">
        <v>0</v>
      </c>
      <c r="O1494">
        <v>-4.911186E-2</v>
      </c>
      <c r="P1494">
        <v>0.99175329999999995</v>
      </c>
      <c r="Q1494">
        <v>0.12656500000000001</v>
      </c>
      <c r="R1494">
        <v>2.0165639999999999E-2</v>
      </c>
      <c r="S1494">
        <v>3.0369570000000001</v>
      </c>
      <c r="T1494">
        <v>-0.1504306</v>
      </c>
      <c r="U1494">
        <v>0.36955260000000001</v>
      </c>
      <c r="V1494">
        <v>-6.9036509999999995E-2</v>
      </c>
      <c r="W1494">
        <v>0.13714279999999901</v>
      </c>
      <c r="X1494">
        <v>0.98814259999999998</v>
      </c>
      <c r="Y1494">
        <v>-0.1691394</v>
      </c>
      <c r="Z1494">
        <v>6.5945750000000001E-3</v>
      </c>
      <c r="AA1494">
        <v>0.9855701</v>
      </c>
      <c r="AB1494">
        <v>28</v>
      </c>
      <c r="AC1494">
        <v>22.134799999999899</v>
      </c>
      <c r="AD1494">
        <v>-1.1105980145418</v>
      </c>
      <c r="AE1494">
        <v>2.74179999999998</v>
      </c>
      <c r="AF1494">
        <v>-3.8161735328815198</v>
      </c>
      <c r="AG1494">
        <v>-1.1105980145418</v>
      </c>
      <c r="AH1494">
        <v>21.919077221887601</v>
      </c>
      <c r="AI1494">
        <v>92.857673426681899</v>
      </c>
      <c r="AJ1494">
        <v>99.876361735560494</v>
      </c>
      <c r="AK1494">
        <v>22.2765022982075</v>
      </c>
      <c r="AL1494">
        <v>82.117453999112499</v>
      </c>
      <c r="AM1494">
        <v>93.996471456746505</v>
      </c>
      <c r="AN1494">
        <v>0.99999999261979</v>
      </c>
    </row>
    <row r="1495" spans="1:40" x14ac:dyDescent="0.3">
      <c r="A1495" t="str">
        <f>"20200111150817366"</f>
        <v>20200111150817366</v>
      </c>
      <c r="B1495" t="str">
        <f>"1578726497363595"</f>
        <v>1578726497363595</v>
      </c>
      <c r="C1495" t="s">
        <v>40</v>
      </c>
      <c r="D1495">
        <v>5.5148089999999996</v>
      </c>
      <c r="E1495">
        <v>0.46593679999999899</v>
      </c>
      <c r="F1495" t="s">
        <v>55</v>
      </c>
      <c r="G1495">
        <v>-350.32319999999999</v>
      </c>
      <c r="H1495" s="1">
        <v>-1.424159E-6</v>
      </c>
      <c r="I1495">
        <v>215.9736</v>
      </c>
      <c r="J1495">
        <v>-366.59480000000002</v>
      </c>
      <c r="K1495">
        <v>1.1105959999999999</v>
      </c>
      <c r="L1495">
        <v>214.1662</v>
      </c>
      <c r="M1495">
        <v>0.99877090000000002</v>
      </c>
      <c r="N1495">
        <v>0</v>
      </c>
      <c r="O1495">
        <v>-4.8378150000000002E-2</v>
      </c>
      <c r="P1495">
        <v>0.99167309999999997</v>
      </c>
      <c r="Q1495">
        <v>0.12687029999999999</v>
      </c>
      <c r="R1495">
        <v>2.2099710000000002E-2</v>
      </c>
      <c r="S1495">
        <v>3.0443120000000001</v>
      </c>
      <c r="T1495">
        <v>-0.20427390000000001</v>
      </c>
      <c r="U1495">
        <v>0.330047599999999</v>
      </c>
      <c r="V1495">
        <v>-7.023828E-2</v>
      </c>
      <c r="W1495">
        <v>0.13744600000000001</v>
      </c>
      <c r="X1495">
        <v>0.9880158</v>
      </c>
      <c r="Y1495">
        <v>-0.15530260000000001</v>
      </c>
      <c r="Z1495">
        <v>8.4238650000000009E-3</v>
      </c>
      <c r="AA1495">
        <v>0.98783100000000001</v>
      </c>
      <c r="AB1495">
        <v>28</v>
      </c>
      <c r="AC1495">
        <v>16.271599999999999</v>
      </c>
      <c r="AD1495">
        <v>-1.110597424159</v>
      </c>
      <c r="AE1495">
        <v>1.8073999999999999</v>
      </c>
      <c r="AF1495">
        <v>-2.5806435255522802</v>
      </c>
      <c r="AG1495">
        <v>-1.110597424159</v>
      </c>
      <c r="AH1495">
        <v>16.091053759274601</v>
      </c>
      <c r="AI1495">
        <v>93.898604867369698</v>
      </c>
      <c r="AJ1495">
        <v>99.111366863076299</v>
      </c>
      <c r="AK1495">
        <v>16.334477608065399</v>
      </c>
      <c r="AL1495">
        <v>82.099916054647096</v>
      </c>
      <c r="AM1495">
        <v>94.066329734910198</v>
      </c>
      <c r="AN1495">
        <v>1.00000001997149</v>
      </c>
    </row>
    <row r="1496" spans="1:40" x14ac:dyDescent="0.3">
      <c r="A1496" t="str">
        <f>"20200111150817387"</f>
        <v>20200111150817387</v>
      </c>
      <c r="B1496" t="str">
        <f>"1578726497384091"</f>
        <v>1578726497384091</v>
      </c>
      <c r="C1496" t="s">
        <v>40</v>
      </c>
      <c r="D1496">
        <v>5.4926269999999997</v>
      </c>
      <c r="E1496">
        <v>0.46580179999999999</v>
      </c>
      <c r="F1496" t="s">
        <v>55</v>
      </c>
      <c r="G1496">
        <v>-350.08080000000001</v>
      </c>
      <c r="H1496" s="1">
        <v>-1.5527260000000001E-6</v>
      </c>
      <c r="I1496">
        <v>215.96420000000001</v>
      </c>
      <c r="J1496">
        <v>-366.32279999999997</v>
      </c>
      <c r="K1496">
        <v>1.110603</v>
      </c>
      <c r="L1496">
        <v>214.15379999999999</v>
      </c>
      <c r="M1496">
        <v>0.99880500000000005</v>
      </c>
      <c r="N1496">
        <v>0</v>
      </c>
      <c r="O1496">
        <v>-4.7664579999999998E-2</v>
      </c>
      <c r="P1496">
        <v>0.99155040000000005</v>
      </c>
      <c r="Q1496">
        <v>0.12762129999999999</v>
      </c>
      <c r="R1496">
        <v>2.3251230000000001E-2</v>
      </c>
      <c r="S1496">
        <v>3.044006</v>
      </c>
      <c r="T1496">
        <v>-0.20471500000000001</v>
      </c>
      <c r="U1496">
        <v>0.33142090000000002</v>
      </c>
      <c r="V1496">
        <v>-7.0676509999999998E-2</v>
      </c>
      <c r="W1496">
        <v>0.13819699999999999</v>
      </c>
      <c r="X1496">
        <v>0.98787979999999997</v>
      </c>
      <c r="Y1496">
        <v>-0.15504809999999999</v>
      </c>
      <c r="Z1496">
        <v>8.3863169999999904E-3</v>
      </c>
      <c r="AA1496">
        <v>0.98787130000000001</v>
      </c>
      <c r="AB1496">
        <v>28</v>
      </c>
      <c r="AC1496">
        <v>16.241999999999901</v>
      </c>
      <c r="AD1496">
        <v>-1.110604552726</v>
      </c>
      <c r="AE1496">
        <v>1.81040000000001</v>
      </c>
      <c r="AF1496">
        <v>-2.5706832693824699</v>
      </c>
      <c r="AG1496">
        <v>-1.110604552726</v>
      </c>
      <c r="AH1496">
        <v>16.063056967855299</v>
      </c>
      <c r="AI1496">
        <v>93.905610946783</v>
      </c>
      <c r="AJ1496">
        <v>99.092343315734198</v>
      </c>
      <c r="AK1496">
        <v>16.305325942666201</v>
      </c>
      <c r="AL1496">
        <v>82.056472500933097</v>
      </c>
      <c r="AM1496">
        <v>94.092175812175995</v>
      </c>
      <c r="AN1496">
        <v>1.0000000395613999</v>
      </c>
    </row>
    <row r="1497" spans="1:40" x14ac:dyDescent="0.3">
      <c r="A1497" t="str">
        <f>"20200111150817410"</f>
        <v>20200111150817410</v>
      </c>
      <c r="B1497" t="str">
        <f>"1578726497403918"</f>
        <v>1578726497403918</v>
      </c>
      <c r="C1497" t="s">
        <v>40</v>
      </c>
      <c r="D1497">
        <v>5.5285310000000001</v>
      </c>
      <c r="E1497">
        <v>0.46579169999999998</v>
      </c>
      <c r="F1497" t="s">
        <v>55</v>
      </c>
      <c r="G1497">
        <v>-350.19830000000002</v>
      </c>
      <c r="H1497" s="1">
        <v>-1.4887170000000001E-6</v>
      </c>
      <c r="I1497">
        <v>215.93100000000001</v>
      </c>
      <c r="J1497">
        <v>-366.03469999999999</v>
      </c>
      <c r="K1497">
        <v>1.110611</v>
      </c>
      <c r="L1497">
        <v>214.14089999999999</v>
      </c>
      <c r="M1497">
        <v>0.99884090000000003</v>
      </c>
      <c r="N1497">
        <v>0</v>
      </c>
      <c r="O1497">
        <v>-4.6908940000000003E-2</v>
      </c>
      <c r="P1497">
        <v>0.9913961</v>
      </c>
      <c r="Q1497">
        <v>0.128688</v>
      </c>
      <c r="R1497">
        <v>2.394779E-2</v>
      </c>
      <c r="S1497">
        <v>3.0446780000000002</v>
      </c>
      <c r="T1497">
        <v>-0.2097088</v>
      </c>
      <c r="U1497">
        <v>0.33557130000000002</v>
      </c>
      <c r="V1497">
        <v>-7.0618260000000002E-2</v>
      </c>
      <c r="W1497">
        <v>0.13926329999999901</v>
      </c>
      <c r="X1497">
        <v>0.98773420000000001</v>
      </c>
      <c r="Y1497">
        <v>-0.15558649999999999</v>
      </c>
      <c r="Z1497">
        <v>8.5545380000000004E-3</v>
      </c>
      <c r="AA1497">
        <v>0.98778520000000003</v>
      </c>
      <c r="AB1497">
        <v>28</v>
      </c>
      <c r="AC1497">
        <v>15.8363999999999</v>
      </c>
      <c r="AD1497">
        <v>-1.1106124887169999</v>
      </c>
      <c r="AE1497">
        <v>1.79009999999999</v>
      </c>
      <c r="AF1497">
        <v>-2.51880926599741</v>
      </c>
      <c r="AG1497">
        <v>-1.1106124887169999</v>
      </c>
      <c r="AH1497">
        <v>15.658944947011101</v>
      </c>
      <c r="AI1497">
        <v>94.005597440852696</v>
      </c>
      <c r="AJ1497">
        <v>99.137998823631605</v>
      </c>
      <c r="AK1497">
        <v>15.8990696920321</v>
      </c>
      <c r="AL1497">
        <v>81.994781375632201</v>
      </c>
      <c r="AM1497">
        <v>94.089415255693396</v>
      </c>
      <c r="AN1497">
        <v>1.00000002761097</v>
      </c>
    </row>
    <row r="1498" spans="1:40" x14ac:dyDescent="0.3">
      <c r="A1498" t="str">
        <f>"20200111150817433"</f>
        <v>20200111150817433</v>
      </c>
      <c r="B1498" t="str">
        <f>"1578726497424413"</f>
        <v>1578726497424413</v>
      </c>
      <c r="C1498" t="s">
        <v>40</v>
      </c>
      <c r="D1498">
        <v>5.5154949999999996</v>
      </c>
      <c r="E1498">
        <v>0.4654837</v>
      </c>
      <c r="F1498" t="s">
        <v>55</v>
      </c>
      <c r="G1498">
        <v>-350.42380000000003</v>
      </c>
      <c r="H1498" s="1">
        <v>-1.3661980000000001E-6</v>
      </c>
      <c r="I1498">
        <v>215.87280000000001</v>
      </c>
      <c r="J1498">
        <v>-365.74180000000001</v>
      </c>
      <c r="K1498">
        <v>1.110608</v>
      </c>
      <c r="L1498">
        <v>214.12799999999999</v>
      </c>
      <c r="M1498">
        <v>0.9988766</v>
      </c>
      <c r="N1498">
        <v>0</v>
      </c>
      <c r="O1498">
        <v>-4.614041E-2</v>
      </c>
      <c r="P1498">
        <v>0.99127540000000003</v>
      </c>
      <c r="Q1498">
        <v>0.1294112</v>
      </c>
      <c r="R1498">
        <v>2.5016799999999999E-2</v>
      </c>
      <c r="S1498">
        <v>3.0459900000000002</v>
      </c>
      <c r="T1498">
        <v>-0.2167017</v>
      </c>
      <c r="U1498">
        <v>0.33792109999999997</v>
      </c>
      <c r="V1498">
        <v>-7.0920849999999994E-2</v>
      </c>
      <c r="W1498">
        <v>0.13998659999999999</v>
      </c>
      <c r="X1498">
        <v>0.98761019999999999</v>
      </c>
      <c r="Y1498">
        <v>-0.15550340000000001</v>
      </c>
      <c r="Z1498">
        <v>8.7775539999999999E-3</v>
      </c>
      <c r="AA1498">
        <v>0.98779640000000002</v>
      </c>
      <c r="AB1498">
        <v>29</v>
      </c>
      <c r="AC1498">
        <v>15.3179999999999</v>
      </c>
      <c r="AD1498">
        <v>-1.1106093661980001</v>
      </c>
      <c r="AE1498">
        <v>1.7448000000000199</v>
      </c>
      <c r="AF1498">
        <v>-2.43711427222709</v>
      </c>
      <c r="AG1498">
        <v>-1.1106093661980001</v>
      </c>
      <c r="AH1498">
        <v>15.142591901583099</v>
      </c>
      <c r="AI1498">
        <v>94.141648465648402</v>
      </c>
      <c r="AJ1498">
        <v>99.143024583471501</v>
      </c>
      <c r="AK1498">
        <v>15.377615830747899</v>
      </c>
      <c r="AL1498">
        <v>81.952928837168002</v>
      </c>
      <c r="AM1498">
        <v>94.107391911877002</v>
      </c>
      <c r="AN1498">
        <v>0.99999996114416001</v>
      </c>
    </row>
    <row r="1499" spans="1:40" x14ac:dyDescent="0.3">
      <c r="A1499" t="str">
        <f>"20200111150817455"</f>
        <v>20200111150817455</v>
      </c>
      <c r="B1499" t="str">
        <f>"1578726497453694"</f>
        <v>1578726497453694</v>
      </c>
      <c r="C1499" t="s">
        <v>40</v>
      </c>
      <c r="D1499">
        <v>5.5194130000000001</v>
      </c>
      <c r="E1499">
        <v>0.46504489999999998</v>
      </c>
      <c r="F1499" t="s">
        <v>55</v>
      </c>
      <c r="G1499">
        <v>-349.7251</v>
      </c>
      <c r="H1499" s="1">
        <v>3.6384210000000001E-6</v>
      </c>
      <c r="I1499">
        <v>215.9333</v>
      </c>
      <c r="J1499">
        <v>-365.45209999999997</v>
      </c>
      <c r="K1499">
        <v>1.1106100000000001</v>
      </c>
      <c r="L1499">
        <v>214.11539999999999</v>
      </c>
      <c r="M1499">
        <v>0.99891149999999995</v>
      </c>
      <c r="N1499">
        <v>0</v>
      </c>
      <c r="O1499">
        <v>-4.5380709999999998E-2</v>
      </c>
      <c r="P1499">
        <v>0.99123640000000002</v>
      </c>
      <c r="Q1499">
        <v>0.1295415</v>
      </c>
      <c r="R1499">
        <v>2.5874790000000002E-2</v>
      </c>
      <c r="S1499">
        <v>3.0453190000000001</v>
      </c>
      <c r="T1499">
        <v>-0.21116399999999999</v>
      </c>
      <c r="U1499">
        <v>0.3432617</v>
      </c>
      <c r="V1499">
        <v>-7.1024080000000003E-2</v>
      </c>
      <c r="W1499">
        <v>0.14011789999999999</v>
      </c>
      <c r="X1499">
        <v>0.98758420000000002</v>
      </c>
      <c r="Y1499">
        <v>-0.1565116</v>
      </c>
      <c r="Z1499">
        <v>8.5371839999999997E-3</v>
      </c>
      <c r="AA1499">
        <v>0.98763920000000005</v>
      </c>
      <c r="AB1499">
        <v>29</v>
      </c>
      <c r="AC1499">
        <v>15.726999999999901</v>
      </c>
      <c r="AD1499">
        <v>-1.1106063615790001</v>
      </c>
      <c r="AE1499">
        <v>1.8179000000000001</v>
      </c>
      <c r="AF1499">
        <v>-2.5173825375271601</v>
      </c>
      <c r="AG1499">
        <v>-1.1106063615790001</v>
      </c>
      <c r="AH1499">
        <v>15.551761079122899</v>
      </c>
      <c r="AI1499">
        <v>94.032448538047603</v>
      </c>
      <c r="AJ1499">
        <v>99.194783156643894</v>
      </c>
      <c r="AK1499">
        <v>15.793287624581099</v>
      </c>
      <c r="AL1499">
        <v>81.945331324431805</v>
      </c>
      <c r="AM1499">
        <v>94.113457906587001</v>
      </c>
      <c r="AN1499">
        <v>0.99999999896494796</v>
      </c>
    </row>
    <row r="1500" spans="1:40" x14ac:dyDescent="0.3">
      <c r="A1500" t="str">
        <f>"20200111150817479"</f>
        <v>20200111150817479</v>
      </c>
      <c r="B1500" t="str">
        <f>"1578726497474191"</f>
        <v>1578726497474191</v>
      </c>
      <c r="C1500" t="s">
        <v>40</v>
      </c>
      <c r="D1500">
        <v>5.4407030000000001</v>
      </c>
      <c r="E1500">
        <v>0.46552470000000001</v>
      </c>
      <c r="F1500" t="s">
        <v>55</v>
      </c>
      <c r="G1500">
        <v>-350.07100000000003</v>
      </c>
      <c r="H1500" s="1">
        <v>-1.5542840000000001E-6</v>
      </c>
      <c r="I1500">
        <v>215.88040000000001</v>
      </c>
      <c r="J1500">
        <v>-365.16919999999999</v>
      </c>
      <c r="K1500">
        <v>1.110617</v>
      </c>
      <c r="L1500">
        <v>214.10339999999999</v>
      </c>
      <c r="M1500">
        <v>0.99894490000000002</v>
      </c>
      <c r="N1500">
        <v>0</v>
      </c>
      <c r="O1500">
        <v>-4.4638770000000001E-2</v>
      </c>
      <c r="P1500">
        <v>0.99118910000000005</v>
      </c>
      <c r="Q1500">
        <v>0.12999179999999999</v>
      </c>
      <c r="R1500">
        <v>2.5426959999999998E-2</v>
      </c>
      <c r="S1500">
        <v>3.0461429999999998</v>
      </c>
      <c r="T1500">
        <v>-0.2199507</v>
      </c>
      <c r="U1500">
        <v>0.34954829999999998</v>
      </c>
      <c r="V1500">
        <v>-6.9841260000000002E-2</v>
      </c>
      <c r="W1500">
        <v>0.14057159999999999</v>
      </c>
      <c r="X1500">
        <v>0.98760409999999998</v>
      </c>
      <c r="Y1500">
        <v>-0.1577191</v>
      </c>
      <c r="Z1500">
        <v>8.8781810000000006E-3</v>
      </c>
      <c r="AA1500">
        <v>0.98744410000000005</v>
      </c>
      <c r="AB1500">
        <v>29</v>
      </c>
      <c r="AC1500">
        <v>15.0982</v>
      </c>
      <c r="AD1500">
        <v>-1.1106185542839999</v>
      </c>
      <c r="AE1500">
        <v>1.7770000000000099</v>
      </c>
      <c r="AF1500">
        <v>-2.43623040765595</v>
      </c>
      <c r="AG1500">
        <v>-1.1106185542839999</v>
      </c>
      <c r="AH1500">
        <v>14.9241688671794</v>
      </c>
      <c r="AI1500">
        <v>94.200564456755004</v>
      </c>
      <c r="AJ1500">
        <v>99.271223443972303</v>
      </c>
      <c r="AK1500">
        <v>15.1624374210875</v>
      </c>
      <c r="AL1500">
        <v>81.919076525229301</v>
      </c>
      <c r="AM1500">
        <v>94.045101344499002</v>
      </c>
      <c r="AN1500">
        <v>1.0000000173308701</v>
      </c>
    </row>
    <row r="1501" spans="1:40" x14ac:dyDescent="0.3">
      <c r="A1501" t="str">
        <f>"20200111150817501"</f>
        <v>20200111150817501</v>
      </c>
      <c r="B1501" t="str">
        <f>"1578726497493711"</f>
        <v>1578726497493711</v>
      </c>
      <c r="C1501" t="s">
        <v>40</v>
      </c>
      <c r="D1501">
        <v>5.4607080000000003</v>
      </c>
      <c r="E1501">
        <v>0.4659469</v>
      </c>
      <c r="F1501" t="s">
        <v>55</v>
      </c>
      <c r="G1501">
        <v>-349.62130000000002</v>
      </c>
      <c r="H1501" s="1">
        <v>3.5831699999999901E-6</v>
      </c>
      <c r="I1501">
        <v>215.8699</v>
      </c>
      <c r="J1501">
        <v>-364.8775</v>
      </c>
      <c r="K1501">
        <v>1.110617</v>
      </c>
      <c r="L1501">
        <v>214.09110000000001</v>
      </c>
      <c r="M1501">
        <v>0.9989787</v>
      </c>
      <c r="N1501">
        <v>0</v>
      </c>
      <c r="O1501">
        <v>-4.3873589999999997E-2</v>
      </c>
      <c r="P1501">
        <v>0.99111610000000006</v>
      </c>
      <c r="Q1501">
        <v>0.13062789999999999</v>
      </c>
      <c r="R1501">
        <v>2.5006839999999999E-2</v>
      </c>
      <c r="S1501">
        <v>3.0463260000000001</v>
      </c>
      <c r="T1501">
        <v>-0.21760360000000001</v>
      </c>
      <c r="U1501">
        <v>0.3461304</v>
      </c>
      <c r="V1501">
        <v>-6.8661819999999998E-2</v>
      </c>
      <c r="W1501">
        <v>0.1412108</v>
      </c>
      <c r="X1501">
        <v>0.98759560000000002</v>
      </c>
      <c r="Y1501">
        <v>-0.15587970000000001</v>
      </c>
      <c r="Z1501">
        <v>8.663848E-3</v>
      </c>
      <c r="AA1501">
        <v>0.98773809999999995</v>
      </c>
      <c r="AB1501">
        <v>29</v>
      </c>
      <c r="AC1501">
        <v>15.2561999999999</v>
      </c>
      <c r="AD1501">
        <v>-1.1106134168299999</v>
      </c>
      <c r="AE1501">
        <v>1.77879999999998</v>
      </c>
      <c r="AF1501">
        <v>-2.4337456906375001</v>
      </c>
      <c r="AG1501">
        <v>-1.1106134168299999</v>
      </c>
      <c r="AH1501">
        <v>15.08459275475</v>
      </c>
      <c r="AI1501">
        <v>94.157274825425105</v>
      </c>
      <c r="AJ1501">
        <v>99.165111891331406</v>
      </c>
      <c r="AK1501">
        <v>15.319971240997599</v>
      </c>
      <c r="AL1501">
        <v>81.882083943892795</v>
      </c>
      <c r="AM1501">
        <v>93.977045141219705</v>
      </c>
      <c r="AN1501">
        <v>1.00000000235085</v>
      </c>
    </row>
    <row r="1502" spans="1:40" x14ac:dyDescent="0.3">
      <c r="A1502" t="str">
        <f>"20200111150817522"</f>
        <v>20200111150817522</v>
      </c>
      <c r="B1502" t="str">
        <f>"1578726497514207"</f>
        <v>1578726497514207</v>
      </c>
      <c r="C1502" t="s">
        <v>40</v>
      </c>
      <c r="D1502">
        <v>5.1387019999999897</v>
      </c>
      <c r="E1502">
        <v>0.46484560000000003</v>
      </c>
      <c r="F1502" t="s">
        <v>55</v>
      </c>
      <c r="G1502">
        <v>-349.31580000000002</v>
      </c>
      <c r="H1502" s="1">
        <v>3.4206319999999999E-6</v>
      </c>
      <c r="I1502">
        <v>215.83590000000001</v>
      </c>
      <c r="J1502">
        <v>-364.59519999999998</v>
      </c>
      <c r="K1502">
        <v>1.1106259999999999</v>
      </c>
      <c r="L1502">
        <v>214.0795</v>
      </c>
      <c r="M1502">
        <v>0.99901099999999998</v>
      </c>
      <c r="N1502">
        <v>0</v>
      </c>
      <c r="O1502">
        <v>-4.3133199999999997E-2</v>
      </c>
      <c r="P1502">
        <v>0.99109510000000001</v>
      </c>
      <c r="Q1502">
        <v>0.13075419999999999</v>
      </c>
      <c r="R1502">
        <v>2.5176150000000001E-2</v>
      </c>
      <c r="S1502">
        <v>3.046967</v>
      </c>
      <c r="T1502">
        <v>-0.21745709999999999</v>
      </c>
      <c r="U1502">
        <v>0.34162900000000002</v>
      </c>
      <c r="V1502">
        <v>-6.8097320000000003E-2</v>
      </c>
      <c r="W1502">
        <v>0.1413401</v>
      </c>
      <c r="X1502">
        <v>0.98761620000000006</v>
      </c>
      <c r="Y1502">
        <v>-0.153691299999999</v>
      </c>
      <c r="Z1502">
        <v>8.5265250000000001E-3</v>
      </c>
      <c r="AA1502">
        <v>0.98808209999999996</v>
      </c>
      <c r="AB1502">
        <v>29</v>
      </c>
      <c r="AC1502">
        <v>15.2793999999999</v>
      </c>
      <c r="AD1502">
        <v>-1.110622579368</v>
      </c>
      <c r="AE1502">
        <v>1.75640000000001</v>
      </c>
      <c r="AF1502">
        <v>-2.40133107702392</v>
      </c>
      <c r="AG1502">
        <v>-1.110622579368</v>
      </c>
      <c r="AH1502">
        <v>15.1106191908806</v>
      </c>
      <c r="AI1502">
        <v>94.151738328835407</v>
      </c>
      <c r="AJ1502">
        <v>99.029752444731599</v>
      </c>
      <c r="AK1502">
        <v>15.340491706170701</v>
      </c>
      <c r="AL1502">
        <v>81.874600636234007</v>
      </c>
      <c r="AM1502">
        <v>93.944369670936496</v>
      </c>
      <c r="AN1502">
        <v>1.00000001368081</v>
      </c>
    </row>
    <row r="1503" spans="1:40" x14ac:dyDescent="0.3">
      <c r="A1503" t="str">
        <f>"20200111150817545"</f>
        <v>20200111150817545</v>
      </c>
      <c r="B1503" t="str">
        <f>"1578726497533726"</f>
        <v>1578726497533726</v>
      </c>
      <c r="C1503" t="s">
        <v>40</v>
      </c>
      <c r="D1503">
        <v>5.4429319999999999</v>
      </c>
      <c r="E1503">
        <v>0.4647405</v>
      </c>
      <c r="F1503" t="s">
        <v>55</v>
      </c>
      <c r="G1503">
        <v>-349.05939999999998</v>
      </c>
      <c r="H1503" s="1">
        <v>3.2841719999999999E-6</v>
      </c>
      <c r="I1503">
        <v>215.8646</v>
      </c>
      <c r="J1503">
        <v>-364.30790000000002</v>
      </c>
      <c r="K1503">
        <v>1.110627</v>
      </c>
      <c r="L1503">
        <v>214.06800000000001</v>
      </c>
      <c r="M1503">
        <v>0.99904320000000002</v>
      </c>
      <c r="N1503">
        <v>0</v>
      </c>
      <c r="O1503">
        <v>-4.237958E-2</v>
      </c>
      <c r="P1503">
        <v>0.99114749999999996</v>
      </c>
      <c r="Q1503">
        <v>0.13042110000000001</v>
      </c>
      <c r="R1503">
        <v>2.4838180000000001E-2</v>
      </c>
      <c r="S1503">
        <v>3.0467219999999999</v>
      </c>
      <c r="T1503">
        <v>-0.21780340000000001</v>
      </c>
      <c r="U1503">
        <v>0.35006710000000002</v>
      </c>
      <c r="V1503">
        <v>-6.7015889999999995E-2</v>
      </c>
      <c r="W1503">
        <v>0.14101159999999999</v>
      </c>
      <c r="X1503">
        <v>0.98773710000000003</v>
      </c>
      <c r="Y1503">
        <v>-0.1556516</v>
      </c>
      <c r="Z1503">
        <v>8.5555579999999996E-3</v>
      </c>
      <c r="AA1503">
        <v>0.98777499999999996</v>
      </c>
      <c r="AB1503">
        <v>29</v>
      </c>
      <c r="AC1503">
        <v>15.2485</v>
      </c>
      <c r="AD1503">
        <v>-1.1106237158279999</v>
      </c>
      <c r="AE1503">
        <v>1.79660000000001</v>
      </c>
      <c r="AF1503">
        <v>-2.4285415882130499</v>
      </c>
      <c r="AG1503">
        <v>-1.1106237158279999</v>
      </c>
      <c r="AH1503">
        <v>15.079753551200101</v>
      </c>
      <c r="AI1503">
        <v>94.1588336587117</v>
      </c>
      <c r="AJ1503">
        <v>99.1487309428435</v>
      </c>
      <c r="AK1503">
        <v>15.314381033811699</v>
      </c>
      <c r="AL1503">
        <v>81.893612519399994</v>
      </c>
      <c r="AM1503">
        <v>93.881449854227995</v>
      </c>
      <c r="AN1503">
        <v>0.99999998978173099</v>
      </c>
    </row>
    <row r="1504" spans="1:40" x14ac:dyDescent="0.3">
      <c r="A1504" t="str">
        <f>"20200111150817577"</f>
        <v>20200111150817577</v>
      </c>
      <c r="B1504" t="str">
        <f>"1578726497573743"</f>
        <v>1578726497573743</v>
      </c>
      <c r="C1504" t="s">
        <v>40</v>
      </c>
      <c r="D1504">
        <v>5.3618119999999996</v>
      </c>
      <c r="E1504">
        <v>0.46498699999999998</v>
      </c>
      <c r="F1504" t="s">
        <v>55</v>
      </c>
      <c r="G1504">
        <v>-348.83969999999999</v>
      </c>
      <c r="H1504" s="1">
        <v>3.167248E-6</v>
      </c>
      <c r="I1504">
        <v>215.84540000000001</v>
      </c>
      <c r="J1504">
        <v>-363.90230000000003</v>
      </c>
      <c r="K1504">
        <v>1.1106259999999999</v>
      </c>
      <c r="L1504">
        <v>214.05199999999999</v>
      </c>
      <c r="M1504">
        <v>0.99908759999999996</v>
      </c>
      <c r="N1504">
        <v>0</v>
      </c>
      <c r="O1504">
        <v>-4.131638E-2</v>
      </c>
      <c r="P1504">
        <v>0.99113629999999997</v>
      </c>
      <c r="Q1504">
        <v>0.13042429999999999</v>
      </c>
      <c r="R1504">
        <v>2.5262529999999998E-2</v>
      </c>
      <c r="S1504">
        <v>3.0468139999999999</v>
      </c>
      <c r="T1504">
        <v>-0.21876190000000001</v>
      </c>
      <c r="U1504">
        <v>0.3501129</v>
      </c>
      <c r="V1504">
        <v>-6.638703E-2</v>
      </c>
      <c r="W1504">
        <v>0.1410187</v>
      </c>
      <c r="X1504">
        <v>0.9877785</v>
      </c>
      <c r="Y1504">
        <v>-0.15461269999999999</v>
      </c>
      <c r="Z1504">
        <v>8.4796890000000003E-3</v>
      </c>
      <c r="AA1504">
        <v>0.98793880000000001</v>
      </c>
      <c r="AB1504">
        <v>29</v>
      </c>
      <c r="AC1504">
        <v>15.0626</v>
      </c>
      <c r="AD1504">
        <v>-1.110622832752</v>
      </c>
      <c r="AE1504">
        <v>1.7933999999999899</v>
      </c>
      <c r="AF1504">
        <v>-2.4013640062383201</v>
      </c>
      <c r="AG1504">
        <v>-1.110622832752</v>
      </c>
      <c r="AH1504">
        <v>14.895784073438101</v>
      </c>
      <c r="AI1504">
        <v>94.209901828400007</v>
      </c>
      <c r="AJ1504">
        <v>99.157916476058801</v>
      </c>
      <c r="AK1504">
        <v>15.128926443392499</v>
      </c>
      <c r="AL1504">
        <v>81.893201193051297</v>
      </c>
      <c r="AM1504">
        <v>93.844976421247907</v>
      </c>
      <c r="AN1504">
        <v>0.999999938282078</v>
      </c>
    </row>
    <row r="1505" spans="1:40" x14ac:dyDescent="0.3">
      <c r="A1505" t="str">
        <f>"20200111150817601"</f>
        <v>20200111150817601</v>
      </c>
      <c r="B1505" t="str">
        <f>"1578726497594238"</f>
        <v>1578726497594238</v>
      </c>
      <c r="C1505" t="s">
        <v>40</v>
      </c>
      <c r="D1505">
        <v>5.5024139999999999</v>
      </c>
      <c r="E1505">
        <v>0.46537729999999999</v>
      </c>
      <c r="F1505" t="s">
        <v>55</v>
      </c>
      <c r="G1505">
        <v>-348.73869999999999</v>
      </c>
      <c r="H1505" s="1">
        <v>3.1135360000000001E-6</v>
      </c>
      <c r="I1505">
        <v>215.79249999999999</v>
      </c>
      <c r="J1505">
        <v>-363.6069</v>
      </c>
      <c r="K1505">
        <v>1.1106279999999999</v>
      </c>
      <c r="L1505">
        <v>214.04060000000001</v>
      </c>
      <c r="M1505">
        <v>0.99911939999999999</v>
      </c>
      <c r="N1505">
        <v>0</v>
      </c>
      <c r="O1505">
        <v>-4.0542019999999998E-2</v>
      </c>
      <c r="P1505">
        <v>0.99106810000000001</v>
      </c>
      <c r="Q1505">
        <v>0.13057679999999999</v>
      </c>
      <c r="R1505">
        <v>2.7089519999999999E-2</v>
      </c>
      <c r="S1505">
        <v>3.0472410000000001</v>
      </c>
      <c r="T1505">
        <v>-0.22318859999999999</v>
      </c>
      <c r="U1505">
        <v>0.34977720000000001</v>
      </c>
      <c r="V1505">
        <v>-6.7443429999999999E-2</v>
      </c>
      <c r="W1505">
        <v>0.1411702</v>
      </c>
      <c r="X1505">
        <v>0.98768540000000005</v>
      </c>
      <c r="Y1505">
        <v>-0.15370809999999999</v>
      </c>
      <c r="Z1505">
        <v>8.5602100000000004E-3</v>
      </c>
      <c r="AA1505">
        <v>0.98807920000000005</v>
      </c>
      <c r="AB1505">
        <v>29</v>
      </c>
      <c r="AC1505">
        <v>14.8682</v>
      </c>
      <c r="AD1505">
        <v>-1.110624886464</v>
      </c>
      <c r="AE1505">
        <v>1.75189999999997</v>
      </c>
      <c r="AF1505">
        <v>-2.3404014073282999</v>
      </c>
      <c r="AG1505">
        <v>-1.110624886464</v>
      </c>
      <c r="AH1505">
        <v>14.704022833371701</v>
      </c>
      <c r="AI1505">
        <v>94.265967812055294</v>
      </c>
      <c r="AJ1505">
        <v>99.043758402660998</v>
      </c>
      <c r="AK1505">
        <v>14.930480697893699</v>
      </c>
      <c r="AL1505">
        <v>81.884434043762795</v>
      </c>
      <c r="AM1505">
        <v>93.906339683789298</v>
      </c>
      <c r="AN1505">
        <v>1.0000000454956799</v>
      </c>
    </row>
    <row r="1506" spans="1:40" x14ac:dyDescent="0.3">
      <c r="A1506" t="str">
        <f>"20200111150817622"</f>
        <v>20200111150817622</v>
      </c>
      <c r="B1506" t="str">
        <f>"1578726497613761"</f>
        <v>1578726497613761</v>
      </c>
      <c r="C1506" t="s">
        <v>40</v>
      </c>
      <c r="D1506">
        <v>5.506793</v>
      </c>
      <c r="E1506">
        <v>0.46572799999999998</v>
      </c>
      <c r="F1506" t="s">
        <v>55</v>
      </c>
      <c r="G1506">
        <v>-348.6035</v>
      </c>
      <c r="H1506" s="1">
        <v>3.041544E-6</v>
      </c>
      <c r="I1506">
        <v>215.77330000000001</v>
      </c>
      <c r="J1506">
        <v>-363.31869999999998</v>
      </c>
      <c r="K1506">
        <v>1.1106290000000001</v>
      </c>
      <c r="L1506">
        <v>214.02969999999999</v>
      </c>
      <c r="M1506">
        <v>0.99914970000000003</v>
      </c>
      <c r="N1506">
        <v>0</v>
      </c>
      <c r="O1506">
        <v>-3.9786849999999999E-2</v>
      </c>
      <c r="P1506">
        <v>0.99101609999999996</v>
      </c>
      <c r="Q1506">
        <v>0.13062560000000001</v>
      </c>
      <c r="R1506">
        <v>2.8709800000000001E-2</v>
      </c>
      <c r="S1506">
        <v>3.0471499999999998</v>
      </c>
      <c r="T1506">
        <v>-0.22556380000000001</v>
      </c>
      <c r="U1506">
        <v>0.35191349999999999</v>
      </c>
      <c r="V1506">
        <v>-6.8313260000000001E-2</v>
      </c>
      <c r="W1506">
        <v>0.14121929999999999</v>
      </c>
      <c r="X1506">
        <v>0.98761860000000001</v>
      </c>
      <c r="Y1506">
        <v>-0.15363959999999999</v>
      </c>
      <c r="Z1506">
        <v>8.5927869999999993E-3</v>
      </c>
      <c r="AA1506">
        <v>0.98808960000000001</v>
      </c>
      <c r="AB1506">
        <v>29</v>
      </c>
      <c r="AC1506">
        <v>14.7151999999999</v>
      </c>
      <c r="AD1506">
        <v>-1.1106259584559901</v>
      </c>
      <c r="AE1506">
        <v>1.74360000000001</v>
      </c>
      <c r="AF1506">
        <v>-2.31472180656487</v>
      </c>
      <c r="AG1506">
        <v>-1.1106259584559901</v>
      </c>
      <c r="AH1506">
        <v>14.552421377345301</v>
      </c>
      <c r="AI1506">
        <v>94.310317483599505</v>
      </c>
      <c r="AJ1506">
        <v>99.037808014805094</v>
      </c>
      <c r="AK1506">
        <v>14.7771578798225</v>
      </c>
      <c r="AL1506">
        <v>81.881592353659002</v>
      </c>
      <c r="AM1506">
        <v>93.9568282108402</v>
      </c>
      <c r="AN1506">
        <v>1.0000000456251299</v>
      </c>
    </row>
    <row r="1507" spans="1:40" x14ac:dyDescent="0.3">
      <c r="A1507" t="str">
        <f>"20200111150817644"</f>
        <v>20200111150817644</v>
      </c>
      <c r="B1507" t="str">
        <f>"1578726497634254"</f>
        <v>1578726497634254</v>
      </c>
      <c r="C1507" t="s">
        <v>40</v>
      </c>
      <c r="D1507">
        <v>5.4397609999999998</v>
      </c>
      <c r="E1507">
        <v>0.46604909999999999</v>
      </c>
      <c r="F1507" t="s">
        <v>55</v>
      </c>
      <c r="G1507">
        <v>-348.32229999999998</v>
      </c>
      <c r="H1507" s="1">
        <v>2.8919280000000001E-6</v>
      </c>
      <c r="I1507">
        <v>215.77350000000001</v>
      </c>
      <c r="J1507">
        <v>-363.03440000000001</v>
      </c>
      <c r="K1507">
        <v>1.1106339999999999</v>
      </c>
      <c r="L1507">
        <v>214.01920000000001</v>
      </c>
      <c r="M1507">
        <v>0.99917920000000005</v>
      </c>
      <c r="N1507">
        <v>0</v>
      </c>
      <c r="O1507">
        <v>-3.9041810000000003E-2</v>
      </c>
      <c r="P1507">
        <v>0.99098189999999997</v>
      </c>
      <c r="Q1507">
        <v>0.1306697</v>
      </c>
      <c r="R1507">
        <v>2.9676080000000001E-2</v>
      </c>
      <c r="S1507">
        <v>3.0466310000000001</v>
      </c>
      <c r="T1507">
        <v>-0.22563259999999999</v>
      </c>
      <c r="U1507">
        <v>0.3542633</v>
      </c>
      <c r="V1507">
        <v>-6.8539790000000003E-2</v>
      </c>
      <c r="W1507">
        <v>0.14126459999999999</v>
      </c>
      <c r="X1507">
        <v>0.98759640000000004</v>
      </c>
      <c r="Y1507">
        <v>-0.15367549999999999</v>
      </c>
      <c r="Z1507">
        <v>8.5428580000000004E-3</v>
      </c>
      <c r="AA1507">
        <v>0.98808439999999997</v>
      </c>
      <c r="AB1507">
        <v>29</v>
      </c>
      <c r="AC1507">
        <v>14.7121</v>
      </c>
      <c r="AD1507">
        <v>-1.1106311080719999</v>
      </c>
      <c r="AE1507">
        <v>1.7543</v>
      </c>
      <c r="AF1507">
        <v>-2.3143783643439799</v>
      </c>
      <c r="AG1507">
        <v>-1.1106311080719999</v>
      </c>
      <c r="AH1507">
        <v>14.5506269004164</v>
      </c>
      <c r="AI1507">
        <v>94.310869624835703</v>
      </c>
      <c r="AJ1507">
        <v>99.037585222238107</v>
      </c>
      <c r="AK1507">
        <v>14.7753372843629</v>
      </c>
      <c r="AL1507">
        <v>81.878970359594902</v>
      </c>
      <c r="AM1507">
        <v>93.9699963085517</v>
      </c>
      <c r="AN1507">
        <v>1.0000000196596801</v>
      </c>
    </row>
    <row r="1508" spans="1:40" x14ac:dyDescent="0.3">
      <c r="A1508" t="str">
        <f>"20200111150817667"</f>
        <v>20200111150817667</v>
      </c>
      <c r="B1508" t="str">
        <f>"1578726497664510"</f>
        <v>1578726497664510</v>
      </c>
      <c r="C1508" t="s">
        <v>40</v>
      </c>
      <c r="D1508">
        <v>5.4789309999999896</v>
      </c>
      <c r="E1508">
        <v>0.46659230000000002</v>
      </c>
      <c r="F1508" t="s">
        <v>55</v>
      </c>
      <c r="G1508">
        <v>-348.05770000000001</v>
      </c>
      <c r="H1508" s="1">
        <v>2.751131E-6</v>
      </c>
      <c r="I1508">
        <v>215.76169999999999</v>
      </c>
      <c r="J1508">
        <v>-362.75110000000001</v>
      </c>
      <c r="K1508">
        <v>1.1106279999999999</v>
      </c>
      <c r="L1508">
        <v>214.00899999999999</v>
      </c>
      <c r="M1508">
        <v>0.99920779999999998</v>
      </c>
      <c r="N1508">
        <v>0</v>
      </c>
      <c r="O1508">
        <v>-3.8299399999999997E-2</v>
      </c>
      <c r="P1508">
        <v>0.99091370000000001</v>
      </c>
      <c r="Q1508">
        <v>0.13089909999999999</v>
      </c>
      <c r="R1508">
        <v>3.091387E-2</v>
      </c>
      <c r="S1508">
        <v>3.0464479999999998</v>
      </c>
      <c r="T1508">
        <v>-0.22591720000000001</v>
      </c>
      <c r="U1508">
        <v>0.35444639999999999</v>
      </c>
      <c r="V1508">
        <v>-6.9039970000000006E-2</v>
      </c>
      <c r="W1508">
        <v>0.1414945</v>
      </c>
      <c r="X1508">
        <v>0.98752859999999998</v>
      </c>
      <c r="Y1508">
        <v>-0.15300920000000001</v>
      </c>
      <c r="Z1508">
        <v>8.4746679999999994E-3</v>
      </c>
      <c r="AA1508">
        <v>0.98818839999999997</v>
      </c>
      <c r="AB1508">
        <v>29</v>
      </c>
      <c r="AC1508">
        <v>14.693399999999899</v>
      </c>
      <c r="AD1508">
        <v>-1.110625248869</v>
      </c>
      <c r="AE1508">
        <v>1.7526999999999699</v>
      </c>
      <c r="AF1508">
        <v>-2.3012319364690299</v>
      </c>
      <c r="AG1508">
        <v>-1.110625248869</v>
      </c>
      <c r="AH1508">
        <v>14.533616394209499</v>
      </c>
      <c r="AI1508">
        <v>94.316351601659093</v>
      </c>
      <c r="AJ1508">
        <v>98.997435736061504</v>
      </c>
      <c r="AK1508">
        <v>14.756529482330301</v>
      </c>
      <c r="AL1508">
        <v>81.865664029205803</v>
      </c>
      <c r="AM1508">
        <v>93.999147990847007</v>
      </c>
      <c r="AN1508">
        <v>0.99999997340290503</v>
      </c>
    </row>
    <row r="1509" spans="1:40" x14ac:dyDescent="0.3">
      <c r="A1509" t="str">
        <f>"20200111150817688"</f>
        <v>20200111150817688</v>
      </c>
      <c r="B1509" t="str">
        <f>"1578726497684030"</f>
        <v>1578726497684030</v>
      </c>
      <c r="C1509" t="s">
        <v>40</v>
      </c>
      <c r="D1509">
        <v>5.4537129999999996</v>
      </c>
      <c r="E1509">
        <v>0.56107149999999995</v>
      </c>
      <c r="F1509" t="s">
        <v>55</v>
      </c>
      <c r="G1509">
        <v>-347.78579999999999</v>
      </c>
      <c r="H1509" s="1">
        <v>2.6064109999999998E-6</v>
      </c>
      <c r="I1509">
        <v>215.74610000000001</v>
      </c>
      <c r="J1509">
        <v>-362.4699</v>
      </c>
      <c r="K1509">
        <v>1.1106389999999999</v>
      </c>
      <c r="L1509">
        <v>213.999</v>
      </c>
      <c r="M1509">
        <v>0.99923569999999995</v>
      </c>
      <c r="N1509">
        <v>0</v>
      </c>
      <c r="O1509">
        <v>-3.7562579999999998E-2</v>
      </c>
      <c r="P1509">
        <v>0.99088849999999995</v>
      </c>
      <c r="Q1509">
        <v>0.1306416</v>
      </c>
      <c r="R1509">
        <v>3.2752490000000002E-2</v>
      </c>
      <c r="S1509">
        <v>3.0463870000000002</v>
      </c>
      <c r="T1509">
        <v>-0.2260818</v>
      </c>
      <c r="U1509">
        <v>0.3536224</v>
      </c>
      <c r="V1509">
        <v>-7.0147249999999994E-2</v>
      </c>
      <c r="W1509">
        <v>0.1412368</v>
      </c>
      <c r="X1509">
        <v>0.98748749999999996</v>
      </c>
      <c r="Y1509">
        <v>-0.15202289999999999</v>
      </c>
      <c r="Z1509">
        <v>8.390237E-3</v>
      </c>
      <c r="AA1509">
        <v>0.98834129999999998</v>
      </c>
      <c r="AB1509">
        <v>29</v>
      </c>
      <c r="AC1509">
        <v>14.684100000000001</v>
      </c>
      <c r="AD1509">
        <v>-1.110636393589</v>
      </c>
      <c r="AE1509">
        <v>1.7470999999999799</v>
      </c>
      <c r="AF1509">
        <v>-2.2845848620917</v>
      </c>
      <c r="AG1509">
        <v>-1.110636393589</v>
      </c>
      <c r="AH1509">
        <v>14.5261665663157</v>
      </c>
      <c r="AI1509">
        <v>94.319305476407195</v>
      </c>
      <c r="AJ1509">
        <v>98.937909496516696</v>
      </c>
      <c r="AK1509">
        <v>14.74660490768</v>
      </c>
      <c r="AL1509">
        <v>81.880579288062407</v>
      </c>
      <c r="AM1509">
        <v>94.063242724219805</v>
      </c>
      <c r="AN1509">
        <v>1.0000000165065199</v>
      </c>
    </row>
    <row r="1510" spans="1:40" x14ac:dyDescent="0.3">
      <c r="A1510" t="str">
        <f>"20200111150817711"</f>
        <v>20200111150817711</v>
      </c>
      <c r="B1510" t="str">
        <f>"1578726497704526"</f>
        <v>1578726497704526</v>
      </c>
      <c r="C1510" t="s">
        <v>40</v>
      </c>
      <c r="D1510">
        <v>5.4847440000000001</v>
      </c>
      <c r="E1510">
        <v>0.56169040000000003</v>
      </c>
      <c r="F1510" t="s">
        <v>41</v>
      </c>
      <c r="G1510">
        <v>-361.60419999999999</v>
      </c>
      <c r="H1510">
        <v>1.0458240000000001</v>
      </c>
      <c r="I1510">
        <v>213.88759999999999</v>
      </c>
      <c r="J1510">
        <v>-362.17570000000001</v>
      </c>
      <c r="K1510">
        <v>1.110646</v>
      </c>
      <c r="L1510">
        <v>213.9888</v>
      </c>
      <c r="M1510">
        <v>0.9992645</v>
      </c>
      <c r="N1510">
        <v>0</v>
      </c>
      <c r="O1510">
        <v>-3.6791919999999999E-2</v>
      </c>
      <c r="P1510">
        <v>0.99074859999999998</v>
      </c>
      <c r="Q1510">
        <v>0.13128860000000001</v>
      </c>
      <c r="R1510">
        <v>3.4358140000000002E-2</v>
      </c>
      <c r="S1510">
        <v>3.0709529999999998</v>
      </c>
      <c r="T1510">
        <v>-0.23005429999999999</v>
      </c>
      <c r="U1510">
        <v>-0.3946075</v>
      </c>
      <c r="V1510">
        <v>-7.0984859999999997E-2</v>
      </c>
      <c r="W1510">
        <v>0.14188249999999999</v>
      </c>
      <c r="X1510">
        <v>0.98733499999999996</v>
      </c>
      <c r="Y1510">
        <v>9.0720060000000005E-2</v>
      </c>
      <c r="Z1510">
        <v>-6.4026489999999996E-4</v>
      </c>
      <c r="AA1510">
        <v>0.99587630000000005</v>
      </c>
      <c r="AB1510">
        <v>29</v>
      </c>
      <c r="AC1510">
        <v>0.571500000000014</v>
      </c>
      <c r="AD1510">
        <v>-6.4821999999999894E-2</v>
      </c>
      <c r="AE1510">
        <v>-0.10120000000000499</v>
      </c>
      <c r="AF1510">
        <v>7.9116766304758196E-2</v>
      </c>
      <c r="AG1510">
        <v>-6.4821999999999894E-2</v>
      </c>
      <c r="AH1510">
        <v>0.56775444626272098</v>
      </c>
      <c r="AI1510">
        <v>96.451598249970999</v>
      </c>
      <c r="AJ1510">
        <v>82.066900964920805</v>
      </c>
      <c r="AK1510">
        <v>0.576893807945284</v>
      </c>
      <c r="AL1510">
        <v>81.843206493547598</v>
      </c>
      <c r="AM1510">
        <v>94.112228308902104</v>
      </c>
      <c r="AN1510">
        <v>0.99999994819023297</v>
      </c>
    </row>
    <row r="1511" spans="1:40" x14ac:dyDescent="0.3">
      <c r="A1511" t="str">
        <f>"20200111150817734"</f>
        <v>20200111150817734</v>
      </c>
      <c r="B1511" t="str">
        <f>"1578726497724048"</f>
        <v>1578726497724048</v>
      </c>
      <c r="C1511" t="s">
        <v>40</v>
      </c>
      <c r="D1511">
        <v>5.458742</v>
      </c>
      <c r="E1511">
        <v>0.56233449999999996</v>
      </c>
      <c r="F1511" t="s">
        <v>41</v>
      </c>
      <c r="G1511">
        <v>-361.34519999999998</v>
      </c>
      <c r="H1511">
        <v>1.0475989999999999</v>
      </c>
      <c r="I1511">
        <v>213.88200000000001</v>
      </c>
      <c r="J1511">
        <v>-361.88229999999999</v>
      </c>
      <c r="K1511">
        <v>1.110646</v>
      </c>
      <c r="L1511">
        <v>213.97880000000001</v>
      </c>
      <c r="M1511">
        <v>0.99929239999999997</v>
      </c>
      <c r="N1511">
        <v>0</v>
      </c>
      <c r="O1511">
        <v>-3.602375E-2</v>
      </c>
      <c r="P1511">
        <v>0.99060409999999999</v>
      </c>
      <c r="Q1511">
        <v>0.13209580000000001</v>
      </c>
      <c r="R1511">
        <v>3.5415660000000002E-2</v>
      </c>
      <c r="S1511">
        <v>3.0726010000000001</v>
      </c>
      <c r="T1511">
        <v>-0.23338320000000001</v>
      </c>
      <c r="U1511">
        <v>-0.39410400000000001</v>
      </c>
      <c r="V1511">
        <v>-7.1277809999999997E-2</v>
      </c>
      <c r="W1511">
        <v>0.1426896</v>
      </c>
      <c r="X1511">
        <v>0.98719760000000001</v>
      </c>
      <c r="Y1511">
        <v>9.1249659999999996E-2</v>
      </c>
      <c r="Z1511">
        <v>-7.2709890000000001E-4</v>
      </c>
      <c r="AA1511">
        <v>0.99582780000000004</v>
      </c>
      <c r="AB1511">
        <v>29</v>
      </c>
      <c r="AC1511">
        <v>0.53710000000000901</v>
      </c>
      <c r="AD1511">
        <v>-6.3047000000000006E-2</v>
      </c>
      <c r="AE1511">
        <v>-9.6800000000001704E-2</v>
      </c>
      <c r="AF1511">
        <v>7.6368496292830601E-2</v>
      </c>
      <c r="AG1511">
        <v>-6.3047000000000006E-2</v>
      </c>
      <c r="AH1511">
        <v>0.53312382387540003</v>
      </c>
      <c r="AI1511">
        <v>96.676918373025401</v>
      </c>
      <c r="AJ1511">
        <v>81.847997053677105</v>
      </c>
      <c r="AK1511">
        <v>0.54224356429427201</v>
      </c>
      <c r="AL1511">
        <v>81.796487949565503</v>
      </c>
      <c r="AM1511">
        <v>94.129713346861493</v>
      </c>
      <c r="AN1511">
        <v>0.99999997479615699</v>
      </c>
    </row>
    <row r="1512" spans="1:40" x14ac:dyDescent="0.3">
      <c r="A1512" t="str">
        <f>"20200111150817756"</f>
        <v>20200111150817756</v>
      </c>
      <c r="B1512" t="str">
        <f>"1578726497743566"</f>
        <v>1578726497743566</v>
      </c>
      <c r="C1512" t="s">
        <v>40</v>
      </c>
      <c r="D1512">
        <v>5.4609930000000002</v>
      </c>
      <c r="E1512">
        <v>0.56309149999999997</v>
      </c>
      <c r="F1512" t="s">
        <v>41</v>
      </c>
      <c r="G1512">
        <v>-361.08510000000001</v>
      </c>
      <c r="H1512">
        <v>1.050319</v>
      </c>
      <c r="I1512">
        <v>213.87610000000001</v>
      </c>
      <c r="J1512">
        <v>-361.60550000000001</v>
      </c>
      <c r="K1512">
        <v>1.1106480000000001</v>
      </c>
      <c r="L1512">
        <v>213.96960000000001</v>
      </c>
      <c r="M1512">
        <v>0.99931820000000005</v>
      </c>
      <c r="N1512">
        <v>0</v>
      </c>
      <c r="O1512">
        <v>-3.52991E-2</v>
      </c>
      <c r="P1512">
        <v>0.99055059999999995</v>
      </c>
      <c r="Q1512">
        <v>0.13217110000000001</v>
      </c>
      <c r="R1512">
        <v>3.6612579999999999E-2</v>
      </c>
      <c r="S1512">
        <v>3.073639</v>
      </c>
      <c r="T1512">
        <v>-0.2326232</v>
      </c>
      <c r="U1512">
        <v>-0.39553830000000001</v>
      </c>
      <c r="V1512">
        <v>-7.1755280000000005E-2</v>
      </c>
      <c r="W1512">
        <v>0.14276610000000001</v>
      </c>
      <c r="X1512">
        <v>0.98715200000000003</v>
      </c>
      <c r="Y1512">
        <v>9.2382359999999997E-2</v>
      </c>
      <c r="Z1512">
        <v>-8.2156340000000001E-4</v>
      </c>
      <c r="AA1512">
        <v>0.99572320000000003</v>
      </c>
      <c r="AB1512">
        <v>29</v>
      </c>
      <c r="AC1512">
        <v>0.52039999999999498</v>
      </c>
      <c r="AD1512">
        <v>-6.0328999999999799E-2</v>
      </c>
      <c r="AE1512">
        <v>-9.3500000000005898E-2</v>
      </c>
      <c r="AF1512">
        <v>7.4106202682642702E-2</v>
      </c>
      <c r="AG1512">
        <v>-6.0328999999999799E-2</v>
      </c>
      <c r="AH1512">
        <v>0.51665000558642704</v>
      </c>
      <c r="AI1512">
        <v>96.5933648175766</v>
      </c>
      <c r="AJ1512">
        <v>81.837398350336301</v>
      </c>
      <c r="AK1512">
        <v>0.525412738510874</v>
      </c>
      <c r="AL1512">
        <v>81.792059901037803</v>
      </c>
      <c r="AM1512">
        <v>94.157471829688106</v>
      </c>
      <c r="AN1512">
        <v>1.0000000253105401</v>
      </c>
    </row>
    <row r="1513" spans="1:40" x14ac:dyDescent="0.3">
      <c r="A1513" t="str">
        <f>"20200111150817777"</f>
        <v>20200111150817777</v>
      </c>
      <c r="B1513" t="str">
        <f>"1578726497773822"</f>
        <v>1578726497773822</v>
      </c>
      <c r="C1513" t="s">
        <v>40</v>
      </c>
      <c r="D1513">
        <v>8.3495650000000001</v>
      </c>
      <c r="E1513">
        <v>0.56391740000000001</v>
      </c>
      <c r="F1513" t="s">
        <v>41</v>
      </c>
      <c r="G1513">
        <v>-360.8261</v>
      </c>
      <c r="H1513">
        <v>1.051741</v>
      </c>
      <c r="I1513">
        <v>213.8683</v>
      </c>
      <c r="J1513">
        <v>-361.32440000000003</v>
      </c>
      <c r="K1513">
        <v>1.1106469999999999</v>
      </c>
      <c r="L1513">
        <v>213.9605</v>
      </c>
      <c r="M1513">
        <v>0.99934389999999995</v>
      </c>
      <c r="N1513">
        <v>0</v>
      </c>
      <c r="O1513">
        <v>-3.4563000000000003E-2</v>
      </c>
      <c r="P1513">
        <v>0.99053769999999997</v>
      </c>
      <c r="Q1513">
        <v>0.13206780000000001</v>
      </c>
      <c r="R1513">
        <v>3.7326739999999997E-2</v>
      </c>
      <c r="S1513">
        <v>3.074341</v>
      </c>
      <c r="T1513">
        <v>-0.2326076</v>
      </c>
      <c r="U1513">
        <v>-0.39813229999999999</v>
      </c>
      <c r="V1513">
        <v>-7.1740780000000004E-2</v>
      </c>
      <c r="W1513">
        <v>0.14266499999999999</v>
      </c>
      <c r="X1513">
        <v>0.98716769999999998</v>
      </c>
      <c r="Y1513">
        <v>9.3907039999999997E-2</v>
      </c>
      <c r="Z1513">
        <v>-9.3394699999999997E-4</v>
      </c>
      <c r="AA1513">
        <v>0.99558060000000004</v>
      </c>
      <c r="AB1513">
        <v>29</v>
      </c>
      <c r="AC1513">
        <v>0.498300000000028</v>
      </c>
      <c r="AD1513">
        <v>-5.8905999999999903E-2</v>
      </c>
      <c r="AE1513">
        <v>-9.2199999999991095E-2</v>
      </c>
      <c r="AF1513">
        <v>7.3922319987866303E-2</v>
      </c>
      <c r="AG1513">
        <v>-5.8905999999999903E-2</v>
      </c>
      <c r="AH1513">
        <v>0.49450738208872702</v>
      </c>
      <c r="AI1513">
        <v>96.719130612311005</v>
      </c>
      <c r="AJ1513">
        <v>81.497994406316295</v>
      </c>
      <c r="AK1513">
        <v>0.50346000553036496</v>
      </c>
      <c r="AL1513">
        <v>81.797912655793894</v>
      </c>
      <c r="AM1513">
        <v>94.1565687747391</v>
      </c>
      <c r="AN1513">
        <v>1.0000000548316399</v>
      </c>
    </row>
    <row r="1514" spans="1:40" x14ac:dyDescent="0.3">
      <c r="A1514" t="str">
        <f>"20200111150817802"</f>
        <v>20200111150817802</v>
      </c>
      <c r="B1514" t="str">
        <f>"1578726497794319"</f>
        <v>1578726497794319</v>
      </c>
      <c r="C1514" t="s">
        <v>40</v>
      </c>
      <c r="D1514">
        <v>5.4567079999999999</v>
      </c>
      <c r="E1514">
        <v>0.56463960000000002</v>
      </c>
      <c r="F1514" t="s">
        <v>41</v>
      </c>
      <c r="G1514">
        <v>-360.5668</v>
      </c>
      <c r="H1514">
        <v>1.0531539999999999</v>
      </c>
      <c r="I1514">
        <v>213.86099999999999</v>
      </c>
      <c r="J1514">
        <v>-361.01749999999998</v>
      </c>
      <c r="K1514">
        <v>1.110652</v>
      </c>
      <c r="L1514">
        <v>213.95070000000001</v>
      </c>
      <c r="M1514">
        <v>0.99937149999999997</v>
      </c>
      <c r="N1514">
        <v>0</v>
      </c>
      <c r="O1514">
        <v>-3.3759440000000002E-2</v>
      </c>
      <c r="P1514">
        <v>0.99051579999999995</v>
      </c>
      <c r="Q1514">
        <v>0.13197919999999999</v>
      </c>
      <c r="R1514">
        <v>3.8211009999999997E-2</v>
      </c>
      <c r="S1514">
        <v>3.074951</v>
      </c>
      <c r="T1514">
        <v>-0.23348469999999999</v>
      </c>
      <c r="U1514">
        <v>-0.40295409999999998</v>
      </c>
      <c r="V1514">
        <v>-7.1828779999999995E-2</v>
      </c>
      <c r="W1514">
        <v>0.1425787</v>
      </c>
      <c r="X1514">
        <v>0.98717370000000004</v>
      </c>
      <c r="Y1514">
        <v>9.6207340000000002E-2</v>
      </c>
      <c r="Z1514">
        <v>-1.084614E-3</v>
      </c>
      <c r="AA1514">
        <v>0.99536069999999999</v>
      </c>
      <c r="AB1514">
        <v>29</v>
      </c>
      <c r="AC1514">
        <v>0.450699999999983</v>
      </c>
      <c r="AD1514">
        <v>-5.7497999999999799E-2</v>
      </c>
      <c r="AE1514">
        <v>-8.9700000000021804E-2</v>
      </c>
      <c r="AF1514">
        <v>7.3285295964321401E-2</v>
      </c>
      <c r="AG1514">
        <v>-5.7497999999999799E-2</v>
      </c>
      <c r="AH1514">
        <v>0.446481686304742</v>
      </c>
      <c r="AI1514">
        <v>97.242310910343804</v>
      </c>
      <c r="AJ1514">
        <v>80.678615944435094</v>
      </c>
      <c r="AK1514">
        <v>0.45609500196132902</v>
      </c>
      <c r="AL1514">
        <v>81.802907788297006</v>
      </c>
      <c r="AM1514">
        <v>94.161624273516296</v>
      </c>
      <c r="AN1514">
        <v>0.99999998665083401</v>
      </c>
    </row>
    <row r="1515" spans="1:40" x14ac:dyDescent="0.3">
      <c r="A1515" t="str">
        <f>"20200111150817823"</f>
        <v>20200111150817823</v>
      </c>
      <c r="B1515" t="str">
        <f>"1578726497813838"</f>
        <v>1578726497813838</v>
      </c>
      <c r="C1515" t="s">
        <v>40</v>
      </c>
      <c r="D1515">
        <v>5.4372610000000003</v>
      </c>
      <c r="E1515">
        <v>0.56508789999999998</v>
      </c>
      <c r="F1515" t="s">
        <v>41</v>
      </c>
      <c r="G1515">
        <v>-360.06110000000001</v>
      </c>
      <c r="H1515">
        <v>1.038454</v>
      </c>
      <c r="I1515">
        <v>213.8244</v>
      </c>
      <c r="J1515">
        <v>-360.72829999999999</v>
      </c>
      <c r="K1515">
        <v>1.110649</v>
      </c>
      <c r="L1515">
        <v>213.9418</v>
      </c>
      <c r="M1515">
        <v>0.99939650000000002</v>
      </c>
      <c r="N1515">
        <v>0</v>
      </c>
      <c r="O1515">
        <v>-3.30026E-2</v>
      </c>
      <c r="P1515">
        <v>0.99044569999999998</v>
      </c>
      <c r="Q1515">
        <v>0.13219620000000001</v>
      </c>
      <c r="R1515">
        <v>3.9260990000000003E-2</v>
      </c>
      <c r="S1515">
        <v>3.0753170000000001</v>
      </c>
      <c r="T1515">
        <v>-0.2321839</v>
      </c>
      <c r="U1515">
        <v>-0.40580749999999999</v>
      </c>
      <c r="V1515">
        <v>-7.2127750000000004E-2</v>
      </c>
      <c r="W1515">
        <v>0.1427967</v>
      </c>
      <c r="X1515">
        <v>0.98712040000000001</v>
      </c>
      <c r="Y1515">
        <v>9.7848850000000001E-2</v>
      </c>
      <c r="Z1515">
        <v>-1.196749E-3</v>
      </c>
      <c r="AA1515">
        <v>0.99520059999999999</v>
      </c>
      <c r="AB1515">
        <v>29</v>
      </c>
      <c r="AC1515">
        <v>0.66719999999997903</v>
      </c>
      <c r="AD1515">
        <v>-7.2194999999999995E-2</v>
      </c>
      <c r="AE1515">
        <v>-0.117400000000003</v>
      </c>
      <c r="AF1515">
        <v>9.4245081018921595E-2</v>
      </c>
      <c r="AG1515">
        <v>-7.2194999999999995E-2</v>
      </c>
      <c r="AH1515">
        <v>0.663179581822675</v>
      </c>
      <c r="AI1515">
        <v>96.151537427881706</v>
      </c>
      <c r="AJ1515">
        <v>81.911800590272605</v>
      </c>
      <c r="AK1515">
        <v>0.67372205772689497</v>
      </c>
      <c r="AL1515">
        <v>81.790288266660099</v>
      </c>
      <c r="AM1515">
        <v>94.179109636099994</v>
      </c>
      <c r="AN1515">
        <v>0.99999999697355602</v>
      </c>
    </row>
    <row r="1516" spans="1:40" x14ac:dyDescent="0.3">
      <c r="A1516" t="str">
        <f>"20200111150817847"</f>
        <v>20200111150817847</v>
      </c>
      <c r="B1516" t="str">
        <f>"1578726497844095"</f>
        <v>1578726497844095</v>
      </c>
      <c r="C1516" t="s">
        <v>40</v>
      </c>
      <c r="D1516">
        <v>5.4767039999999998</v>
      </c>
      <c r="E1516">
        <v>0.5656641</v>
      </c>
      <c r="F1516" t="s">
        <v>41</v>
      </c>
      <c r="G1516">
        <v>-359.80119999999999</v>
      </c>
      <c r="H1516">
        <v>1.0410349999999999</v>
      </c>
      <c r="I1516">
        <v>213.8192</v>
      </c>
      <c r="J1516">
        <v>-360.43950000000001</v>
      </c>
      <c r="K1516">
        <v>1.1106469999999999</v>
      </c>
      <c r="L1516">
        <v>213.9331</v>
      </c>
      <c r="M1516">
        <v>0.99942129999999996</v>
      </c>
      <c r="N1516">
        <v>0</v>
      </c>
      <c r="O1516">
        <v>-3.224672E-2</v>
      </c>
      <c r="P1516">
        <v>0.99039949999999999</v>
      </c>
      <c r="Q1516">
        <v>0.1322431</v>
      </c>
      <c r="R1516">
        <v>4.0262279999999998E-2</v>
      </c>
      <c r="S1516">
        <v>3.0758670000000001</v>
      </c>
      <c r="T1516">
        <v>-0.2311443</v>
      </c>
      <c r="U1516">
        <v>-0.40565489999999998</v>
      </c>
      <c r="V1516">
        <v>-7.238E-2</v>
      </c>
      <c r="W1516">
        <v>0.1428449</v>
      </c>
      <c r="X1516">
        <v>0.98709499999999994</v>
      </c>
      <c r="Y1516">
        <v>9.8527660000000003E-2</v>
      </c>
      <c r="Z1516">
        <v>-1.2729589999999999E-3</v>
      </c>
      <c r="AA1516">
        <v>0.9951335</v>
      </c>
      <c r="AB1516">
        <v>29</v>
      </c>
      <c r="AC1516">
        <v>0.63830000000001497</v>
      </c>
      <c r="AD1516">
        <v>-6.9611999999999993E-2</v>
      </c>
      <c r="AE1516">
        <v>-0.1139</v>
      </c>
      <c r="AF1516">
        <v>9.2193779274618706E-2</v>
      </c>
      <c r="AG1516">
        <v>-6.9611999999999993E-2</v>
      </c>
      <c r="AH1516">
        <v>0.63432939130765797</v>
      </c>
      <c r="AI1516">
        <v>96.198034723742694</v>
      </c>
      <c r="AJ1516">
        <v>81.730503707368996</v>
      </c>
      <c r="AK1516">
        <v>0.64476297982877395</v>
      </c>
      <c r="AL1516">
        <v>81.787498315719901</v>
      </c>
      <c r="AM1516">
        <v>94.193780572102796</v>
      </c>
      <c r="AN1516">
        <v>1.0000000344405</v>
      </c>
    </row>
    <row r="1517" spans="1:40" x14ac:dyDescent="0.3">
      <c r="A1517" t="str">
        <f>"20200111150817869"</f>
        <v>20200111150817869</v>
      </c>
      <c r="B1517" t="str">
        <f>"1578726497863614"</f>
        <v>1578726497863614</v>
      </c>
      <c r="C1517" t="s">
        <v>40</v>
      </c>
      <c r="D1517">
        <v>5.4449649999999998</v>
      </c>
      <c r="E1517">
        <v>0.56552709999999995</v>
      </c>
      <c r="F1517" t="s">
        <v>41</v>
      </c>
      <c r="G1517">
        <v>-359.54169999999999</v>
      </c>
      <c r="H1517">
        <v>1.042589</v>
      </c>
      <c r="I1517">
        <v>213.8143</v>
      </c>
      <c r="J1517">
        <v>-360.14980000000003</v>
      </c>
      <c r="K1517">
        <v>1.1106480000000001</v>
      </c>
      <c r="L1517">
        <v>213.92449999999999</v>
      </c>
      <c r="M1517">
        <v>0.99944560000000005</v>
      </c>
      <c r="N1517">
        <v>0</v>
      </c>
      <c r="O1517">
        <v>-3.1488559999999999E-2</v>
      </c>
      <c r="P1517">
        <v>0.99043669999999995</v>
      </c>
      <c r="Q1517">
        <v>0.13174279999999999</v>
      </c>
      <c r="R1517">
        <v>4.0979399999999999E-2</v>
      </c>
      <c r="S1517">
        <v>3.0767820000000001</v>
      </c>
      <c r="T1517">
        <v>-0.23323820000000001</v>
      </c>
      <c r="U1517">
        <v>-0.40692139999999999</v>
      </c>
      <c r="V1517">
        <v>-7.2347599999999998E-2</v>
      </c>
      <c r="W1517">
        <v>0.1423469</v>
      </c>
      <c r="X1517">
        <v>0.98716930000000003</v>
      </c>
      <c r="Y1517">
        <v>9.963822E-2</v>
      </c>
      <c r="Z1517">
        <v>-1.382966E-3</v>
      </c>
      <c r="AA1517">
        <v>0.99502279999999999</v>
      </c>
      <c r="AB1517">
        <v>29</v>
      </c>
      <c r="AC1517">
        <v>0.60810000000003495</v>
      </c>
      <c r="AD1517">
        <v>-6.80589999999998E-2</v>
      </c>
      <c r="AE1517">
        <v>-0.110199999999991</v>
      </c>
      <c r="AF1517">
        <v>8.9905661279538002E-2</v>
      </c>
      <c r="AG1517">
        <v>-6.80589999999998E-2</v>
      </c>
      <c r="AH1517">
        <v>0.60394404849181005</v>
      </c>
      <c r="AI1517">
        <v>96.360086090017504</v>
      </c>
      <c r="AJ1517">
        <v>81.532888246824001</v>
      </c>
      <c r="AK1517">
        <v>0.61438055724427698</v>
      </c>
      <c r="AL1517">
        <v>81.816326095081493</v>
      </c>
      <c r="AM1517">
        <v>94.191595589723505</v>
      </c>
      <c r="AN1517">
        <v>1.0000000210139299</v>
      </c>
    </row>
    <row r="1518" spans="1:40" x14ac:dyDescent="0.3">
      <c r="A1518" t="str">
        <f>"20200111150817890"</f>
        <v>20200111150817890</v>
      </c>
      <c r="B1518" t="str">
        <f>"1578726497884112"</f>
        <v>1578726497884112</v>
      </c>
      <c r="C1518" t="s">
        <v>40</v>
      </c>
      <c r="D1518">
        <v>5.4870890000000001</v>
      </c>
      <c r="E1518">
        <v>0.56551049999999903</v>
      </c>
      <c r="F1518" t="s">
        <v>41</v>
      </c>
      <c r="G1518">
        <v>-359.28190000000001</v>
      </c>
      <c r="H1518">
        <v>1.044211</v>
      </c>
      <c r="I1518">
        <v>213.81049999999999</v>
      </c>
      <c r="J1518">
        <v>-359.87049999999999</v>
      </c>
      <c r="K1518">
        <v>1.110643</v>
      </c>
      <c r="L1518">
        <v>213.91650000000001</v>
      </c>
      <c r="M1518">
        <v>0.99946820000000003</v>
      </c>
      <c r="N1518">
        <v>0</v>
      </c>
      <c r="O1518">
        <v>-3.0757349999999999E-2</v>
      </c>
      <c r="P1518">
        <v>0.99034390000000005</v>
      </c>
      <c r="Q1518">
        <v>0.1323136</v>
      </c>
      <c r="R1518">
        <v>4.1378770000000002E-2</v>
      </c>
      <c r="S1518">
        <v>3.076965</v>
      </c>
      <c r="T1518">
        <v>-0.23566000000000001</v>
      </c>
      <c r="U1518">
        <v>-0.4033813</v>
      </c>
      <c r="V1518">
        <v>-7.2021509999999997E-2</v>
      </c>
      <c r="W1518">
        <v>0.14291899999999999</v>
      </c>
      <c r="X1518">
        <v>0.9871105</v>
      </c>
      <c r="Y1518">
        <v>9.9228259999999999E-2</v>
      </c>
      <c r="Z1518">
        <v>-1.4372949999999999E-3</v>
      </c>
      <c r="AA1518">
        <v>0.9950637</v>
      </c>
      <c r="AB1518">
        <v>29</v>
      </c>
      <c r="AC1518">
        <v>0.58859999999998502</v>
      </c>
      <c r="AD1518">
        <v>-6.6432000000000005E-2</v>
      </c>
      <c r="AE1518">
        <v>-0.10600000000002199</v>
      </c>
      <c r="AF1518">
        <v>8.6774363556676407E-2</v>
      </c>
      <c r="AG1518">
        <v>-6.6432000000000005E-2</v>
      </c>
      <c r="AH1518">
        <v>0.58437184709996104</v>
      </c>
      <c r="AI1518">
        <v>96.415848699967995</v>
      </c>
      <c r="AJ1518">
        <v>81.553771135430594</v>
      </c>
      <c r="AK1518">
        <v>0.59450269677915402</v>
      </c>
      <c r="AL1518">
        <v>81.783208722253306</v>
      </c>
      <c r="AM1518">
        <v>94.173017514785201</v>
      </c>
      <c r="AN1518">
        <v>1.0000000388369601</v>
      </c>
    </row>
    <row r="1519" spans="1:40" x14ac:dyDescent="0.3">
      <c r="A1519" t="str">
        <f>"20200111150817913"</f>
        <v>20200111150817913</v>
      </c>
      <c r="B1519" t="str">
        <f>"1578726497903630"</f>
        <v>1578726497903630</v>
      </c>
      <c r="C1519" t="s">
        <v>40</v>
      </c>
      <c r="D1519">
        <v>5.4585140000000001</v>
      </c>
      <c r="E1519">
        <v>0.56556289999999998</v>
      </c>
      <c r="F1519" t="s">
        <v>41</v>
      </c>
      <c r="G1519">
        <v>-359.02190000000002</v>
      </c>
      <c r="H1519">
        <v>1.0458780000000001</v>
      </c>
      <c r="I1519">
        <v>213.80549999999999</v>
      </c>
      <c r="J1519">
        <v>-359.56619999999998</v>
      </c>
      <c r="K1519">
        <v>1.110646</v>
      </c>
      <c r="L1519">
        <v>213.90799999999999</v>
      </c>
      <c r="M1519">
        <v>0.99949239999999995</v>
      </c>
      <c r="N1519">
        <v>0</v>
      </c>
      <c r="O1519">
        <v>-2.99613E-2</v>
      </c>
      <c r="P1519">
        <v>0.99036109999999999</v>
      </c>
      <c r="Q1519">
        <v>0.13217200000000001</v>
      </c>
      <c r="R1519">
        <v>4.1424919999999997E-2</v>
      </c>
      <c r="S1519">
        <v>3.0774840000000001</v>
      </c>
      <c r="T1519">
        <v>-0.23496649999999999</v>
      </c>
      <c r="U1519">
        <v>-0.4022675</v>
      </c>
      <c r="V1519">
        <v>-7.1281109999999995E-2</v>
      </c>
      <c r="W1519">
        <v>0.1427812</v>
      </c>
      <c r="X1519">
        <v>0.98718419999999896</v>
      </c>
      <c r="Y1519">
        <v>9.9642809999999998E-2</v>
      </c>
      <c r="Z1519">
        <v>-1.5089630000000001E-3</v>
      </c>
      <c r="AA1519">
        <v>0.99502210000000002</v>
      </c>
      <c r="AB1519">
        <v>29</v>
      </c>
      <c r="AC1519">
        <v>0.54429999999996403</v>
      </c>
      <c r="AD1519">
        <v>-6.4767999999999895E-2</v>
      </c>
      <c r="AE1519">
        <v>-0.102499999999992</v>
      </c>
      <c r="AF1519">
        <v>8.4982990702232503E-2</v>
      </c>
      <c r="AG1519">
        <v>-6.4767999999999895E-2</v>
      </c>
      <c r="AH1519">
        <v>0.53974609529359097</v>
      </c>
      <c r="AI1519">
        <v>96.760117713266894</v>
      </c>
      <c r="AJ1519">
        <v>81.052240124638004</v>
      </c>
      <c r="AK1519">
        <v>0.55022072836033198</v>
      </c>
      <c r="AL1519">
        <v>81.791186035241694</v>
      </c>
      <c r="AM1519">
        <v>94.1299597467994</v>
      </c>
      <c r="AN1519">
        <v>1.0000000562229501</v>
      </c>
    </row>
    <row r="1520" spans="1:40" x14ac:dyDescent="0.3">
      <c r="A1520" t="str">
        <f>"20200111150817935"</f>
        <v>20200111150817935</v>
      </c>
      <c r="B1520" t="str">
        <f>"1578726497924130"</f>
        <v>1578726497924130</v>
      </c>
      <c r="C1520" t="s">
        <v>40</v>
      </c>
      <c r="D1520">
        <v>5.4490429999999996</v>
      </c>
      <c r="E1520">
        <v>0.56588319999999903</v>
      </c>
      <c r="F1520" t="s">
        <v>41</v>
      </c>
      <c r="G1520">
        <v>-358.7602</v>
      </c>
      <c r="H1520">
        <v>1.0485910000000001</v>
      </c>
      <c r="I1520">
        <v>213.80199999999999</v>
      </c>
      <c r="J1520">
        <v>-359.28910000000002</v>
      </c>
      <c r="K1520">
        <v>1.110641</v>
      </c>
      <c r="L1520">
        <v>213.90049999999999</v>
      </c>
      <c r="M1520">
        <v>0.99951389999999996</v>
      </c>
      <c r="N1520">
        <v>0</v>
      </c>
      <c r="O1520">
        <v>-2.923593E-2</v>
      </c>
      <c r="P1520">
        <v>0.99042810000000003</v>
      </c>
      <c r="Q1520">
        <v>0.131693899999999</v>
      </c>
      <c r="R1520">
        <v>4.1340889999999998E-2</v>
      </c>
      <c r="S1520">
        <v>3.0777589999999999</v>
      </c>
      <c r="T1520">
        <v>-0.23726269999999999</v>
      </c>
      <c r="U1520">
        <v>-0.4029083</v>
      </c>
      <c r="V1520">
        <v>-7.048053E-2</v>
      </c>
      <c r="W1520">
        <v>0.1423073</v>
      </c>
      <c r="X1520">
        <v>0.98731009999999997</v>
      </c>
      <c r="Y1520">
        <v>0.1005485</v>
      </c>
      <c r="Z1520">
        <v>-1.613756E-3</v>
      </c>
      <c r="AA1520">
        <v>0.99493089999999995</v>
      </c>
      <c r="AB1520">
        <v>29</v>
      </c>
      <c r="AC1520">
        <v>0.52890000000002102</v>
      </c>
      <c r="AD1520">
        <v>-6.2049999999999897E-2</v>
      </c>
      <c r="AE1520">
        <v>-9.8499999999972901E-2</v>
      </c>
      <c r="AF1520">
        <v>8.1904575873847404E-2</v>
      </c>
      <c r="AG1520">
        <v>-6.2049999999999897E-2</v>
      </c>
      <c r="AH1520">
        <v>0.52457570018351296</v>
      </c>
      <c r="AI1520">
        <v>96.665924995363795</v>
      </c>
      <c r="AJ1520">
        <v>81.125778391801404</v>
      </c>
      <c r="AK1520">
        <v>0.53454487863237199</v>
      </c>
      <c r="AL1520">
        <v>81.818618608466295</v>
      </c>
      <c r="AM1520">
        <v>94.083213732922502</v>
      </c>
      <c r="AN1520">
        <v>1.00000005315218</v>
      </c>
    </row>
    <row r="1521" spans="1:40" x14ac:dyDescent="0.3">
      <c r="A1521" t="str">
        <f>"20200111150817956"</f>
        <v>20200111150817956</v>
      </c>
      <c r="B1521" t="str">
        <f>"1578726497954382"</f>
        <v>1578726497954382</v>
      </c>
      <c r="C1521" t="s">
        <v>40</v>
      </c>
      <c r="D1521">
        <v>5.428877</v>
      </c>
      <c r="E1521">
        <v>0.56633069999999996</v>
      </c>
      <c r="F1521" t="s">
        <v>41</v>
      </c>
      <c r="G1521">
        <v>-358.50029999999998</v>
      </c>
      <c r="H1521">
        <v>1.04904</v>
      </c>
      <c r="I1521">
        <v>213.7963</v>
      </c>
      <c r="J1521">
        <v>-359.00830000000002</v>
      </c>
      <c r="K1521">
        <v>1.110644</v>
      </c>
      <c r="L1521">
        <v>213.893</v>
      </c>
      <c r="M1521">
        <v>0.99953499999999995</v>
      </c>
      <c r="N1521">
        <v>0</v>
      </c>
      <c r="O1521">
        <v>-2.8501499999999999E-2</v>
      </c>
      <c r="P1521">
        <v>0.99049529999999997</v>
      </c>
      <c r="Q1521">
        <v>0.13110959999999999</v>
      </c>
      <c r="R1521">
        <v>4.1588470000000002E-2</v>
      </c>
      <c r="S1521">
        <v>3.0779109999999998</v>
      </c>
      <c r="T1521">
        <v>-0.2404926</v>
      </c>
      <c r="U1521">
        <v>-0.40615839999999998</v>
      </c>
      <c r="V1521">
        <v>-7.0003380000000004E-2</v>
      </c>
      <c r="W1521">
        <v>0.1417262</v>
      </c>
      <c r="X1521">
        <v>0.98742759999999996</v>
      </c>
      <c r="Y1521">
        <v>0.1022928</v>
      </c>
      <c r="Z1521">
        <v>-1.7602049999999999E-3</v>
      </c>
      <c r="AA1521">
        <v>0.99475279999999999</v>
      </c>
      <c r="AB1521">
        <v>29</v>
      </c>
      <c r="AC1521">
        <v>0.50800000000003798</v>
      </c>
      <c r="AD1521">
        <v>-6.1603999999999902E-2</v>
      </c>
      <c r="AE1521">
        <v>-9.6699999999998398E-2</v>
      </c>
      <c r="AF1521">
        <v>8.1031134879951297E-2</v>
      </c>
      <c r="AG1521">
        <v>-6.1603999999999902E-2</v>
      </c>
      <c r="AH1521">
        <v>0.50340571062135797</v>
      </c>
      <c r="AI1521">
        <v>96.8890422354999</v>
      </c>
      <c r="AJ1521">
        <v>80.855772663823402</v>
      </c>
      <c r="AK1521">
        <v>0.51359362060108105</v>
      </c>
      <c r="AL1521">
        <v>81.852253891845095</v>
      </c>
      <c r="AM1521">
        <v>94.055182119913198</v>
      </c>
      <c r="AN1521">
        <v>1.00000002710981</v>
      </c>
    </row>
    <row r="1522" spans="1:40" x14ac:dyDescent="0.3">
      <c r="A1522" t="str">
        <f>"20200111150817980"</f>
        <v>20200111150817980</v>
      </c>
      <c r="B1522" t="str">
        <f>"1578726497973902"</f>
        <v>1578726497973902</v>
      </c>
      <c r="C1522" t="s">
        <v>40</v>
      </c>
      <c r="D1522">
        <v>5.4284559999999997</v>
      </c>
      <c r="E1522">
        <v>0.56662699999999999</v>
      </c>
      <c r="F1522" t="s">
        <v>41</v>
      </c>
      <c r="G1522">
        <v>-358.24020000000002</v>
      </c>
      <c r="H1522">
        <v>1.049615</v>
      </c>
      <c r="I1522">
        <v>213.79060000000001</v>
      </c>
      <c r="J1522">
        <v>-358.69940000000003</v>
      </c>
      <c r="K1522">
        <v>1.1106400000000001</v>
      </c>
      <c r="L1522">
        <v>213.88509999999999</v>
      </c>
      <c r="M1522">
        <v>0.99955769999999999</v>
      </c>
      <c r="N1522">
        <v>0</v>
      </c>
      <c r="O1522">
        <v>-2.7693760000000001E-2</v>
      </c>
      <c r="P1522">
        <v>0.99043179999999997</v>
      </c>
      <c r="Q1522">
        <v>0.131412</v>
      </c>
      <c r="R1522">
        <v>4.2140480000000001E-2</v>
      </c>
      <c r="S1522">
        <v>3.0783999999999998</v>
      </c>
      <c r="T1522">
        <v>-0.24488499999999999</v>
      </c>
      <c r="U1522">
        <v>-0.40916439999999998</v>
      </c>
      <c r="V1522">
        <v>-6.9754540000000004E-2</v>
      </c>
      <c r="W1522">
        <v>0.1420302</v>
      </c>
      <c r="X1522">
        <v>0.98740150000000004</v>
      </c>
      <c r="Y1522">
        <v>0.1040147</v>
      </c>
      <c r="Z1522">
        <v>-1.9237519999999999E-3</v>
      </c>
      <c r="AA1522">
        <v>0.99457390000000001</v>
      </c>
      <c r="AB1522">
        <v>29</v>
      </c>
      <c r="AC1522">
        <v>0.45920000000000899</v>
      </c>
      <c r="AD1522">
        <v>-6.10250000000001E-2</v>
      </c>
      <c r="AE1522">
        <v>-9.4499999999982195E-2</v>
      </c>
      <c r="AF1522">
        <v>8.0384057984032406E-2</v>
      </c>
      <c r="AG1522">
        <v>-6.10250000000001E-2</v>
      </c>
      <c r="AH1522">
        <v>0.45394966407751902</v>
      </c>
      <c r="AI1522">
        <v>97.540511477944193</v>
      </c>
      <c r="AJ1522">
        <v>79.958326575080704</v>
      </c>
      <c r="AK1522">
        <v>0.46503327291611402</v>
      </c>
      <c r="AL1522">
        <v>81.834657736888204</v>
      </c>
      <c r="AM1522">
        <v>94.040921515467602</v>
      </c>
      <c r="AN1522">
        <v>0.99999999788244998</v>
      </c>
    </row>
    <row r="1523" spans="1:40" x14ac:dyDescent="0.3">
      <c r="A1523" t="str">
        <f>"20200111150818003"</f>
        <v>20200111150818003</v>
      </c>
      <c r="B1523" t="str">
        <f>"1578726497994398"</f>
        <v>1578726497994398</v>
      </c>
      <c r="C1523" t="s">
        <v>40</v>
      </c>
      <c r="D1523">
        <v>5.378177</v>
      </c>
      <c r="E1523">
        <v>0.56684659999999998</v>
      </c>
      <c r="F1523" t="s">
        <v>41</v>
      </c>
      <c r="G1523">
        <v>-357.7303</v>
      </c>
      <c r="H1523">
        <v>1.0335399999999999</v>
      </c>
      <c r="I1523">
        <v>213.75579999999999</v>
      </c>
      <c r="J1523">
        <v>-358.40820000000002</v>
      </c>
      <c r="K1523">
        <v>1.110643</v>
      </c>
      <c r="L1523">
        <v>213.87790000000001</v>
      </c>
      <c r="M1523">
        <v>0.99957839999999998</v>
      </c>
      <c r="N1523">
        <v>0</v>
      </c>
      <c r="O1523">
        <v>-2.693251E-2</v>
      </c>
      <c r="P1523">
        <v>0.990394</v>
      </c>
      <c r="Q1523">
        <v>0.13144459999999999</v>
      </c>
      <c r="R1523">
        <v>4.2920409999999999E-2</v>
      </c>
      <c r="S1523">
        <v>3.0789490000000002</v>
      </c>
      <c r="T1523">
        <v>-0.2451613</v>
      </c>
      <c r="U1523">
        <v>-0.41009519999999999</v>
      </c>
      <c r="V1523">
        <v>-6.9780540000000002E-2</v>
      </c>
      <c r="W1523">
        <v>0.1420652</v>
      </c>
      <c r="X1523">
        <v>0.98739460000000001</v>
      </c>
      <c r="Y1523">
        <v>0.1050384</v>
      </c>
      <c r="Z1523">
        <v>-2.0262380000000001E-3</v>
      </c>
      <c r="AA1523">
        <v>0.99446610000000002</v>
      </c>
      <c r="AB1523">
        <v>29</v>
      </c>
      <c r="AC1523">
        <v>0.67790000000002204</v>
      </c>
      <c r="AD1523">
        <v>-7.7103000000000102E-2</v>
      </c>
      <c r="AE1523">
        <v>-0.122100000000017</v>
      </c>
      <c r="AF1523">
        <v>0.10251261315723199</v>
      </c>
      <c r="AG1523">
        <v>-7.7103000000000102E-2</v>
      </c>
      <c r="AH1523">
        <v>0.67251619184910905</v>
      </c>
      <c r="AI1523">
        <v>96.466273150911405</v>
      </c>
      <c r="AJ1523">
        <v>81.333037371313694</v>
      </c>
      <c r="AK1523">
        <v>0.68463985917017101</v>
      </c>
      <c r="AL1523">
        <v>81.832631616158906</v>
      </c>
      <c r="AM1523">
        <v>94.0424508734379</v>
      </c>
      <c r="AN1523">
        <v>0.99999997046144495</v>
      </c>
    </row>
    <row r="1524" spans="1:40" x14ac:dyDescent="0.3">
      <c r="A1524" t="str">
        <f>"20200111150818026"</f>
        <v>20200111150818026</v>
      </c>
      <c r="B1524" t="str">
        <f>"1578726498023678"</f>
        <v>1578726498023678</v>
      </c>
      <c r="C1524" t="s">
        <v>40</v>
      </c>
      <c r="D1524">
        <v>5.3765980000000004</v>
      </c>
      <c r="E1524">
        <v>0.5669476</v>
      </c>
      <c r="F1524" t="s">
        <v>41</v>
      </c>
      <c r="G1524">
        <v>-357.4692</v>
      </c>
      <c r="H1524">
        <v>1.035442</v>
      </c>
      <c r="I1524">
        <v>213.75280000000001</v>
      </c>
      <c r="J1524">
        <v>-358.11040000000003</v>
      </c>
      <c r="K1524">
        <v>1.110646</v>
      </c>
      <c r="L1524">
        <v>213.8707</v>
      </c>
      <c r="M1524">
        <v>0.99959900000000002</v>
      </c>
      <c r="N1524">
        <v>0</v>
      </c>
      <c r="O1524">
        <v>-2.6153139999999998E-2</v>
      </c>
      <c r="P1524">
        <v>0.99039140000000003</v>
      </c>
      <c r="Q1524">
        <v>0.13135069999999999</v>
      </c>
      <c r="R1524">
        <v>4.3261699999999903E-2</v>
      </c>
      <c r="S1524">
        <v>3.0795590000000002</v>
      </c>
      <c r="T1524">
        <v>-0.2467443</v>
      </c>
      <c r="U1524">
        <v>-0.40974430000000001</v>
      </c>
      <c r="V1524">
        <v>-6.9350640000000005E-2</v>
      </c>
      <c r="W1524">
        <v>0.14197460000000001</v>
      </c>
      <c r="X1524">
        <v>0.98743800000000004</v>
      </c>
      <c r="Y1524">
        <v>0.1056691</v>
      </c>
      <c r="Z1524">
        <v>-2.1260179999999999E-3</v>
      </c>
      <c r="AA1524">
        <v>0.99439909999999998</v>
      </c>
      <c r="AB1524">
        <v>29</v>
      </c>
      <c r="AC1524">
        <v>0.64120000000002597</v>
      </c>
      <c r="AD1524">
        <v>-7.5203999999999993E-2</v>
      </c>
      <c r="AE1524">
        <v>-0.117899999999991</v>
      </c>
      <c r="AF1524">
        <v>9.9761834102847197E-2</v>
      </c>
      <c r="AG1524">
        <v>-7.5203999999999993E-2</v>
      </c>
      <c r="AH1524">
        <v>0.63560677212483097</v>
      </c>
      <c r="AI1524">
        <v>96.6669041508096</v>
      </c>
      <c r="AJ1524">
        <v>81.079899002078207</v>
      </c>
      <c r="AK1524">
        <v>0.64776850334862002</v>
      </c>
      <c r="AL1524">
        <v>81.837876432212298</v>
      </c>
      <c r="AM1524">
        <v>94.017452172933304</v>
      </c>
      <c r="AN1524">
        <v>1.0000000510787801</v>
      </c>
    </row>
    <row r="1525" spans="1:40" x14ac:dyDescent="0.3">
      <c r="A1525" t="str">
        <f>"20200111150818046"</f>
        <v>20200111150818046</v>
      </c>
      <c r="B1525" t="str">
        <f>"1578726498044174"</f>
        <v>1578726498044174</v>
      </c>
      <c r="C1525" t="s">
        <v>40</v>
      </c>
      <c r="D1525">
        <v>5.3876150000000003</v>
      </c>
      <c r="E1525">
        <v>0.567121599999999</v>
      </c>
      <c r="F1525" t="s">
        <v>41</v>
      </c>
      <c r="G1525">
        <v>-357.20769999999999</v>
      </c>
      <c r="H1525">
        <v>1.037704</v>
      </c>
      <c r="I1525">
        <v>213.75049999999999</v>
      </c>
      <c r="J1525">
        <v>-357.84629999999999</v>
      </c>
      <c r="K1525">
        <v>1.1106469999999999</v>
      </c>
      <c r="L1525">
        <v>213.86449999999999</v>
      </c>
      <c r="M1525">
        <v>0.99961690000000003</v>
      </c>
      <c r="N1525">
        <v>0</v>
      </c>
      <c r="O1525">
        <v>-2.5462820000000001E-2</v>
      </c>
      <c r="P1525">
        <v>0.99040850000000002</v>
      </c>
      <c r="Q1525">
        <v>0.13129879999999999</v>
      </c>
      <c r="R1525">
        <v>4.3029869999999998E-2</v>
      </c>
      <c r="S1525">
        <v>3.0800169999999998</v>
      </c>
      <c r="T1525">
        <v>-0.24905679999999999</v>
      </c>
      <c r="U1525">
        <v>-0.40914919999999999</v>
      </c>
      <c r="V1525">
        <v>-6.8436709999999998E-2</v>
      </c>
      <c r="W1525">
        <v>0.14192589999999999</v>
      </c>
      <c r="X1525">
        <v>0.98750870000000002</v>
      </c>
      <c r="Y1525">
        <v>0.10613930000000001</v>
      </c>
      <c r="Z1525">
        <v>-2.2199160000000002E-3</v>
      </c>
      <c r="AA1525">
        <v>0.99434880000000003</v>
      </c>
      <c r="AB1525">
        <v>29</v>
      </c>
      <c r="AC1525">
        <v>0.63859999999999595</v>
      </c>
      <c r="AD1525">
        <v>-7.2942999999999703E-2</v>
      </c>
      <c r="AE1525">
        <v>-0.114000000000004</v>
      </c>
      <c r="AF1525">
        <v>9.6481603707054497E-2</v>
      </c>
      <c r="AG1525">
        <v>-7.2942999999999703E-2</v>
      </c>
      <c r="AH1525">
        <v>0.63328853819464304</v>
      </c>
      <c r="AI1525">
        <v>96.496143195619595</v>
      </c>
      <c r="AJ1525">
        <v>81.337589378618702</v>
      </c>
      <c r="AK1525">
        <v>0.64473541372534604</v>
      </c>
      <c r="AL1525">
        <v>81.840694766455897</v>
      </c>
      <c r="AM1525">
        <v>93.964395627478694</v>
      </c>
      <c r="AN1525">
        <v>0.99999998847106197</v>
      </c>
    </row>
    <row r="1526" spans="1:40" x14ac:dyDescent="0.3">
      <c r="A1526" t="str">
        <f>"20200111150818069"</f>
        <v>20200111150818069</v>
      </c>
      <c r="B1526" t="str">
        <f>"1578726498063694"</f>
        <v>1578726498063694</v>
      </c>
      <c r="C1526" t="s">
        <v>40</v>
      </c>
      <c r="D1526">
        <v>5.3427439999999997</v>
      </c>
      <c r="E1526">
        <v>0.56699750000000004</v>
      </c>
      <c r="F1526" t="s">
        <v>41</v>
      </c>
      <c r="G1526">
        <v>-356.94720000000001</v>
      </c>
      <c r="H1526">
        <v>1.0375529999999999</v>
      </c>
      <c r="I1526">
        <v>213.74420000000001</v>
      </c>
      <c r="J1526">
        <v>-357.54309999999998</v>
      </c>
      <c r="K1526">
        <v>1.110644</v>
      </c>
      <c r="L1526">
        <v>213.85769999999999</v>
      </c>
      <c r="M1526">
        <v>0.99963670000000004</v>
      </c>
      <c r="N1526">
        <v>0</v>
      </c>
      <c r="O1526">
        <v>-2.4670339999999999E-2</v>
      </c>
      <c r="P1526">
        <v>0.99042149999999995</v>
      </c>
      <c r="Q1526">
        <v>0.1310926</v>
      </c>
      <c r="R1526">
        <v>4.3357729999999997E-2</v>
      </c>
      <c r="S1526">
        <v>3.0802</v>
      </c>
      <c r="T1526">
        <v>-0.2505365</v>
      </c>
      <c r="U1526">
        <v>-0.41142269999999997</v>
      </c>
      <c r="V1526">
        <v>-6.7981E-2</v>
      </c>
      <c r="W1526">
        <v>0.14172299999999999</v>
      </c>
      <c r="X1526">
        <v>0.98756929999999998</v>
      </c>
      <c r="Y1526">
        <v>0.1076305</v>
      </c>
      <c r="Z1526">
        <v>-2.3571109999999998E-3</v>
      </c>
      <c r="AA1526">
        <v>0.99418819999999997</v>
      </c>
      <c r="AB1526">
        <v>29</v>
      </c>
      <c r="AC1526">
        <v>0.59589999999997101</v>
      </c>
      <c r="AD1526">
        <v>-7.3090999999999795E-2</v>
      </c>
      <c r="AE1526">
        <v>-0.113499999999987</v>
      </c>
      <c r="AF1526">
        <v>9.7350205792535699E-2</v>
      </c>
      <c r="AG1526">
        <v>-7.3090999999999795E-2</v>
      </c>
      <c r="AH1526">
        <v>0.58995394937494094</v>
      </c>
      <c r="AI1526">
        <v>96.969240264850598</v>
      </c>
      <c r="AJ1526">
        <v>80.629877061494298</v>
      </c>
      <c r="AK1526">
        <v>0.60238278464107797</v>
      </c>
      <c r="AL1526">
        <v>81.852438669734298</v>
      </c>
      <c r="AM1526">
        <v>93.937839746271294</v>
      </c>
      <c r="AN1526">
        <v>0.99999997369624405</v>
      </c>
    </row>
    <row r="1527" spans="1:40" x14ac:dyDescent="0.3">
      <c r="A1527" t="str">
        <f>"20200111150818092"</f>
        <v>20200111150818092</v>
      </c>
      <c r="B1527" t="str">
        <f>"1578726498084190"</f>
        <v>1578726498084190</v>
      </c>
      <c r="C1527" t="s">
        <v>40</v>
      </c>
      <c r="D1527">
        <v>5.6231720000000003</v>
      </c>
      <c r="E1527">
        <v>0.56699750000000004</v>
      </c>
      <c r="F1527" t="s">
        <v>41</v>
      </c>
      <c r="G1527">
        <v>-356.68509999999998</v>
      </c>
      <c r="H1527">
        <v>1.0403519999999999</v>
      </c>
      <c r="I1527">
        <v>213.7431</v>
      </c>
      <c r="J1527">
        <v>-357.25369999999998</v>
      </c>
      <c r="K1527">
        <v>1.1106389999999999</v>
      </c>
      <c r="L1527">
        <v>213.85130000000001</v>
      </c>
      <c r="M1527">
        <v>0.99965519999999997</v>
      </c>
      <c r="N1527">
        <v>0</v>
      </c>
      <c r="O1527">
        <v>-2.391362E-2</v>
      </c>
      <c r="P1527">
        <v>0.99030099999999999</v>
      </c>
      <c r="Q1527">
        <v>0.13169929999999999</v>
      </c>
      <c r="R1527">
        <v>4.426629E-2</v>
      </c>
      <c r="S1527">
        <v>3.0803829999999999</v>
      </c>
      <c r="T1527">
        <v>-0.25262950000000001</v>
      </c>
      <c r="U1527">
        <v>-0.40954590000000002</v>
      </c>
      <c r="V1527">
        <v>-6.8138420000000005E-2</v>
      </c>
      <c r="W1527">
        <v>0.1423304</v>
      </c>
      <c r="X1527">
        <v>0.98747110000000005</v>
      </c>
      <c r="Y1527">
        <v>0.1077726</v>
      </c>
      <c r="Z1527">
        <v>-2.4441100000000002E-3</v>
      </c>
      <c r="AA1527">
        <v>0.99417259999999996</v>
      </c>
      <c r="AB1527">
        <v>29</v>
      </c>
      <c r="AC1527">
        <v>0.56860000000000299</v>
      </c>
      <c r="AD1527">
        <v>-7.0286999999999905E-2</v>
      </c>
      <c r="AE1527">
        <v>-0.10820000000001</v>
      </c>
      <c r="AF1527">
        <v>9.3196648529657505E-2</v>
      </c>
      <c r="AG1527">
        <v>-7.0286999999999905E-2</v>
      </c>
      <c r="AH1527">
        <v>0.56272674976015602</v>
      </c>
      <c r="AI1527">
        <v>97.024903538888907</v>
      </c>
      <c r="AJ1527">
        <v>80.596250096128102</v>
      </c>
      <c r="AK1527">
        <v>0.57470624893226097</v>
      </c>
      <c r="AL1527">
        <v>81.817280863944504</v>
      </c>
      <c r="AM1527">
        <v>93.947320871252899</v>
      </c>
      <c r="AN1527">
        <v>0.99999998018973302</v>
      </c>
    </row>
    <row r="1528" spans="1:40" x14ac:dyDescent="0.3">
      <c r="A1528" t="str">
        <f>"20200111150818115"</f>
        <v>20200111150818115</v>
      </c>
      <c r="B1528" t="str">
        <f>"1578726498103710"</f>
        <v>1578726498103710</v>
      </c>
      <c r="C1528" t="s">
        <v>40</v>
      </c>
      <c r="D1528">
        <v>5.3228309999999999</v>
      </c>
      <c r="E1528">
        <v>0.51350660000000004</v>
      </c>
      <c r="F1528" t="s">
        <v>41</v>
      </c>
      <c r="G1528">
        <v>-356.42270000000002</v>
      </c>
      <c r="H1528">
        <v>1.0432189999999999</v>
      </c>
      <c r="I1528">
        <v>213.7413</v>
      </c>
      <c r="J1528">
        <v>-356.94600000000003</v>
      </c>
      <c r="K1528">
        <v>1.1106370000000001</v>
      </c>
      <c r="L1528">
        <v>213.84479999999999</v>
      </c>
      <c r="M1528">
        <v>0.99967399999999995</v>
      </c>
      <c r="N1528">
        <v>0</v>
      </c>
      <c r="O1528">
        <v>-2.3109580000000001E-2</v>
      </c>
      <c r="P1528">
        <v>0.99030649999999998</v>
      </c>
      <c r="Q1528">
        <v>0.13126299999999999</v>
      </c>
      <c r="R1528">
        <v>4.5421530000000002E-2</v>
      </c>
      <c r="S1528">
        <v>3.0808719999999998</v>
      </c>
      <c r="T1528">
        <v>-0.25011559999999999</v>
      </c>
      <c r="U1528">
        <v>-0.40740969999999999</v>
      </c>
      <c r="V1528">
        <v>-6.8497760000000005E-2</v>
      </c>
      <c r="W1528">
        <v>0.14189570000000001</v>
      </c>
      <c r="X1528">
        <v>0.98750879999999996</v>
      </c>
      <c r="Y1528">
        <v>0.10787679999999999</v>
      </c>
      <c r="Z1528">
        <v>-2.4886230000000001E-3</v>
      </c>
      <c r="AA1528">
        <v>0.99416110000000002</v>
      </c>
      <c r="AB1528">
        <v>29</v>
      </c>
      <c r="AC1528">
        <v>0.52329999999994903</v>
      </c>
      <c r="AD1528">
        <v>-6.7417999999999895E-2</v>
      </c>
      <c r="AE1528">
        <v>-0.103499999999996</v>
      </c>
      <c r="AF1528">
        <v>8.9941764167827898E-2</v>
      </c>
      <c r="AG1528">
        <v>-6.7417999999999895E-2</v>
      </c>
      <c r="AH1528">
        <v>0.51728956893933797</v>
      </c>
      <c r="AI1528">
        <v>97.316906881661595</v>
      </c>
      <c r="AJ1528">
        <v>80.136519491593404</v>
      </c>
      <c r="AK1528">
        <v>0.52936112985283201</v>
      </c>
      <c r="AL1528">
        <v>81.842442732234602</v>
      </c>
      <c r="AM1528">
        <v>93.967920434344094</v>
      </c>
      <c r="AN1528">
        <v>0.99999998144047297</v>
      </c>
    </row>
    <row r="1529" spans="1:40" x14ac:dyDescent="0.3">
      <c r="A1529" t="str">
        <f>"20200111150818135"</f>
        <v>20200111150818135</v>
      </c>
      <c r="B1529" t="str">
        <f>"1578726498133966"</f>
        <v>1578726498133966</v>
      </c>
      <c r="C1529" t="s">
        <v>40</v>
      </c>
      <c r="D1529">
        <v>5.4412479999999999</v>
      </c>
      <c r="E1529">
        <v>0.50661239999999996</v>
      </c>
      <c r="F1529" t="s">
        <v>71</v>
      </c>
      <c r="G1529">
        <v>-107.39749999999999</v>
      </c>
      <c r="H1529">
        <v>0.32446970000000003</v>
      </c>
      <c r="I1529">
        <v>215.87979999999999</v>
      </c>
      <c r="J1529">
        <v>-356.67160000000001</v>
      </c>
      <c r="K1529">
        <v>1.110638</v>
      </c>
      <c r="L1529">
        <v>213.83930000000001</v>
      </c>
      <c r="M1529">
        <v>0.99969039999999998</v>
      </c>
      <c r="N1529">
        <v>0</v>
      </c>
      <c r="O1529">
        <v>-2.2392080000000002E-2</v>
      </c>
      <c r="P1529">
        <v>0.99035609999999996</v>
      </c>
      <c r="Q1529">
        <v>0.13083810000000001</v>
      </c>
      <c r="R1529">
        <v>4.5567549999999998E-2</v>
      </c>
      <c r="S1529">
        <v>3.0295100000000001</v>
      </c>
      <c r="T1529">
        <v>-9.5434189999999992E-3</v>
      </c>
      <c r="U1529">
        <v>2.470398E-2</v>
      </c>
      <c r="V1529">
        <v>-6.7934919999999996E-2</v>
      </c>
      <c r="W1529">
        <v>0.1414752</v>
      </c>
      <c r="X1529">
        <v>0.98760800000000004</v>
      </c>
      <c r="Y1529">
        <v>-3.0544519999999999E-2</v>
      </c>
      <c r="Z1529">
        <v>1.186475E-4</v>
      </c>
      <c r="AA1529">
        <v>0.99953340000000002</v>
      </c>
      <c r="AB1529">
        <v>29</v>
      </c>
      <c r="AC1529">
        <v>249.2741</v>
      </c>
      <c r="AD1529">
        <v>-0.78616829999999904</v>
      </c>
      <c r="AE1529">
        <v>2.0404999999999802</v>
      </c>
      <c r="AF1529">
        <v>-7.6220066105538402</v>
      </c>
      <c r="AG1529">
        <v>-0.78616829999999904</v>
      </c>
      <c r="AH1529">
        <v>249.163419232314</v>
      </c>
      <c r="AI1529">
        <v>90.180696330584993</v>
      </c>
      <c r="AJ1529">
        <v>91.752153939824296</v>
      </c>
      <c r="AK1529">
        <v>249.28121174469899</v>
      </c>
      <c r="AL1529">
        <v>81.866781076543504</v>
      </c>
      <c r="AM1529">
        <v>93.935025206128401</v>
      </c>
      <c r="AN1529">
        <v>0.99999997361722204</v>
      </c>
    </row>
    <row r="1530" spans="1:40" x14ac:dyDescent="0.3">
      <c r="A1530" t="str">
        <f>"20200111150818158"</f>
        <v>20200111150818158</v>
      </c>
      <c r="B1530" t="str">
        <f>"1578726498154463"</f>
        <v>1578726498154463</v>
      </c>
      <c r="C1530" t="s">
        <v>40</v>
      </c>
      <c r="D1530">
        <v>5.3032579999999996</v>
      </c>
      <c r="E1530">
        <v>0.51266990000000001</v>
      </c>
      <c r="F1530" t="s">
        <v>49</v>
      </c>
      <c r="G1530">
        <v>0</v>
      </c>
      <c r="H1530">
        <v>0</v>
      </c>
      <c r="I1530">
        <v>0</v>
      </c>
      <c r="J1530">
        <v>-356.38740000000001</v>
      </c>
      <c r="K1530">
        <v>1.110641</v>
      </c>
      <c r="L1530">
        <v>213.83369999999999</v>
      </c>
      <c r="M1530">
        <v>0.9997066</v>
      </c>
      <c r="N1530">
        <v>0</v>
      </c>
      <c r="O1530">
        <v>-2.164955E-2</v>
      </c>
      <c r="P1530">
        <v>0.99037209999999998</v>
      </c>
      <c r="Q1530">
        <v>0.13053819999999999</v>
      </c>
      <c r="R1530">
        <v>4.6077470000000002E-2</v>
      </c>
      <c r="S1530">
        <v>2.85141</v>
      </c>
      <c r="T1530">
        <v>1.314397</v>
      </c>
      <c r="U1530">
        <v>9.0744019999999995E-2</v>
      </c>
      <c r="V1530">
        <v>-6.7710380000000001E-2</v>
      </c>
      <c r="W1530">
        <v>0.14117779999999999</v>
      </c>
      <c r="X1530">
        <v>0.98766600000000004</v>
      </c>
      <c r="Y1530">
        <v>-4.6549180000000002E-2</v>
      </c>
      <c r="Z1530">
        <v>-1.9708119999999999E-2</v>
      </c>
      <c r="AA1530">
        <v>0.99872150000000004</v>
      </c>
      <c r="AB1530">
        <v>29</v>
      </c>
      <c r="AC1530">
        <v>2.85141</v>
      </c>
      <c r="AD1530">
        <v>1.314397</v>
      </c>
      <c r="AE1530">
        <v>9.0744019999999995E-2</v>
      </c>
      <c r="AF1530">
        <v>-0.125762243379407</v>
      </c>
      <c r="AG1530">
        <v>1.314397</v>
      </c>
      <c r="AH1530">
        <v>2.34994726139066</v>
      </c>
      <c r="AI1530">
        <v>60.815280752383302</v>
      </c>
      <c r="AJ1530">
        <v>93.063378704039707</v>
      </c>
      <c r="AK1530">
        <v>2.69549768072359</v>
      </c>
      <c r="AL1530">
        <v>81.883993795738604</v>
      </c>
      <c r="AM1530">
        <v>93.921830130584098</v>
      </c>
      <c r="AN1530">
        <v>0.999999997164292</v>
      </c>
    </row>
    <row r="1531" spans="1:40" x14ac:dyDescent="0.3">
      <c r="A1531" t="str">
        <f>"20200111150818181"</f>
        <v>20200111150818181</v>
      </c>
      <c r="B1531" t="str">
        <f>"1578726498173983"</f>
        <v>1578726498173983</v>
      </c>
      <c r="C1531" t="s">
        <v>40</v>
      </c>
      <c r="D1531">
        <v>5.3739150000000002</v>
      </c>
      <c r="E1531">
        <v>0.51106359999999995</v>
      </c>
      <c r="F1531" t="s">
        <v>49</v>
      </c>
      <c r="G1531">
        <v>0</v>
      </c>
      <c r="H1531">
        <v>0</v>
      </c>
      <c r="I1531">
        <v>0</v>
      </c>
      <c r="J1531">
        <v>-356.0872</v>
      </c>
      <c r="K1531">
        <v>1.1106419999999999</v>
      </c>
      <c r="L1531">
        <v>213.828</v>
      </c>
      <c r="M1531">
        <v>0.99972329999999998</v>
      </c>
      <c r="N1531">
        <v>0</v>
      </c>
      <c r="O1531">
        <v>-2.0864580000000001E-2</v>
      </c>
      <c r="P1531">
        <v>0.99034230000000001</v>
      </c>
      <c r="Q1531">
        <v>0.1305241</v>
      </c>
      <c r="R1531">
        <v>4.6749659999999998E-2</v>
      </c>
      <c r="S1531">
        <v>2.8539430000000001</v>
      </c>
      <c r="T1531">
        <v>1.313569</v>
      </c>
      <c r="U1531">
        <v>4.4357300000000002E-2</v>
      </c>
      <c r="V1531">
        <v>-6.7604999999999998E-2</v>
      </c>
      <c r="W1531">
        <v>0.14116600000000001</v>
      </c>
      <c r="X1531">
        <v>0.98767490000000002</v>
      </c>
      <c r="Y1531">
        <v>-3.1155769999999999E-2</v>
      </c>
      <c r="Z1531">
        <v>-1.596763E-2</v>
      </c>
      <c r="AA1531">
        <v>0.99938700000000003</v>
      </c>
      <c r="AB1531">
        <v>29</v>
      </c>
      <c r="AC1531">
        <v>2.8539430000000001</v>
      </c>
      <c r="AD1531">
        <v>1.313569</v>
      </c>
      <c r="AE1531">
        <v>4.4357300000000002E-2</v>
      </c>
      <c r="AF1531">
        <v>-8.5738680529886493E-2</v>
      </c>
      <c r="AG1531">
        <v>1.313569</v>
      </c>
      <c r="AH1531">
        <v>2.3538653937369598</v>
      </c>
      <c r="AI1531">
        <v>60.8525621808773</v>
      </c>
      <c r="AJ1531">
        <v>92.086055444202501</v>
      </c>
      <c r="AK1531">
        <v>2.69694214452822</v>
      </c>
      <c r="AL1531">
        <v>81.884676681876101</v>
      </c>
      <c r="AM1531">
        <v>93.915710278502004</v>
      </c>
      <c r="AN1531">
        <v>0.99999999183550503</v>
      </c>
    </row>
    <row r="1532" spans="1:40" x14ac:dyDescent="0.3">
      <c r="A1532" t="str">
        <f>"20200111150818204"</f>
        <v>20200111150818204</v>
      </c>
      <c r="B1532" t="str">
        <f>"1578726498193502"</f>
        <v>1578726498193502</v>
      </c>
      <c r="C1532" t="s">
        <v>40</v>
      </c>
      <c r="D1532">
        <v>5.3259429999999996</v>
      </c>
      <c r="E1532">
        <v>0.51325880000000002</v>
      </c>
      <c r="F1532" t="s">
        <v>71</v>
      </c>
      <c r="G1532">
        <v>-107.39749999999999</v>
      </c>
      <c r="H1532">
        <v>5.2592359999999996</v>
      </c>
      <c r="I1532">
        <v>217.84719999999999</v>
      </c>
      <c r="J1532">
        <v>-355.78559999999999</v>
      </c>
      <c r="K1532">
        <v>1.110641</v>
      </c>
      <c r="L1532">
        <v>213.82259999999999</v>
      </c>
      <c r="M1532">
        <v>0.99973939999999994</v>
      </c>
      <c r="N1532">
        <v>0</v>
      </c>
      <c r="O1532">
        <v>-2.0076859999999998E-2</v>
      </c>
      <c r="P1532">
        <v>0.99044370000000004</v>
      </c>
      <c r="Q1532">
        <v>0.129556</v>
      </c>
      <c r="R1532">
        <v>4.7293880000000003E-2</v>
      </c>
      <c r="S1532">
        <v>3.0203250000000001</v>
      </c>
      <c r="T1532">
        <v>5.0385119999999999E-2</v>
      </c>
      <c r="U1532">
        <v>4.8812870000000001E-2</v>
      </c>
      <c r="V1532">
        <v>-6.7370849999999996E-2</v>
      </c>
      <c r="W1532">
        <v>0.14020150000000001</v>
      </c>
      <c r="X1532">
        <v>0.98782829999999999</v>
      </c>
      <c r="Y1532">
        <v>-3.6223690000000003E-2</v>
      </c>
      <c r="Z1532">
        <v>-6.3699540000000004E-4</v>
      </c>
      <c r="AA1532">
        <v>0.99934350000000005</v>
      </c>
      <c r="AB1532">
        <v>29</v>
      </c>
      <c r="AC1532">
        <v>248.38810000000001</v>
      </c>
      <c r="AD1532">
        <v>4.1485949999999896</v>
      </c>
      <c r="AE1532">
        <v>4.0245999999999897</v>
      </c>
      <c r="AF1532">
        <v>-9.0084238707296596</v>
      </c>
      <c r="AG1532">
        <v>4.1485949999999896</v>
      </c>
      <c r="AH1532">
        <v>248.18800663894899</v>
      </c>
      <c r="AI1532">
        <v>89.042989733137802</v>
      </c>
      <c r="AJ1532">
        <v>92.078739371519106</v>
      </c>
      <c r="AK1532">
        <v>248.38608894324901</v>
      </c>
      <c r="AL1532">
        <v>81.940493824121404</v>
      </c>
      <c r="AM1532">
        <v>93.901586082582099</v>
      </c>
      <c r="AN1532">
        <v>1.0000000211564299</v>
      </c>
    </row>
    <row r="1533" spans="1:40" x14ac:dyDescent="0.3">
      <c r="A1533" t="str">
        <f>"20200111150818225"</f>
        <v>20200111150818225</v>
      </c>
      <c r="B1533" t="str">
        <f>"1578726498214001"</f>
        <v>1578726498214001</v>
      </c>
      <c r="C1533" t="s">
        <v>40</v>
      </c>
      <c r="D1533">
        <v>5.3195579999999998</v>
      </c>
      <c r="E1533">
        <v>0.51412429999999998</v>
      </c>
      <c r="F1533" t="s">
        <v>55</v>
      </c>
      <c r="G1533">
        <v>-228.471</v>
      </c>
      <c r="H1533" s="1">
        <v>2.946429E-6</v>
      </c>
      <c r="I1533">
        <v>215.18020000000001</v>
      </c>
      <c r="J1533">
        <v>-355.50290000000001</v>
      </c>
      <c r="K1533">
        <v>1.110638</v>
      </c>
      <c r="L1533">
        <v>213.8177</v>
      </c>
      <c r="M1533">
        <v>0.99975389999999997</v>
      </c>
      <c r="N1533">
        <v>0</v>
      </c>
      <c r="O1533">
        <v>-1.9338149999999998E-2</v>
      </c>
      <c r="P1533">
        <v>0.99043150000000002</v>
      </c>
      <c r="Q1533">
        <v>0.12937370000000001</v>
      </c>
      <c r="R1533">
        <v>4.8041479999999998E-2</v>
      </c>
      <c r="S1533">
        <v>3.0308839999999999</v>
      </c>
      <c r="T1533">
        <v>-2.6440140000000001E-2</v>
      </c>
      <c r="U1533">
        <v>3.2318119999999999E-2</v>
      </c>
      <c r="V1533">
        <v>-6.7387180000000005E-2</v>
      </c>
      <c r="W1533">
        <v>0.1400216</v>
      </c>
      <c r="X1533">
        <v>0.98785270000000003</v>
      </c>
      <c r="Y1533">
        <v>-2.999665E-2</v>
      </c>
      <c r="Z1533">
        <v>2.9952899999999998E-4</v>
      </c>
      <c r="AA1533">
        <v>0.99954989999999999</v>
      </c>
      <c r="AB1533">
        <v>29</v>
      </c>
      <c r="AC1533">
        <v>127.03189999999999</v>
      </c>
      <c r="AD1533">
        <v>-1.1106350535709999</v>
      </c>
      <c r="AE1533">
        <v>1.36250000000001</v>
      </c>
      <c r="AF1533">
        <v>-3.8186604230229801</v>
      </c>
      <c r="AG1533">
        <v>-1.1106350535709999</v>
      </c>
      <c r="AH1533">
        <v>126.97208795162</v>
      </c>
      <c r="AI1533">
        <v>90.500931523106104</v>
      </c>
      <c r="AJ1533">
        <v>91.722639985433105</v>
      </c>
      <c r="AK1533">
        <v>127.03435282018199</v>
      </c>
      <c r="AL1533">
        <v>81.950904003787301</v>
      </c>
      <c r="AM1533">
        <v>93.902432770243806</v>
      </c>
      <c r="AN1533">
        <v>1.0000000186961</v>
      </c>
    </row>
    <row r="1534" spans="1:40" x14ac:dyDescent="0.3">
      <c r="A1534" t="str">
        <f>"20200111150818248"</f>
        <v>20200111150818248</v>
      </c>
      <c r="B1534" t="str">
        <f>"1578726498244255"</f>
        <v>1578726498244255</v>
      </c>
      <c r="C1534" t="s">
        <v>40</v>
      </c>
      <c r="D1534">
        <v>5.323086</v>
      </c>
      <c r="E1534">
        <v>0.51582150000000004</v>
      </c>
      <c r="F1534" t="s">
        <v>58</v>
      </c>
      <c r="G1534">
        <v>-292.00459999999998</v>
      </c>
      <c r="H1534" s="1">
        <v>1.249988E-6</v>
      </c>
      <c r="I1534">
        <v>214.39179999999999</v>
      </c>
      <c r="J1534">
        <v>-355.21449999999999</v>
      </c>
      <c r="K1534">
        <v>1.110638</v>
      </c>
      <c r="L1534">
        <v>213.81299999999999</v>
      </c>
      <c r="M1534">
        <v>0.9997684</v>
      </c>
      <c r="N1534">
        <v>0</v>
      </c>
      <c r="O1534">
        <v>-1.8584880000000002E-2</v>
      </c>
      <c r="P1534">
        <v>0.99031619999999998</v>
      </c>
      <c r="Q1534">
        <v>0.1295335</v>
      </c>
      <c r="R1534">
        <v>4.9954249999999999E-2</v>
      </c>
      <c r="S1534">
        <v>3.0346069999999998</v>
      </c>
      <c r="T1534">
        <v>-5.3077699999999901E-2</v>
      </c>
      <c r="U1534">
        <v>2.7435299999999999E-2</v>
      </c>
      <c r="V1534">
        <v>-6.855282E-2</v>
      </c>
      <c r="W1534">
        <v>0.14018069999999999</v>
      </c>
      <c r="X1534">
        <v>0.98774989999999996</v>
      </c>
      <c r="Y1534">
        <v>-2.7617030000000001E-2</v>
      </c>
      <c r="Z1534">
        <v>5.665434E-4</v>
      </c>
      <c r="AA1534">
        <v>0.99961840000000002</v>
      </c>
      <c r="AB1534">
        <v>29</v>
      </c>
      <c r="AC1534">
        <v>63.209899999999998</v>
      </c>
      <c r="AD1534">
        <v>-1.110636750012</v>
      </c>
      <c r="AE1534">
        <v>0.57880000000000098</v>
      </c>
      <c r="AF1534">
        <v>-1.75297645152351</v>
      </c>
      <c r="AG1534">
        <v>-1.110636750012</v>
      </c>
      <c r="AH1534">
        <v>63.1687237081685</v>
      </c>
      <c r="AI1534">
        <v>91.0068869179118</v>
      </c>
      <c r="AJ1534">
        <v>91.5895901602386</v>
      </c>
      <c r="AK1534">
        <v>63.202801325170697</v>
      </c>
      <c r="AL1534">
        <v>81.9416972212329</v>
      </c>
      <c r="AM1534">
        <v>93.970133529131502</v>
      </c>
      <c r="AN1534">
        <v>0.99999999136622597</v>
      </c>
    </row>
    <row r="1535" spans="1:40" x14ac:dyDescent="0.3">
      <c r="A1535" t="str">
        <f>"20200111150818270"</f>
        <v>20200111150818270</v>
      </c>
      <c r="B1535" t="str">
        <f>"1578726498263775"</f>
        <v>1578726498263775</v>
      </c>
      <c r="C1535" t="s">
        <v>40</v>
      </c>
      <c r="D1535">
        <v>5.3437359999999998</v>
      </c>
      <c r="E1535">
        <v>0.51584039999999998</v>
      </c>
      <c r="F1535" t="s">
        <v>58</v>
      </c>
      <c r="G1535">
        <v>-308.92680000000001</v>
      </c>
      <c r="H1535" s="1">
        <v>1.069796E-6</v>
      </c>
      <c r="I1535">
        <v>214.10849999999999</v>
      </c>
      <c r="J1535">
        <v>-354.916</v>
      </c>
      <c r="K1535">
        <v>1.110636</v>
      </c>
      <c r="L1535">
        <v>213.8083</v>
      </c>
      <c r="M1535">
        <v>0.99978239999999996</v>
      </c>
      <c r="N1535">
        <v>0</v>
      </c>
      <c r="O1535">
        <v>-1.780516E-2</v>
      </c>
      <c r="P1535">
        <v>0.99025410000000003</v>
      </c>
      <c r="Q1535">
        <v>0.12931409999999999</v>
      </c>
      <c r="R1535">
        <v>5.1717430000000002E-2</v>
      </c>
      <c r="S1535">
        <v>3.0379330000000002</v>
      </c>
      <c r="T1535">
        <v>-7.2892789999999999E-2</v>
      </c>
      <c r="U1535">
        <v>1.9393919999999999E-2</v>
      </c>
      <c r="V1535">
        <v>-6.954217E-2</v>
      </c>
      <c r="W1535">
        <v>0.13996120000000001</v>
      </c>
      <c r="X1535">
        <v>0.98771189999999998</v>
      </c>
      <c r="Y1535">
        <v>-2.417654E-2</v>
      </c>
      <c r="Z1535">
        <v>7.1717289999999995E-4</v>
      </c>
      <c r="AA1535">
        <v>0.99970749999999997</v>
      </c>
      <c r="AB1535">
        <v>29</v>
      </c>
      <c r="AC1535">
        <v>45.989199999999897</v>
      </c>
      <c r="AD1535">
        <v>-1.1106349302039999</v>
      </c>
      <c r="AE1535">
        <v>0.30019999999998898</v>
      </c>
      <c r="AF1535">
        <v>-1.11839359901924</v>
      </c>
      <c r="AG1535">
        <v>-1.1106349302039999</v>
      </c>
      <c r="AH1535">
        <v>45.949765712005203</v>
      </c>
      <c r="AI1535">
        <v>91.384195885763404</v>
      </c>
      <c r="AJ1535">
        <v>91.394274439154202</v>
      </c>
      <c r="AK1535">
        <v>45.976790701164497</v>
      </c>
      <c r="AL1535">
        <v>81.954399130090806</v>
      </c>
      <c r="AM1535">
        <v>94.027397481017402</v>
      </c>
      <c r="AN1535">
        <v>1.0000000241576701</v>
      </c>
    </row>
    <row r="1536" spans="1:40" x14ac:dyDescent="0.3">
      <c r="A1536" t="str">
        <f>"20200111150818293"</f>
        <v>20200111150818293</v>
      </c>
      <c r="B1536" t="str">
        <f>"1578726498284273"</f>
        <v>1578726498284273</v>
      </c>
      <c r="C1536" t="s">
        <v>40</v>
      </c>
      <c r="D1536">
        <v>5.2982469999999999</v>
      </c>
      <c r="E1536">
        <v>0.51715299999999997</v>
      </c>
      <c r="F1536" t="s">
        <v>58</v>
      </c>
      <c r="G1536">
        <v>-316.23450000000003</v>
      </c>
      <c r="H1536" s="1">
        <v>3.6703830000000002E-6</v>
      </c>
      <c r="I1536">
        <v>214.11680000000001</v>
      </c>
      <c r="J1536">
        <v>-354.61599999999999</v>
      </c>
      <c r="K1536">
        <v>1.11063</v>
      </c>
      <c r="L1536">
        <v>213.8038</v>
      </c>
      <c r="M1536">
        <v>0.99979600000000002</v>
      </c>
      <c r="N1536">
        <v>0</v>
      </c>
      <c r="O1536">
        <v>-1.7021379999999999E-2</v>
      </c>
      <c r="P1536">
        <v>0.99020149999999996</v>
      </c>
      <c r="Q1536">
        <v>0.12920470000000001</v>
      </c>
      <c r="R1536">
        <v>5.2982509999999997E-2</v>
      </c>
      <c r="S1536">
        <v>3.0396420000000002</v>
      </c>
      <c r="T1536">
        <v>-8.7274790000000005E-2</v>
      </c>
      <c r="U1536">
        <v>2.4246219999999999E-2</v>
      </c>
      <c r="V1536">
        <v>-7.0031189999999993E-2</v>
      </c>
      <c r="W1536">
        <v>0.13985259999999999</v>
      </c>
      <c r="X1536">
        <v>0.98769269999999998</v>
      </c>
      <c r="Y1536">
        <v>-2.4979790000000002E-2</v>
      </c>
      <c r="Z1536">
        <v>8.4716479999999905E-4</v>
      </c>
      <c r="AA1536">
        <v>0.99968760000000001</v>
      </c>
      <c r="AB1536">
        <v>29</v>
      </c>
      <c r="AC1536">
        <v>38.381499999999903</v>
      </c>
      <c r="AD1536">
        <v>-1.110626329617</v>
      </c>
      <c r="AE1536">
        <v>0.31300000000001599</v>
      </c>
      <c r="AF1536">
        <v>-0.96549099719360099</v>
      </c>
      <c r="AG1536">
        <v>-1.110626329617</v>
      </c>
      <c r="AH1536">
        <v>38.338511336759503</v>
      </c>
      <c r="AI1536">
        <v>91.658808742014699</v>
      </c>
      <c r="AJ1536">
        <v>91.442593034535193</v>
      </c>
      <c r="AK1536">
        <v>38.366744913121501</v>
      </c>
      <c r="AL1536">
        <v>81.960683009745694</v>
      </c>
      <c r="AM1536">
        <v>94.055702509053205</v>
      </c>
      <c r="AN1536">
        <v>0.99999999346643298</v>
      </c>
    </row>
    <row r="1537" spans="1:40" x14ac:dyDescent="0.3">
      <c r="A1537" t="str">
        <f>"20200111150818315"</f>
        <v>20200111150818315</v>
      </c>
      <c r="B1537" t="str">
        <f>"1578726498303793"</f>
        <v>1578726498303793</v>
      </c>
      <c r="C1537" t="s">
        <v>40</v>
      </c>
      <c r="D1537">
        <v>5.3408759999999997</v>
      </c>
      <c r="E1537">
        <v>0.51756599999999997</v>
      </c>
      <c r="F1537" t="s">
        <v>55</v>
      </c>
      <c r="G1537">
        <v>-320.00389999999999</v>
      </c>
      <c r="H1537" s="1">
        <v>-1.5347140000000001E-6</v>
      </c>
      <c r="I1537">
        <v>214.00299999999999</v>
      </c>
      <c r="J1537">
        <v>-354.32810000000001</v>
      </c>
      <c r="K1537">
        <v>1.1106320000000001</v>
      </c>
      <c r="L1537">
        <v>213.7997</v>
      </c>
      <c r="M1537">
        <v>0.99980849999999999</v>
      </c>
      <c r="N1537">
        <v>0</v>
      </c>
      <c r="O1537">
        <v>-1.6269789999999999E-2</v>
      </c>
      <c r="P1537">
        <v>0.99013530000000005</v>
      </c>
      <c r="Q1537">
        <v>0.12950319999999901</v>
      </c>
      <c r="R1537">
        <v>5.3488859999999999E-2</v>
      </c>
      <c r="S1537">
        <v>3.0414729999999999</v>
      </c>
      <c r="T1537">
        <v>-9.7594739999999999E-2</v>
      </c>
      <c r="U1537">
        <v>1.7501829999999999E-2</v>
      </c>
      <c r="V1537">
        <v>-6.9793629999999995E-2</v>
      </c>
      <c r="W1537">
        <v>0.14015329999999901</v>
      </c>
      <c r="X1537">
        <v>0.98766690000000001</v>
      </c>
      <c r="Y1537">
        <v>-2.2004320000000001E-2</v>
      </c>
      <c r="Z1537">
        <v>8.7488889999999997E-4</v>
      </c>
      <c r="AA1537">
        <v>0.99975749999999997</v>
      </c>
      <c r="AB1537">
        <v>29</v>
      </c>
      <c r="AC1537">
        <v>34.324199999999998</v>
      </c>
      <c r="AD1537">
        <v>-1.1106335347139999</v>
      </c>
      <c r="AE1537">
        <v>0.20329999999998399</v>
      </c>
      <c r="AF1537">
        <v>-0.76095695370870797</v>
      </c>
      <c r="AG1537">
        <v>-1.1106335347139999</v>
      </c>
      <c r="AH1537">
        <v>34.2804585179734</v>
      </c>
      <c r="AI1537">
        <v>91.8551883560379</v>
      </c>
      <c r="AJ1537">
        <v>91.271641763174898</v>
      </c>
      <c r="AK1537">
        <v>34.306885584913204</v>
      </c>
      <c r="AL1537">
        <v>81.943282863224795</v>
      </c>
      <c r="AM1537">
        <v>94.042095656845703</v>
      </c>
      <c r="AN1537">
        <v>1.0000000018225299</v>
      </c>
    </row>
    <row r="1538" spans="1:40" x14ac:dyDescent="0.3">
      <c r="A1538" t="str">
        <f>"20200111150818336"</f>
        <v>20200111150818336</v>
      </c>
      <c r="B1538" t="str">
        <f>"1578726498334046"</f>
        <v>1578726498334046</v>
      </c>
      <c r="C1538" t="s">
        <v>40</v>
      </c>
      <c r="D1538">
        <v>5.3443899999999998</v>
      </c>
      <c r="E1538">
        <v>0.51707099999999995</v>
      </c>
      <c r="F1538" t="s">
        <v>55</v>
      </c>
      <c r="G1538">
        <v>-321.93</v>
      </c>
      <c r="H1538" s="1">
        <v>-5.0972999999999899E-7</v>
      </c>
      <c r="I1538">
        <v>213.96780000000001</v>
      </c>
      <c r="J1538">
        <v>-354.04689999999999</v>
      </c>
      <c r="K1538">
        <v>1.1106339999999999</v>
      </c>
      <c r="L1538">
        <v>213.79589999999999</v>
      </c>
      <c r="M1538">
        <v>0.9998203</v>
      </c>
      <c r="N1538">
        <v>0</v>
      </c>
      <c r="O1538">
        <v>-1.5535719999999999E-2</v>
      </c>
      <c r="P1538">
        <v>0.99007540000000005</v>
      </c>
      <c r="Q1538">
        <v>0.12975999999999999</v>
      </c>
      <c r="R1538">
        <v>5.3974840000000003E-2</v>
      </c>
      <c r="S1538">
        <v>3.0426639999999998</v>
      </c>
      <c r="T1538">
        <v>-0.10430490000000001</v>
      </c>
      <c r="U1538">
        <v>1.5792850000000001E-2</v>
      </c>
      <c r="V1538">
        <v>-6.9553229999999994E-2</v>
      </c>
      <c r="W1538">
        <v>0.1404116</v>
      </c>
      <c r="X1538">
        <v>0.98764719999999995</v>
      </c>
      <c r="Y1538">
        <v>-2.0704899999999998E-2</v>
      </c>
      <c r="Z1538">
        <v>8.8722110000000003E-4</v>
      </c>
      <c r="AA1538">
        <v>0.99978520000000004</v>
      </c>
      <c r="AB1538">
        <v>29</v>
      </c>
      <c r="AC1538">
        <v>32.116899999999902</v>
      </c>
      <c r="AD1538">
        <v>-1.1106345097299899</v>
      </c>
      <c r="AE1538">
        <v>0.17190000000002201</v>
      </c>
      <c r="AF1538">
        <v>-0.67006658747954295</v>
      </c>
      <c r="AG1538">
        <v>-1.1106345097299899</v>
      </c>
      <c r="AH1538">
        <v>32.072000655508901</v>
      </c>
      <c r="AI1538">
        <v>91.982894209172798</v>
      </c>
      <c r="AJ1538">
        <v>91.196882081085803</v>
      </c>
      <c r="AK1538">
        <v>32.098219955206602</v>
      </c>
      <c r="AL1538">
        <v>81.928335789870602</v>
      </c>
      <c r="AM1538">
        <v>94.028298895672805</v>
      </c>
      <c r="AN1538">
        <v>1.00000003044291</v>
      </c>
    </row>
    <row r="1539" spans="1:40" x14ac:dyDescent="0.3">
      <c r="A1539" t="str">
        <f>"20200111150818359"</f>
        <v>20200111150818359</v>
      </c>
      <c r="B1539" t="str">
        <f>"1578726498354542"</f>
        <v>1578726498354542</v>
      </c>
      <c r="C1539" t="s">
        <v>40</v>
      </c>
      <c r="D1539">
        <v>5.2740010000000002</v>
      </c>
      <c r="E1539">
        <v>0.51754500000000003</v>
      </c>
      <c r="F1539" t="s">
        <v>58</v>
      </c>
      <c r="G1539">
        <v>-319.78750000000002</v>
      </c>
      <c r="H1539" s="1">
        <v>5.2460019999999999E-6</v>
      </c>
      <c r="I1539">
        <v>214.02809999999999</v>
      </c>
      <c r="J1539">
        <v>-353.7509</v>
      </c>
      <c r="K1539">
        <v>1.110641</v>
      </c>
      <c r="L1539">
        <v>213.7921</v>
      </c>
      <c r="M1539">
        <v>0.9998319</v>
      </c>
      <c r="N1539">
        <v>0</v>
      </c>
      <c r="O1539">
        <v>-1.476278E-2</v>
      </c>
      <c r="P1539">
        <v>0.98997069999999998</v>
      </c>
      <c r="Q1539">
        <v>0.13041889999999901</v>
      </c>
      <c r="R1539">
        <v>5.4305779999999998E-2</v>
      </c>
      <c r="S1539">
        <v>3.0418699999999999</v>
      </c>
      <c r="T1539">
        <v>-9.8611950000000004E-2</v>
      </c>
      <c r="U1539">
        <v>2.061462E-2</v>
      </c>
      <c r="V1539">
        <v>-6.9119059999999996E-2</v>
      </c>
      <c r="W1539">
        <v>0.141072</v>
      </c>
      <c r="X1539">
        <v>0.98758349999999995</v>
      </c>
      <c r="Y1539">
        <v>-2.1520319999999999E-2</v>
      </c>
      <c r="Z1539">
        <v>8.2720229999999997E-4</v>
      </c>
      <c r="AA1539">
        <v>0.99976810000000005</v>
      </c>
      <c r="AB1539">
        <v>29</v>
      </c>
      <c r="AC1539">
        <v>33.963399999999901</v>
      </c>
      <c r="AD1539">
        <v>-1.1106357539980001</v>
      </c>
      <c r="AE1539">
        <v>0.235999999999989</v>
      </c>
      <c r="AF1539">
        <v>-0.73661046561565502</v>
      </c>
      <c r="AG1539">
        <v>-1.1106357539980001</v>
      </c>
      <c r="AH1539">
        <v>33.919943519679201</v>
      </c>
      <c r="AI1539">
        <v>91.874915611835803</v>
      </c>
      <c r="AJ1539">
        <v>91.244048010549307</v>
      </c>
      <c r="AK1539">
        <v>33.946114286238199</v>
      </c>
      <c r="AL1539">
        <v>81.8901166804757</v>
      </c>
      <c r="AM1539">
        <v>94.003492553863495</v>
      </c>
      <c r="AN1539">
        <v>0.99999996155576598</v>
      </c>
    </row>
    <row r="1540" spans="1:40" x14ac:dyDescent="0.3">
      <c r="A1540" t="str">
        <f>"20200111150818381"</f>
        <v>20200111150818381</v>
      </c>
      <c r="B1540" t="str">
        <f>"1578726498374062"</f>
        <v>1578726498374062</v>
      </c>
      <c r="C1540" t="s">
        <v>40</v>
      </c>
      <c r="D1540">
        <v>5.3013909999999997</v>
      </c>
      <c r="E1540">
        <v>0.51767319999999994</v>
      </c>
      <c r="F1540" t="s">
        <v>58</v>
      </c>
      <c r="G1540">
        <v>-315.32900000000001</v>
      </c>
      <c r="H1540" s="1">
        <v>3.2688459999999999E-6</v>
      </c>
      <c r="I1540">
        <v>214.01480000000001</v>
      </c>
      <c r="J1540">
        <v>-353.45240000000001</v>
      </c>
      <c r="K1540">
        <v>1.1106450000000001</v>
      </c>
      <c r="L1540">
        <v>213.7885</v>
      </c>
      <c r="M1540">
        <v>0.99984320000000004</v>
      </c>
      <c r="N1540">
        <v>0</v>
      </c>
      <c r="O1540">
        <v>-1.398342E-2</v>
      </c>
      <c r="P1540">
        <v>0.9899057</v>
      </c>
      <c r="Q1540">
        <v>0.1307266</v>
      </c>
      <c r="R1540">
        <v>5.4749989999999998E-2</v>
      </c>
      <c r="S1540">
        <v>3.0410460000000001</v>
      </c>
      <c r="T1540">
        <v>-8.7905650000000002E-2</v>
      </c>
      <c r="U1540">
        <v>1.7623900000000001E-2</v>
      </c>
      <c r="V1540">
        <v>-6.8791989999999997E-2</v>
      </c>
      <c r="W1540">
        <v>0.1413817</v>
      </c>
      <c r="X1540">
        <v>0.9875621</v>
      </c>
      <c r="Y1540">
        <v>-1.9764589999999999E-2</v>
      </c>
      <c r="Z1540">
        <v>6.897397E-4</v>
      </c>
      <c r="AA1540">
        <v>0.99980440000000004</v>
      </c>
      <c r="AB1540">
        <v>29</v>
      </c>
      <c r="AC1540">
        <v>38.123399999999997</v>
      </c>
      <c r="AD1540">
        <v>-1.110641731154</v>
      </c>
      <c r="AE1540">
        <v>0.22630000000000899</v>
      </c>
      <c r="AF1540">
        <v>-0.75876089806439895</v>
      </c>
      <c r="AG1540">
        <v>-1.110641731154</v>
      </c>
      <c r="AH1540">
        <v>38.084185801104198</v>
      </c>
      <c r="AI1540">
        <v>91.6701010319603</v>
      </c>
      <c r="AJ1540">
        <v>91.141367354144506</v>
      </c>
      <c r="AK1540">
        <v>38.107931606011299</v>
      </c>
      <c r="AL1540">
        <v>81.872192941840694</v>
      </c>
      <c r="AM1540">
        <v>93.984695341933502</v>
      </c>
      <c r="AN1540">
        <v>1.0000000121697299</v>
      </c>
    </row>
    <row r="1541" spans="1:40" x14ac:dyDescent="0.3">
      <c r="A1541" t="str">
        <f>"20200111150818404"</f>
        <v>20200111150818404</v>
      </c>
      <c r="B1541" t="str">
        <f>"1578726498394558"</f>
        <v>1578726498394558</v>
      </c>
      <c r="C1541" t="s">
        <v>40</v>
      </c>
      <c r="D1541">
        <v>5.3596539999999999</v>
      </c>
      <c r="E1541">
        <v>0.51844570000000001</v>
      </c>
      <c r="F1541" t="s">
        <v>58</v>
      </c>
      <c r="G1541">
        <v>-311.84109999999998</v>
      </c>
      <c r="H1541" s="1">
        <v>1.722108E-6</v>
      </c>
      <c r="I1541">
        <v>214.04329999999999</v>
      </c>
      <c r="J1541">
        <v>-353.15120000000002</v>
      </c>
      <c r="K1541">
        <v>1.1106450000000001</v>
      </c>
      <c r="L1541">
        <v>213.7852</v>
      </c>
      <c r="M1541">
        <v>0.99985369999999996</v>
      </c>
      <c r="N1541">
        <v>0</v>
      </c>
      <c r="O1541">
        <v>-1.319713E-2</v>
      </c>
      <c r="P1541">
        <v>0.98986940000000001</v>
      </c>
      <c r="Q1541">
        <v>0.13088549999999999</v>
      </c>
      <c r="R1541">
        <v>5.5024209999999997E-2</v>
      </c>
      <c r="S1541">
        <v>3.0402529999999999</v>
      </c>
      <c r="T1541">
        <v>-8.1147070000000002E-2</v>
      </c>
      <c r="U1541">
        <v>1.8615719999999999E-2</v>
      </c>
      <c r="V1541">
        <v>-6.8288409999999994E-2</v>
      </c>
      <c r="W1541">
        <v>0.14154359999999999</v>
      </c>
      <c r="X1541">
        <v>0.9875739</v>
      </c>
      <c r="Y1541">
        <v>-1.9308530000000001E-2</v>
      </c>
      <c r="Z1541">
        <v>6.098268E-4</v>
      </c>
      <c r="AA1541">
        <v>0.99981339999999996</v>
      </c>
      <c r="AB1541">
        <v>29</v>
      </c>
      <c r="AC1541">
        <v>41.310099999999998</v>
      </c>
      <c r="AD1541">
        <v>-1.1106432778919999</v>
      </c>
      <c r="AE1541">
        <v>0.25809999999998401</v>
      </c>
      <c r="AF1541">
        <v>-0.80270436475652895</v>
      </c>
      <c r="AG1541">
        <v>-1.1106432778919999</v>
      </c>
      <c r="AH1541">
        <v>41.273263240975801</v>
      </c>
      <c r="AI1541">
        <v>91.541138050041596</v>
      </c>
      <c r="AJ1541">
        <v>91.114178315499103</v>
      </c>
      <c r="AK1541">
        <v>41.296006118592203</v>
      </c>
      <c r="AL1541">
        <v>81.8628228553642</v>
      </c>
      <c r="AM1541">
        <v>93.955571885670594</v>
      </c>
      <c r="AN1541">
        <v>1.00000005280124</v>
      </c>
    </row>
    <row r="1542" spans="1:40" x14ac:dyDescent="0.3">
      <c r="A1542" t="str">
        <f>"20200111150818425"</f>
        <v>20200111150818425</v>
      </c>
      <c r="B1542" t="str">
        <f>"1578726498414081"</f>
        <v>1578726498414081</v>
      </c>
      <c r="C1542" t="s">
        <v>40</v>
      </c>
      <c r="D1542">
        <v>5.3432559999999896</v>
      </c>
      <c r="E1542">
        <v>0.51886709999999903</v>
      </c>
      <c r="F1542" t="s">
        <v>58</v>
      </c>
      <c r="G1542">
        <v>-315.35860000000002</v>
      </c>
      <c r="H1542" s="1">
        <v>3.2819759999999998E-6</v>
      </c>
      <c r="I1542">
        <v>213.95179999999999</v>
      </c>
      <c r="J1542">
        <v>-352.87259999999998</v>
      </c>
      <c r="K1542">
        <v>1.1106469999999999</v>
      </c>
      <c r="L1542">
        <v>213.78229999999999</v>
      </c>
      <c r="M1542">
        <v>0.99986299999999995</v>
      </c>
      <c r="N1542">
        <v>0</v>
      </c>
      <c r="O1542">
        <v>-1.246974E-2</v>
      </c>
      <c r="P1542">
        <v>0.9897823</v>
      </c>
      <c r="Q1542">
        <v>0.13134699999999999</v>
      </c>
      <c r="R1542">
        <v>5.5488160000000002E-2</v>
      </c>
      <c r="S1542">
        <v>3.0418090000000002</v>
      </c>
      <c r="T1542">
        <v>-8.9392189999999996E-2</v>
      </c>
      <c r="U1542">
        <v>1.3412479999999999E-2</v>
      </c>
      <c r="V1542">
        <v>-6.8032839999999997E-2</v>
      </c>
      <c r="W1542">
        <v>0.14200660000000001</v>
      </c>
      <c r="X1542">
        <v>0.98752499999999999</v>
      </c>
      <c r="Y1542">
        <v>-1.6866679999999998E-2</v>
      </c>
      <c r="Z1542">
        <v>6.1417779999999999E-4</v>
      </c>
      <c r="AA1542">
        <v>0.99985749999999995</v>
      </c>
      <c r="AB1542">
        <v>30</v>
      </c>
      <c r="AC1542">
        <v>37.513999999999903</v>
      </c>
      <c r="AD1542">
        <v>-1.1106437180240001</v>
      </c>
      <c r="AE1542">
        <v>0.16949999999999901</v>
      </c>
      <c r="AF1542">
        <v>-0.63674625140831698</v>
      </c>
      <c r="AG1542">
        <v>-1.1106437180240001</v>
      </c>
      <c r="AH1542">
        <v>37.476121214963499</v>
      </c>
      <c r="AI1542">
        <v>91.697278159519797</v>
      </c>
      <c r="AJ1542">
        <v>90.973402838163494</v>
      </c>
      <c r="AK1542">
        <v>37.497981766699198</v>
      </c>
      <c r="AL1542">
        <v>81.836023646678399</v>
      </c>
      <c r="AM1542">
        <v>93.941009378248694</v>
      </c>
      <c r="AN1542">
        <v>0.99999998369351195</v>
      </c>
    </row>
    <row r="1543" spans="1:40" x14ac:dyDescent="0.3">
      <c r="A1543" t="str">
        <f>"20200111150818449"</f>
        <v>20200111150818449</v>
      </c>
      <c r="B1543" t="str">
        <f>"1578726498444334"</f>
        <v>1578726498444334</v>
      </c>
      <c r="C1543" t="s">
        <v>40</v>
      </c>
      <c r="D1543">
        <v>5.4182139999999999</v>
      </c>
      <c r="E1543">
        <v>0.52110909999999999</v>
      </c>
      <c r="F1543" t="s">
        <v>58</v>
      </c>
      <c r="G1543">
        <v>-311.9966</v>
      </c>
      <c r="H1543" s="1">
        <v>1.7910699999999999E-6</v>
      </c>
      <c r="I1543">
        <v>213.9316</v>
      </c>
      <c r="J1543">
        <v>-352.57190000000003</v>
      </c>
      <c r="K1543">
        <v>1.110646</v>
      </c>
      <c r="L1543">
        <v>213.77940000000001</v>
      </c>
      <c r="M1543">
        <v>0.99987250000000005</v>
      </c>
      <c r="N1543">
        <v>0</v>
      </c>
      <c r="O1543">
        <v>-1.168524E-2</v>
      </c>
      <c r="P1543">
        <v>0.98968639999999997</v>
      </c>
      <c r="Q1543">
        <v>0.1318059</v>
      </c>
      <c r="R1543">
        <v>5.6109340000000001E-2</v>
      </c>
      <c r="S1543">
        <v>3.0413510000000001</v>
      </c>
      <c r="T1543">
        <v>-8.2636829999999994E-2</v>
      </c>
      <c r="U1543">
        <v>1.1108399999999999E-2</v>
      </c>
      <c r="V1543">
        <v>-6.7878090000000002E-2</v>
      </c>
      <c r="W1543">
        <v>0.14246729999999999</v>
      </c>
      <c r="X1543">
        <v>0.98746929999999999</v>
      </c>
      <c r="Y1543">
        <v>-1.5328069999999999E-2</v>
      </c>
      <c r="Z1543">
        <v>5.2565739999999896E-4</v>
      </c>
      <c r="AA1543">
        <v>0.99988239999999995</v>
      </c>
      <c r="AB1543">
        <v>30</v>
      </c>
      <c r="AC1543">
        <v>40.575299999999999</v>
      </c>
      <c r="AD1543">
        <v>-1.1106442089299999</v>
      </c>
      <c r="AE1543">
        <v>0.15219999999999301</v>
      </c>
      <c r="AF1543">
        <v>-0.62588087196234399</v>
      </c>
      <c r="AG1543">
        <v>-1.1106442089299999</v>
      </c>
      <c r="AH1543">
        <v>40.540376377218102</v>
      </c>
      <c r="AI1543">
        <v>91.569095842813994</v>
      </c>
      <c r="AJ1543">
        <v>90.884488181854607</v>
      </c>
      <c r="AK1543">
        <v>40.560416346867299</v>
      </c>
      <c r="AL1543">
        <v>81.809356417326299</v>
      </c>
      <c r="AM1543">
        <v>93.932294265307604</v>
      </c>
      <c r="AN1543">
        <v>0.99999999255691396</v>
      </c>
    </row>
    <row r="1544" spans="1:40" x14ac:dyDescent="0.3">
      <c r="A1544" t="str">
        <f>"20200111150818471"</f>
        <v>20200111150818471</v>
      </c>
      <c r="B1544" t="str">
        <f>"1578726498463854"</f>
        <v>1578726498463854</v>
      </c>
      <c r="C1544" t="s">
        <v>40</v>
      </c>
      <c r="D1544">
        <v>5.3468960000000001</v>
      </c>
      <c r="E1544">
        <v>0.52388129999999999</v>
      </c>
      <c r="F1544" t="s">
        <v>58</v>
      </c>
      <c r="G1544">
        <v>-308.2799</v>
      </c>
      <c r="H1544" s="1">
        <v>1.184544E-6</v>
      </c>
      <c r="I1544">
        <v>213.7072</v>
      </c>
      <c r="J1544">
        <v>-352.2672</v>
      </c>
      <c r="K1544">
        <v>1.110649</v>
      </c>
      <c r="L1544">
        <v>213.7766</v>
      </c>
      <c r="M1544">
        <v>0.99988149999999998</v>
      </c>
      <c r="N1544">
        <v>0</v>
      </c>
      <c r="O1544">
        <v>-1.0889899999999999E-2</v>
      </c>
      <c r="P1544">
        <v>0.98965040000000004</v>
      </c>
      <c r="Q1544">
        <v>0.131958299999999</v>
      </c>
      <c r="R1544">
        <v>5.6384660000000003E-2</v>
      </c>
      <c r="S1544">
        <v>3.0416560000000001</v>
      </c>
      <c r="T1544">
        <v>-7.6271060000000002E-2</v>
      </c>
      <c r="U1544">
        <v>-4.9591059999999996E-3</v>
      </c>
      <c r="V1544">
        <v>-6.736615E-2</v>
      </c>
      <c r="W1544">
        <v>0.1426221</v>
      </c>
      <c r="X1544">
        <v>0.98748199999999997</v>
      </c>
      <c r="Y1544">
        <v>-9.2539040000000003E-3</v>
      </c>
      <c r="Z1544">
        <v>3.89043E-4</v>
      </c>
      <c r="AA1544">
        <v>0.99995710000000004</v>
      </c>
      <c r="AB1544">
        <v>30</v>
      </c>
      <c r="AC1544">
        <v>43.987299999999998</v>
      </c>
      <c r="AD1544">
        <v>-1.110647815456</v>
      </c>
      <c r="AE1544">
        <v>-6.9400000000001599E-2</v>
      </c>
      <c r="AF1544">
        <v>-0.40938877786876798</v>
      </c>
      <c r="AG1544">
        <v>-1.110647815456</v>
      </c>
      <c r="AH1544">
        <v>43.957423247602101</v>
      </c>
      <c r="AI1544">
        <v>91.447289979855796</v>
      </c>
      <c r="AJ1544">
        <v>90.533597496729101</v>
      </c>
      <c r="AK1544">
        <v>43.9733578011761</v>
      </c>
      <c r="AL1544">
        <v>81.800395429391301</v>
      </c>
      <c r="AM1544">
        <v>93.902678661054097</v>
      </c>
      <c r="AN1544">
        <v>0.99999998094911502</v>
      </c>
    </row>
    <row r="1545" spans="1:40" x14ac:dyDescent="0.3">
      <c r="A1545" t="str">
        <f>"20200111150818495"</f>
        <v>20200111150818495</v>
      </c>
      <c r="B1545" t="str">
        <f>"1578726498484350"</f>
        <v>1578726498484350</v>
      </c>
      <c r="C1545" t="s">
        <v>40</v>
      </c>
      <c r="D1545">
        <v>5.1400810000000003</v>
      </c>
      <c r="E1545">
        <v>0.52514530000000004</v>
      </c>
      <c r="F1545" t="s">
        <v>58</v>
      </c>
      <c r="G1545">
        <v>-313.72050000000002</v>
      </c>
      <c r="H1545" s="1">
        <v>2.5555489999999998E-6</v>
      </c>
      <c r="I1545">
        <v>213.4444</v>
      </c>
      <c r="J1545">
        <v>-351.959</v>
      </c>
      <c r="K1545">
        <v>1.110643</v>
      </c>
      <c r="L1545">
        <v>213.7741</v>
      </c>
      <c r="M1545">
        <v>0.9998899</v>
      </c>
      <c r="N1545">
        <v>0</v>
      </c>
      <c r="O1545">
        <v>-1.008586E-2</v>
      </c>
      <c r="P1545">
        <v>0.98961880000000002</v>
      </c>
      <c r="Q1545">
        <v>0.1319255</v>
      </c>
      <c r="R1545">
        <v>5.701403E-2</v>
      </c>
      <c r="S1545">
        <v>3.044556</v>
      </c>
      <c r="T1545">
        <v>-8.7722899999999895E-2</v>
      </c>
      <c r="U1545">
        <v>-2.624512E-2</v>
      </c>
      <c r="V1545">
        <v>-6.7200699999999905E-2</v>
      </c>
      <c r="W1545">
        <v>0.14259189999999999</v>
      </c>
      <c r="X1545">
        <v>0.98749759999999998</v>
      </c>
      <c r="Y1545">
        <v>-1.4617009999999999E-3</v>
      </c>
      <c r="Z1545">
        <v>3.1160219999999998E-4</v>
      </c>
      <c r="AA1545">
        <v>0.99999890000000002</v>
      </c>
      <c r="AB1545">
        <v>30</v>
      </c>
      <c r="AC1545">
        <v>38.238499999999902</v>
      </c>
      <c r="AD1545">
        <v>-1.1106404444509901</v>
      </c>
      <c r="AE1545">
        <v>-0.32970000000000199</v>
      </c>
      <c r="AF1545">
        <v>-5.5960569338465098E-2</v>
      </c>
      <c r="AG1545">
        <v>-1.1106404444509901</v>
      </c>
      <c r="AH1545">
        <v>38.207650104162603</v>
      </c>
      <c r="AI1545">
        <v>91.665033764259206</v>
      </c>
      <c r="AJ1545">
        <v>90.083917805486706</v>
      </c>
      <c r="AK1545">
        <v>38.223830005171997</v>
      </c>
      <c r="AL1545">
        <v>81.802143349543499</v>
      </c>
      <c r="AM1545">
        <v>93.893061953604899</v>
      </c>
      <c r="AN1545">
        <v>0.99999994701592798</v>
      </c>
    </row>
    <row r="1546" spans="1:40" x14ac:dyDescent="0.3">
      <c r="A1546" t="str">
        <f>"20200111150818517"</f>
        <v>20200111150818517</v>
      </c>
      <c r="B1546" t="str">
        <f>"1578726498514606"</f>
        <v>1578726498514606</v>
      </c>
      <c r="C1546" t="s">
        <v>40</v>
      </c>
      <c r="D1546">
        <v>5.3770009999999999</v>
      </c>
      <c r="E1546">
        <v>0.52822550000000001</v>
      </c>
      <c r="F1546" t="s">
        <v>58</v>
      </c>
      <c r="G1546">
        <v>-314.8272</v>
      </c>
      <c r="H1546" s="1">
        <v>3.046302E-6</v>
      </c>
      <c r="I1546">
        <v>213.35560000000001</v>
      </c>
      <c r="J1546">
        <v>-351.66919999999999</v>
      </c>
      <c r="K1546">
        <v>1.1106400000000001</v>
      </c>
      <c r="L1546">
        <v>213.77199999999999</v>
      </c>
      <c r="M1546">
        <v>0.99989720000000004</v>
      </c>
      <c r="N1546">
        <v>0</v>
      </c>
      <c r="O1546">
        <v>-9.3303290000000001E-3</v>
      </c>
      <c r="P1546">
        <v>0.98964010000000002</v>
      </c>
      <c r="Q1546">
        <v>0.13162739999999901</v>
      </c>
      <c r="R1546">
        <v>5.7332080000000001E-2</v>
      </c>
      <c r="S1546">
        <v>3.0455930000000002</v>
      </c>
      <c r="T1546">
        <v>-9.1096040000000003E-2</v>
      </c>
      <c r="U1546">
        <v>-3.433228E-2</v>
      </c>
      <c r="V1546">
        <v>-6.6771289999999997E-2</v>
      </c>
      <c r="W1546">
        <v>0.1422969</v>
      </c>
      <c r="X1546">
        <v>0.98756929999999998</v>
      </c>
      <c r="Y1546">
        <v>1.944578E-3</v>
      </c>
      <c r="Z1546">
        <v>2.4994150000000001E-4</v>
      </c>
      <c r="AA1546">
        <v>0.9999981</v>
      </c>
      <c r="AB1546">
        <v>30</v>
      </c>
      <c r="AC1546">
        <v>36.841999999999899</v>
      </c>
      <c r="AD1546">
        <v>-1.1106369536980001</v>
      </c>
      <c r="AE1546">
        <v>-0.41640000000000998</v>
      </c>
      <c r="AF1546">
        <v>7.2547595545570803E-2</v>
      </c>
      <c r="AG1546">
        <v>-1.1106369536980001</v>
      </c>
      <c r="AH1546">
        <v>36.810832908186001</v>
      </c>
      <c r="AI1546">
        <v>91.728170290243995</v>
      </c>
      <c r="AJ1546">
        <v>89.887080369323101</v>
      </c>
      <c r="AK1546">
        <v>36.827655328447499</v>
      </c>
      <c r="AL1546">
        <v>81.8192199063608</v>
      </c>
      <c r="AM1546">
        <v>93.867981204433406</v>
      </c>
      <c r="AN1546">
        <v>0.99999996761018095</v>
      </c>
    </row>
    <row r="1547" spans="1:40" x14ac:dyDescent="0.3">
      <c r="A1547" t="str">
        <f>"20200111150818538"</f>
        <v>20200111150818538</v>
      </c>
      <c r="B1547" t="str">
        <f>"1578726498534126"</f>
        <v>1578726498534126</v>
      </c>
      <c r="C1547" t="s">
        <v>40</v>
      </c>
      <c r="D1547">
        <v>5.3360779999999997</v>
      </c>
      <c r="E1547">
        <v>0.52989419999999898</v>
      </c>
      <c r="F1547" t="s">
        <v>55</v>
      </c>
      <c r="G1547">
        <v>-320.1259</v>
      </c>
      <c r="H1547" s="1">
        <v>-1.469766E-6</v>
      </c>
      <c r="I1547">
        <v>213.17150000000001</v>
      </c>
      <c r="J1547">
        <v>-351.3913</v>
      </c>
      <c r="K1547">
        <v>1.1106389999999999</v>
      </c>
      <c r="L1547">
        <v>213.77019999999999</v>
      </c>
      <c r="M1547">
        <v>0.9999036</v>
      </c>
      <c r="N1547">
        <v>0</v>
      </c>
      <c r="O1547">
        <v>-8.605438E-3</v>
      </c>
      <c r="P1547">
        <v>0.98963829999999997</v>
      </c>
      <c r="Q1547">
        <v>0.13160539999999901</v>
      </c>
      <c r="R1547">
        <v>5.7411820000000002E-2</v>
      </c>
      <c r="S1547">
        <v>3.049042</v>
      </c>
      <c r="T1547">
        <v>-0.1073571</v>
      </c>
      <c r="U1547">
        <v>-5.8044430000000001E-2</v>
      </c>
      <c r="V1547">
        <v>-6.6133849999999994E-2</v>
      </c>
      <c r="W1547">
        <v>0.14227799999999999</v>
      </c>
      <c r="X1547">
        <v>0.98761489999999996</v>
      </c>
      <c r="Y1547">
        <v>1.0427270000000001E-2</v>
      </c>
      <c r="Z1547">
        <v>1.19387E-4</v>
      </c>
      <c r="AA1547">
        <v>0.99994559999999999</v>
      </c>
      <c r="AB1547">
        <v>30</v>
      </c>
      <c r="AC1547">
        <v>31.2654</v>
      </c>
      <c r="AD1547">
        <v>-1.1106404697659999</v>
      </c>
      <c r="AE1547">
        <v>-0.59869999999997903</v>
      </c>
      <c r="AF1547">
        <v>0.32919414094634097</v>
      </c>
      <c r="AG1547">
        <v>-1.1106404697659999</v>
      </c>
      <c r="AH1547">
        <v>31.230000411343202</v>
      </c>
      <c r="AI1547">
        <v>92.036652996420301</v>
      </c>
      <c r="AJ1547">
        <v>89.396069928313693</v>
      </c>
      <c r="AK1547">
        <v>31.251477032742201</v>
      </c>
      <c r="AL1547">
        <v>81.820313807977399</v>
      </c>
      <c r="AM1547">
        <v>93.830989196748305</v>
      </c>
      <c r="AN1547">
        <v>0.99999995305091505</v>
      </c>
    </row>
    <row r="1548" spans="1:40" x14ac:dyDescent="0.3">
      <c r="A1548" t="str">
        <f>"20200111150818560"</f>
        <v>20200111150818560</v>
      </c>
      <c r="B1548" t="str">
        <f>"1578726498554622"</f>
        <v>1578726498554622</v>
      </c>
      <c r="C1548" t="s">
        <v>40</v>
      </c>
      <c r="D1548">
        <v>5.3487010000000001</v>
      </c>
      <c r="E1548">
        <v>0.5310009</v>
      </c>
      <c r="F1548" t="s">
        <v>55</v>
      </c>
      <c r="G1548">
        <v>-322.1293</v>
      </c>
      <c r="H1548" s="1">
        <v>-4.0367179999999998E-7</v>
      </c>
      <c r="I1548">
        <v>213.09049999999999</v>
      </c>
      <c r="J1548">
        <v>-351.09300000000002</v>
      </c>
      <c r="K1548">
        <v>1.1106469999999999</v>
      </c>
      <c r="L1548">
        <v>213.76840000000001</v>
      </c>
      <c r="M1548">
        <v>0.99990999999999997</v>
      </c>
      <c r="N1548">
        <v>0</v>
      </c>
      <c r="O1548">
        <v>-7.8269080000000005E-3</v>
      </c>
      <c r="P1548">
        <v>0.98957090000000003</v>
      </c>
      <c r="Q1548">
        <v>0.13207849999999999</v>
      </c>
      <c r="R1548">
        <v>5.7485429999999997E-2</v>
      </c>
      <c r="S1548">
        <v>3.0509029999999999</v>
      </c>
      <c r="T1548">
        <v>-0.11579730000000001</v>
      </c>
      <c r="U1548">
        <v>-7.0861820000000006E-2</v>
      </c>
      <c r="V1548">
        <v>-6.5438430000000006E-2</v>
      </c>
      <c r="W1548">
        <v>0.1427543</v>
      </c>
      <c r="X1548">
        <v>0.98759249999999998</v>
      </c>
      <c r="Y1548">
        <v>1.5388829999999999E-2</v>
      </c>
      <c r="Z1548" s="1">
        <v>5.0349340000000004E-6</v>
      </c>
      <c r="AA1548">
        <v>0.99988160000000004</v>
      </c>
      <c r="AB1548">
        <v>30</v>
      </c>
      <c r="AC1548">
        <v>28.963699999999999</v>
      </c>
      <c r="AD1548">
        <v>-1.1106474036717999</v>
      </c>
      <c r="AE1548">
        <v>-0.67790000000002204</v>
      </c>
      <c r="AF1548">
        <v>0.45050748156234099</v>
      </c>
      <c r="AG1548">
        <v>-1.1106474036717999</v>
      </c>
      <c r="AH1548">
        <v>28.925609097719299</v>
      </c>
      <c r="AI1548">
        <v>92.198621236097495</v>
      </c>
      <c r="AJ1548">
        <v>89.107707967242803</v>
      </c>
      <c r="AK1548">
        <v>28.950429294231299</v>
      </c>
      <c r="AL1548">
        <v>81.792742466106603</v>
      </c>
      <c r="AM1548">
        <v>93.790908848332506</v>
      </c>
      <c r="AN1548">
        <v>0.99999996217280096</v>
      </c>
    </row>
    <row r="1549" spans="1:40" x14ac:dyDescent="0.3">
      <c r="A1549" t="str">
        <f>"20200111150818583"</f>
        <v>20200111150818583</v>
      </c>
      <c r="B1549" t="str">
        <f>"1578726498574145"</f>
        <v>1578726498574145</v>
      </c>
      <c r="C1549" t="s">
        <v>40</v>
      </c>
      <c r="D1549">
        <v>5.2953239999999999</v>
      </c>
      <c r="E1549">
        <v>0.53243050000000003</v>
      </c>
      <c r="F1549" t="s">
        <v>55</v>
      </c>
      <c r="G1549">
        <v>-321.14519999999999</v>
      </c>
      <c r="H1549" s="1">
        <v>-9.2735739999999995E-7</v>
      </c>
      <c r="I1549">
        <v>212.98849999999999</v>
      </c>
      <c r="J1549">
        <v>-350.78320000000002</v>
      </c>
      <c r="K1549">
        <v>1.1106480000000001</v>
      </c>
      <c r="L1549">
        <v>213.76689999999999</v>
      </c>
      <c r="M1549">
        <v>0.99991600000000003</v>
      </c>
      <c r="N1549">
        <v>0</v>
      </c>
      <c r="O1549">
        <v>-7.0230029999999999E-3</v>
      </c>
      <c r="P1549">
        <v>0.98954209999999998</v>
      </c>
      <c r="Q1549">
        <v>0.13237409999999999</v>
      </c>
      <c r="R1549">
        <v>5.7303890000000003E-2</v>
      </c>
      <c r="S1549">
        <v>3.0512999999999999</v>
      </c>
      <c r="T1549">
        <v>-0.1131611</v>
      </c>
      <c r="U1549">
        <v>-7.9467769999999993E-2</v>
      </c>
      <c r="V1549">
        <v>-6.4461249999999998E-2</v>
      </c>
      <c r="W1549">
        <v>0.1430535</v>
      </c>
      <c r="X1549">
        <v>0.98761350000000003</v>
      </c>
      <c r="Y1549">
        <v>1.9005169999999998E-2</v>
      </c>
      <c r="Z1549" s="1">
        <v>-9.190314E-5</v>
      </c>
      <c r="AA1549">
        <v>0.99981940000000002</v>
      </c>
      <c r="AB1549">
        <v>30</v>
      </c>
      <c r="AC1549">
        <v>29.638000000000002</v>
      </c>
      <c r="AD1549">
        <v>-1.1106489273573901</v>
      </c>
      <c r="AE1549">
        <v>-0.77840000000000398</v>
      </c>
      <c r="AF1549">
        <v>0.56942160657707497</v>
      </c>
      <c r="AG1549">
        <v>-1.1106489273573901</v>
      </c>
      <c r="AH1549">
        <v>29.601196107058598</v>
      </c>
      <c r="AI1549">
        <v>92.148355943645399</v>
      </c>
      <c r="AJ1549">
        <v>88.897969144619196</v>
      </c>
      <c r="AK1549">
        <v>29.627497244526399</v>
      </c>
      <c r="AL1549">
        <v>81.775422037381304</v>
      </c>
      <c r="AM1549">
        <v>93.7343821220705</v>
      </c>
      <c r="AN1549">
        <v>0.99999999099803105</v>
      </c>
    </row>
    <row r="1550" spans="1:40" x14ac:dyDescent="0.3">
      <c r="A1550" t="str">
        <f>"20200111150818616"</f>
        <v>20200111150818616</v>
      </c>
      <c r="B1550" t="str">
        <f>"1578726498614158"</f>
        <v>1578726498614158</v>
      </c>
      <c r="C1550" t="s">
        <v>40</v>
      </c>
      <c r="D1550">
        <v>5.2163659999999998</v>
      </c>
      <c r="E1550">
        <v>0.53486239999999996</v>
      </c>
      <c r="F1550" t="s">
        <v>55</v>
      </c>
      <c r="G1550">
        <v>-322.39690000000002</v>
      </c>
      <c r="H1550" s="1">
        <v>-2.6127969999999999E-7</v>
      </c>
      <c r="I1550">
        <v>212.91569999999999</v>
      </c>
      <c r="J1550">
        <v>-350.35019999999997</v>
      </c>
      <c r="K1550">
        <v>1.1106510000000001</v>
      </c>
      <c r="L1550">
        <v>213.76509999999999</v>
      </c>
      <c r="M1550">
        <v>0.99992320000000001</v>
      </c>
      <c r="N1550">
        <v>0</v>
      </c>
      <c r="O1550">
        <v>-5.9077840000000001E-3</v>
      </c>
      <c r="P1550">
        <v>0.98941800000000002</v>
      </c>
      <c r="Q1550">
        <v>0.13298740000000001</v>
      </c>
      <c r="R1550">
        <v>5.8022589999999999E-2</v>
      </c>
      <c r="S1550">
        <v>3.0529480000000002</v>
      </c>
      <c r="T1550">
        <v>-0.11945020000000001</v>
      </c>
      <c r="U1550">
        <v>-9.1537480000000004E-2</v>
      </c>
      <c r="V1550">
        <v>-6.4075389999999996E-2</v>
      </c>
      <c r="W1550">
        <v>0.143674</v>
      </c>
      <c r="X1550">
        <v>0.98754850000000005</v>
      </c>
      <c r="Y1550">
        <v>2.404997E-2</v>
      </c>
      <c r="Z1550">
        <v>-2.391898E-4</v>
      </c>
      <c r="AA1550">
        <v>0.99971069999999995</v>
      </c>
      <c r="AB1550">
        <v>30</v>
      </c>
      <c r="AC1550">
        <v>27.953299999999899</v>
      </c>
      <c r="AD1550">
        <v>-1.1106512612796999</v>
      </c>
      <c r="AE1550">
        <v>-0.84940000000000204</v>
      </c>
      <c r="AF1550">
        <v>0.68315583782872102</v>
      </c>
      <c r="AG1550">
        <v>-1.1106512612796999</v>
      </c>
      <c r="AH1550">
        <v>27.913804673005099</v>
      </c>
      <c r="AI1550">
        <v>92.277835718513103</v>
      </c>
      <c r="AJ1550">
        <v>88.598036540097795</v>
      </c>
      <c r="AK1550">
        <v>27.9442434044227</v>
      </c>
      <c r="AL1550">
        <v>81.739498637837301</v>
      </c>
      <c r="AM1550">
        <v>93.712334735969094</v>
      </c>
      <c r="AN1550">
        <v>0.99999995686595</v>
      </c>
    </row>
    <row r="1551" spans="1:40" x14ac:dyDescent="0.3">
      <c r="A1551" t="str">
        <f>"20200111150818637"</f>
        <v>20200111150818637</v>
      </c>
      <c r="B1551" t="str">
        <f>"1578726498634655"</f>
        <v>1578726498634655</v>
      </c>
      <c r="C1551" t="s">
        <v>40</v>
      </c>
      <c r="D1551">
        <v>5.2275999999999998</v>
      </c>
      <c r="E1551">
        <v>0.5354255</v>
      </c>
      <c r="F1551" t="s">
        <v>55</v>
      </c>
      <c r="G1551">
        <v>-323.82749999999999</v>
      </c>
      <c r="H1551" s="1">
        <v>5.0000469999999998E-7</v>
      </c>
      <c r="I1551">
        <v>212.82259999999999</v>
      </c>
      <c r="J1551">
        <v>-350.07220000000001</v>
      </c>
      <c r="K1551">
        <v>1.110654</v>
      </c>
      <c r="L1551">
        <v>213.76419999999999</v>
      </c>
      <c r="M1551">
        <v>0.99992700000000001</v>
      </c>
      <c r="N1551">
        <v>0</v>
      </c>
      <c r="O1551">
        <v>-5.199558E-3</v>
      </c>
      <c r="P1551">
        <v>0.98930929999999995</v>
      </c>
      <c r="Q1551">
        <v>0.133267</v>
      </c>
      <c r="R1551">
        <v>5.9220719999999998E-2</v>
      </c>
      <c r="S1551">
        <v>3.0556640000000002</v>
      </c>
      <c r="T1551">
        <v>-0.1279575</v>
      </c>
      <c r="U1551">
        <v>-0.1085815</v>
      </c>
      <c r="V1551">
        <v>-6.4571329999999996E-2</v>
      </c>
      <c r="W1551">
        <v>0.14396239999999999</v>
      </c>
      <c r="X1551">
        <v>0.98747430000000003</v>
      </c>
      <c r="Y1551">
        <v>3.0293069999999998E-2</v>
      </c>
      <c r="Z1551">
        <v>-4.162139E-4</v>
      </c>
      <c r="AA1551">
        <v>0.99954100000000001</v>
      </c>
      <c r="AB1551">
        <v>30</v>
      </c>
      <c r="AC1551">
        <v>26.244700000000002</v>
      </c>
      <c r="AD1551">
        <v>-1.1106534999952999</v>
      </c>
      <c r="AE1551">
        <v>-0.941599999999994</v>
      </c>
      <c r="AF1551">
        <v>0.80368084255713101</v>
      </c>
      <c r="AG1551">
        <v>-1.1106534999952999</v>
      </c>
      <c r="AH1551">
        <v>26.202375591340601</v>
      </c>
      <c r="AI1551">
        <v>92.426033037887194</v>
      </c>
      <c r="AJ1551">
        <v>88.243171188196101</v>
      </c>
      <c r="AK1551">
        <v>26.238215273212202</v>
      </c>
      <c r="AL1551">
        <v>81.722801816926193</v>
      </c>
      <c r="AM1551">
        <v>93.741267026233601</v>
      </c>
      <c r="AN1551">
        <v>1.0000000612161</v>
      </c>
    </row>
    <row r="1552" spans="1:40" x14ac:dyDescent="0.3">
      <c r="A1552" t="str">
        <f>"20200111150818661"</f>
        <v>20200111150818661</v>
      </c>
      <c r="B1552" t="str">
        <f>"1578726498654175"</f>
        <v>1578726498654175</v>
      </c>
      <c r="C1552" t="s">
        <v>40</v>
      </c>
      <c r="D1552">
        <v>5.2161</v>
      </c>
      <c r="E1552">
        <v>0.53588630000000004</v>
      </c>
      <c r="F1552" t="s">
        <v>55</v>
      </c>
      <c r="G1552">
        <v>-323.6909</v>
      </c>
      <c r="H1552" s="1">
        <v>4.2734379999999998E-7</v>
      </c>
      <c r="I1552">
        <v>212.82040000000001</v>
      </c>
      <c r="J1552">
        <v>-349.76159999999999</v>
      </c>
      <c r="K1552">
        <v>1.1106450000000001</v>
      </c>
      <c r="L1552">
        <v>213.76339999999999</v>
      </c>
      <c r="M1552">
        <v>0.9999306</v>
      </c>
      <c r="N1552">
        <v>0</v>
      </c>
      <c r="O1552">
        <v>-4.4192490000000001E-3</v>
      </c>
      <c r="P1552">
        <v>0.98922980000000005</v>
      </c>
      <c r="Q1552">
        <v>0.13336519999999999</v>
      </c>
      <c r="R1552">
        <v>6.031806E-2</v>
      </c>
      <c r="S1552">
        <v>3.0562740000000002</v>
      </c>
      <c r="T1552">
        <v>-0.12866929999999999</v>
      </c>
      <c r="U1552">
        <v>-0.1093445</v>
      </c>
      <c r="V1552">
        <v>-6.4894229999999997E-2</v>
      </c>
      <c r="W1552">
        <v>0.14407229999999999</v>
      </c>
      <c r="X1552">
        <v>0.98743700000000001</v>
      </c>
      <c r="Y1552">
        <v>3.1313349999999997E-2</v>
      </c>
      <c r="Z1552">
        <v>-4.7272850000000001E-4</v>
      </c>
      <c r="AA1552">
        <v>0.99950950000000005</v>
      </c>
      <c r="AB1552">
        <v>30</v>
      </c>
      <c r="AC1552">
        <v>26.070699999999899</v>
      </c>
      <c r="AD1552">
        <v>-1.1106445726562</v>
      </c>
      <c r="AE1552">
        <v>-0.94299999999998296</v>
      </c>
      <c r="AF1552">
        <v>0.826273387641002</v>
      </c>
      <c r="AG1552">
        <v>-1.1106445726562</v>
      </c>
      <c r="AH1552">
        <v>26.027438371525299</v>
      </c>
      <c r="AI1552">
        <v>92.442218057354793</v>
      </c>
      <c r="AJ1552">
        <v>88.181684934029093</v>
      </c>
      <c r="AK1552">
        <v>26.0642246625799</v>
      </c>
      <c r="AL1552">
        <v>81.716437822462197</v>
      </c>
      <c r="AM1552">
        <v>93.760063962585093</v>
      </c>
      <c r="AN1552">
        <v>0.99999995884179005</v>
      </c>
    </row>
    <row r="1553" spans="1:40" x14ac:dyDescent="0.3">
      <c r="A1553" t="str">
        <f>"20200111150818683"</f>
        <v>20200111150818683</v>
      </c>
      <c r="B1553" t="str">
        <f>"1578726498673694"</f>
        <v>1578726498673694</v>
      </c>
      <c r="C1553" t="s">
        <v>40</v>
      </c>
      <c r="D1553">
        <v>5.1981659999999996</v>
      </c>
      <c r="E1553">
        <v>0.53615429999999997</v>
      </c>
      <c r="F1553" t="s">
        <v>55</v>
      </c>
      <c r="G1553">
        <v>-323.79300000000001</v>
      </c>
      <c r="H1553" s="1">
        <v>4.8164559999999905E-7</v>
      </c>
      <c r="I1553">
        <v>212.8347</v>
      </c>
      <c r="J1553">
        <v>-349.45049999999998</v>
      </c>
      <c r="K1553">
        <v>1.110635</v>
      </c>
      <c r="L1553">
        <v>213.7629</v>
      </c>
      <c r="M1553">
        <v>0.99993359999999998</v>
      </c>
      <c r="N1553">
        <v>0</v>
      </c>
      <c r="O1553">
        <v>-3.651353E-3</v>
      </c>
      <c r="P1553">
        <v>0.98918289999999998</v>
      </c>
      <c r="Q1553">
        <v>0.13326660000000001</v>
      </c>
      <c r="R1553">
        <v>6.1298760000000001E-2</v>
      </c>
      <c r="S1553">
        <v>3.056915</v>
      </c>
      <c r="T1553">
        <v>-0.1307402</v>
      </c>
      <c r="U1553">
        <v>-0.1093292</v>
      </c>
      <c r="V1553">
        <v>-6.5113069999999995E-2</v>
      </c>
      <c r="W1553">
        <v>0.143986</v>
      </c>
      <c r="X1553">
        <v>0.98743519999999896</v>
      </c>
      <c r="Y1553">
        <v>3.2066289999999997E-2</v>
      </c>
      <c r="Z1553">
        <v>-5.2913560000000001E-4</v>
      </c>
      <c r="AA1553">
        <v>0.99948559999999997</v>
      </c>
      <c r="AB1553">
        <v>30</v>
      </c>
      <c r="AC1553">
        <v>25.657499999999899</v>
      </c>
      <c r="AD1553">
        <v>-1.1106345183544</v>
      </c>
      <c r="AE1553">
        <v>-0.92820000000000402</v>
      </c>
      <c r="AF1553">
        <v>0.83294492779479601</v>
      </c>
      <c r="AG1553">
        <v>-1.1106345183544</v>
      </c>
      <c r="AH1553">
        <v>25.6127888712812</v>
      </c>
      <c r="AI1553">
        <v>92.481622420778393</v>
      </c>
      <c r="AJ1553">
        <v>88.137359599669097</v>
      </c>
      <c r="AK1553">
        <v>25.650385183285799</v>
      </c>
      <c r="AL1553">
        <v>81.721434699610697</v>
      </c>
      <c r="AM1553">
        <v>93.772714162833495</v>
      </c>
      <c r="AN1553">
        <v>0.99999997713993205</v>
      </c>
    </row>
    <row r="1554" spans="1:40" x14ac:dyDescent="0.3">
      <c r="A1554" t="str">
        <f>"20200111150818705"</f>
        <v>20200111150818705</v>
      </c>
      <c r="B1554" t="str">
        <f>"1578726498694193"</f>
        <v>1578726498694193</v>
      </c>
      <c r="C1554" t="s">
        <v>40</v>
      </c>
      <c r="D1554">
        <v>5.0841820000000002</v>
      </c>
      <c r="E1554">
        <v>0.53696049999999995</v>
      </c>
      <c r="F1554" t="s">
        <v>55</v>
      </c>
      <c r="G1554">
        <v>-323.7645</v>
      </c>
      <c r="H1554" s="1">
        <v>4.6647410000000002E-7</v>
      </c>
      <c r="I1554">
        <v>212.8528</v>
      </c>
      <c r="J1554">
        <v>-349.16969999999998</v>
      </c>
      <c r="K1554">
        <v>1.110625</v>
      </c>
      <c r="L1554">
        <v>213.76259999999999</v>
      </c>
      <c r="M1554">
        <v>0.99993569999999998</v>
      </c>
      <c r="N1554">
        <v>0</v>
      </c>
      <c r="O1554">
        <v>-2.9667610000000001E-3</v>
      </c>
      <c r="P1554">
        <v>0.98922509999999997</v>
      </c>
      <c r="Q1554">
        <v>0.1328655</v>
      </c>
      <c r="R1554">
        <v>6.1486180000000001E-2</v>
      </c>
      <c r="S1554">
        <v>3.0573429999999999</v>
      </c>
      <c r="T1554">
        <v>-0.132195799999999</v>
      </c>
      <c r="U1554">
        <v>-0.1083221</v>
      </c>
      <c r="V1554">
        <v>-6.4619999999999997E-2</v>
      </c>
      <c r="W1554">
        <v>0.14359710000000001</v>
      </c>
      <c r="X1554">
        <v>0.98752419999999996</v>
      </c>
      <c r="Y1554">
        <v>3.2415239999999998E-2</v>
      </c>
      <c r="Z1554">
        <v>-5.7206629999999997E-4</v>
      </c>
      <c r="AA1554">
        <v>0.99947430000000004</v>
      </c>
      <c r="AB1554">
        <v>30</v>
      </c>
      <c r="AC1554">
        <v>25.405199999999901</v>
      </c>
      <c r="AD1554">
        <v>-1.1106245335259</v>
      </c>
      <c r="AE1554">
        <v>-0.90979999999998995</v>
      </c>
      <c r="AF1554">
        <v>0.832830718450975</v>
      </c>
      <c r="AG1554">
        <v>-1.1106245335259</v>
      </c>
      <c r="AH1554">
        <v>25.3593846025774</v>
      </c>
      <c r="AI1554">
        <v>92.506339934689393</v>
      </c>
      <c r="AJ1554">
        <v>88.119018189098298</v>
      </c>
      <c r="AK1554">
        <v>25.397351855685798</v>
      </c>
      <c r="AL1554">
        <v>81.743950864070399</v>
      </c>
      <c r="AM1554">
        <v>93.743890299531202</v>
      </c>
      <c r="AN1554">
        <v>0.99999995855702395</v>
      </c>
    </row>
    <row r="1555" spans="1:40" x14ac:dyDescent="0.3">
      <c r="A1555" t="str">
        <f>"20200111150818726"</f>
        <v>20200111150818726</v>
      </c>
      <c r="B1555" t="str">
        <f>"1578726498723910"</f>
        <v>1578726498723910</v>
      </c>
      <c r="C1555" t="s">
        <v>40</v>
      </c>
      <c r="D1555">
        <v>5.0973100000000002</v>
      </c>
      <c r="E1555">
        <v>0.53780600000000001</v>
      </c>
      <c r="F1555" t="s">
        <v>55</v>
      </c>
      <c r="G1555">
        <v>-324.6114</v>
      </c>
      <c r="H1555" s="1">
        <v>9.1716499999999997E-7</v>
      </c>
      <c r="I1555">
        <v>212.84739999999999</v>
      </c>
      <c r="J1555">
        <v>-348.8809</v>
      </c>
      <c r="K1555">
        <v>1.1106210000000001</v>
      </c>
      <c r="L1555">
        <v>213.76249999999999</v>
      </c>
      <c r="M1555">
        <v>0.99993739999999998</v>
      </c>
      <c r="N1555">
        <v>0</v>
      </c>
      <c r="O1555">
        <v>-2.2695160000000001E-3</v>
      </c>
      <c r="P1555">
        <v>0.98924259999999997</v>
      </c>
      <c r="Q1555">
        <v>0.13249279999999999</v>
      </c>
      <c r="R1555">
        <v>6.2008109999999998E-2</v>
      </c>
      <c r="S1555">
        <v>3.0583499999999999</v>
      </c>
      <c r="T1555">
        <v>-0.1383104</v>
      </c>
      <c r="U1555">
        <v>-0.113967899999999</v>
      </c>
      <c r="V1555">
        <v>-6.445012E-2</v>
      </c>
      <c r="W1555">
        <v>0.14323610000000001</v>
      </c>
      <c r="X1555">
        <v>0.98758769999999996</v>
      </c>
      <c r="Y1555">
        <v>3.4937139999999998E-2</v>
      </c>
      <c r="Z1555">
        <v>-6.86766E-4</v>
      </c>
      <c r="AA1555">
        <v>0.99938930000000004</v>
      </c>
      <c r="AB1555">
        <v>30</v>
      </c>
      <c r="AC1555">
        <v>24.269499999999901</v>
      </c>
      <c r="AD1555">
        <v>-1.1106200828349999</v>
      </c>
      <c r="AE1555">
        <v>-0.91509999999999503</v>
      </c>
      <c r="AF1555">
        <v>0.85821962241710903</v>
      </c>
      <c r="AG1555">
        <v>-1.1106200828349999</v>
      </c>
      <c r="AH1555">
        <v>24.2208641498842</v>
      </c>
      <c r="AI1555">
        <v>92.623749337183</v>
      </c>
      <c r="AJ1555">
        <v>87.970683507918096</v>
      </c>
      <c r="AK1555">
        <v>24.261497852685199</v>
      </c>
      <c r="AL1555">
        <v>81.764850473150105</v>
      </c>
      <c r="AM1555">
        <v>93.733836425969201</v>
      </c>
      <c r="AN1555">
        <v>0.99999993175125401</v>
      </c>
    </row>
    <row r="1556" spans="1:40" x14ac:dyDescent="0.3">
      <c r="A1556" t="str">
        <f>"20200111150818751"</f>
        <v>20200111150818751</v>
      </c>
      <c r="B1556" t="str">
        <f>"1578726498744406"</f>
        <v>1578726498744406</v>
      </c>
      <c r="C1556" t="s">
        <v>40</v>
      </c>
      <c r="D1556">
        <v>5.120044</v>
      </c>
      <c r="E1556">
        <v>0.53847990000000001</v>
      </c>
      <c r="F1556" t="s">
        <v>55</v>
      </c>
      <c r="G1556">
        <v>-325.03359999999998</v>
      </c>
      <c r="H1556" s="1">
        <v>1.141859E-6</v>
      </c>
      <c r="I1556">
        <v>212.83410000000001</v>
      </c>
      <c r="J1556">
        <v>-348.56209999999999</v>
      </c>
      <c r="K1556">
        <v>1.110614</v>
      </c>
      <c r="L1556">
        <v>213.76259999999999</v>
      </c>
      <c r="M1556">
        <v>0.99993880000000002</v>
      </c>
      <c r="N1556">
        <v>0</v>
      </c>
      <c r="O1556">
        <v>-1.5064589999999999E-3</v>
      </c>
      <c r="P1556">
        <v>0.98917980000000005</v>
      </c>
      <c r="Q1556">
        <v>0.1330122</v>
      </c>
      <c r="R1556">
        <v>6.1896260000000002E-2</v>
      </c>
      <c r="S1556">
        <v>3.0592039999999998</v>
      </c>
      <c r="T1556">
        <v>-0.14247370000000001</v>
      </c>
      <c r="U1556">
        <v>-0.1190948</v>
      </c>
      <c r="V1556">
        <v>-6.3582420000000001E-2</v>
      </c>
      <c r="W1556">
        <v>0.14376700000000001</v>
      </c>
      <c r="X1556">
        <v>0.98756690000000003</v>
      </c>
      <c r="Y1556">
        <v>3.7356300000000002E-2</v>
      </c>
      <c r="Z1556">
        <v>-7.9898350000000003E-4</v>
      </c>
      <c r="AA1556">
        <v>0.99930169999999996</v>
      </c>
      <c r="AB1556">
        <v>30</v>
      </c>
      <c r="AC1556">
        <v>23.528500000000001</v>
      </c>
      <c r="AD1556">
        <v>-1.110612858141</v>
      </c>
      <c r="AE1556">
        <v>-0.928499999999985</v>
      </c>
      <c r="AF1556">
        <v>0.89106978087939104</v>
      </c>
      <c r="AG1556">
        <v>-1.110612858141</v>
      </c>
      <c r="AH1556">
        <v>23.477642662744501</v>
      </c>
      <c r="AI1556">
        <v>92.706419367679203</v>
      </c>
      <c r="AJ1556">
        <v>87.826440889275204</v>
      </c>
      <c r="AK1556">
        <v>23.520781689276099</v>
      </c>
      <c r="AL1556">
        <v>81.734114824666705</v>
      </c>
      <c r="AM1556">
        <v>93.6837840456447</v>
      </c>
      <c r="AN1556">
        <v>1.0000000281988299</v>
      </c>
    </row>
    <row r="1557" spans="1:40" x14ac:dyDescent="0.3">
      <c r="A1557" t="str">
        <f>"20200111150818796"</f>
        <v>20200111150818796</v>
      </c>
      <c r="B1557" t="str">
        <f>"1578726498784422"</f>
        <v>1578726498784422</v>
      </c>
      <c r="C1557" t="s">
        <v>40</v>
      </c>
      <c r="D1557">
        <v>5.2239149999999999</v>
      </c>
      <c r="E1557">
        <v>0.53763899999999998</v>
      </c>
      <c r="F1557" t="s">
        <v>55</v>
      </c>
      <c r="G1557">
        <v>-325.18020000000001</v>
      </c>
      <c r="H1557" s="1">
        <v>1.21984E-6</v>
      </c>
      <c r="I1557">
        <v>212.8083</v>
      </c>
      <c r="J1557">
        <v>-347.96230000000003</v>
      </c>
      <c r="K1557">
        <v>1.1106130000000001</v>
      </c>
      <c r="L1557">
        <v>213.76339999999999</v>
      </c>
      <c r="M1557">
        <v>0.99993969999999999</v>
      </c>
      <c r="N1557">
        <v>0</v>
      </c>
      <c r="O1557" s="1">
        <v>-8.1362519999999994E-5</v>
      </c>
      <c r="P1557">
        <v>0.98915889999999995</v>
      </c>
      <c r="Q1557">
        <v>0.13250599999999901</v>
      </c>
      <c r="R1557">
        <v>6.330094E-2</v>
      </c>
      <c r="S1557">
        <v>3.060181</v>
      </c>
      <c r="T1557">
        <v>-0.14535490000000001</v>
      </c>
      <c r="U1557">
        <v>-0.1248932</v>
      </c>
      <c r="V1557">
        <v>-6.3575199999999998E-2</v>
      </c>
      <c r="W1557">
        <v>0.14327899999999999</v>
      </c>
      <c r="X1557">
        <v>0.98763820000000002</v>
      </c>
      <c r="Y1557">
        <v>4.0651449999999999E-2</v>
      </c>
      <c r="Z1557">
        <v>-9.6064179999999998E-4</v>
      </c>
      <c r="AA1557">
        <v>0.99917290000000003</v>
      </c>
      <c r="AB1557">
        <v>30</v>
      </c>
      <c r="AC1557">
        <v>22.7821</v>
      </c>
      <c r="AD1557">
        <v>-1.11061178016</v>
      </c>
      <c r="AE1557">
        <v>-0.95509999999998696</v>
      </c>
      <c r="AF1557">
        <v>0.950990216939546</v>
      </c>
      <c r="AG1557">
        <v>-1.11061178016</v>
      </c>
      <c r="AH1557">
        <v>22.728258793576401</v>
      </c>
      <c r="AI1557">
        <v>92.795079745306097</v>
      </c>
      <c r="AJ1557">
        <v>87.604041654286505</v>
      </c>
      <c r="AK1557">
        <v>22.7752406948144</v>
      </c>
      <c r="AL1557">
        <v>81.762366984907302</v>
      </c>
      <c r="AM1557">
        <v>93.683101711825003</v>
      </c>
      <c r="AN1557">
        <v>0.99999994599763797</v>
      </c>
    </row>
    <row r="1558" spans="1:40" x14ac:dyDescent="0.3">
      <c r="A1558" t="str">
        <f>"20200111150818817"</f>
        <v>20200111150818817</v>
      </c>
      <c r="B1558" t="str">
        <f>"1578726498814210"</f>
        <v>1578726498814210</v>
      </c>
      <c r="C1558" t="s">
        <v>40</v>
      </c>
      <c r="D1558">
        <v>5.1534089999999999</v>
      </c>
      <c r="E1558">
        <v>0.46396680000000001</v>
      </c>
      <c r="F1558" t="s">
        <v>55</v>
      </c>
      <c r="G1558">
        <v>-324.59460000000001</v>
      </c>
      <c r="H1558" s="1">
        <v>9.0822019999999995E-7</v>
      </c>
      <c r="I1558">
        <v>212.899</v>
      </c>
      <c r="J1558">
        <v>-347.67959999999999</v>
      </c>
      <c r="K1558">
        <v>1.110614</v>
      </c>
      <c r="L1558">
        <v>213.76410000000001</v>
      </c>
      <c r="M1558">
        <v>0.99993960000000004</v>
      </c>
      <c r="N1558">
        <v>0</v>
      </c>
      <c r="O1558">
        <v>5.8900979999999999E-4</v>
      </c>
      <c r="P1558">
        <v>0.9892339</v>
      </c>
      <c r="Q1558">
        <v>0.1324515</v>
      </c>
      <c r="R1558">
        <v>6.2234009999999999E-2</v>
      </c>
      <c r="S1558">
        <v>3.0596009999999998</v>
      </c>
      <c r="T1558">
        <v>-0.1454154</v>
      </c>
      <c r="U1558">
        <v>-0.11317439999999999</v>
      </c>
      <c r="V1558">
        <v>-6.1844780000000002E-2</v>
      </c>
      <c r="W1558">
        <v>0.14323569999999999</v>
      </c>
      <c r="X1558">
        <v>0.98775440000000003</v>
      </c>
      <c r="Y1558">
        <v>3.7510349999999998E-2</v>
      </c>
      <c r="Z1558">
        <v>-9.1855180000000004E-4</v>
      </c>
      <c r="AA1558">
        <v>0.99929579999999996</v>
      </c>
      <c r="AB1558">
        <v>30</v>
      </c>
      <c r="AC1558">
        <v>23.084999999999901</v>
      </c>
      <c r="AD1558">
        <v>-1.1106130917798001</v>
      </c>
      <c r="AE1558">
        <v>-0.86510000000001197</v>
      </c>
      <c r="AF1558">
        <v>0.87667170865602195</v>
      </c>
      <c r="AG1558">
        <v>-1.1106130917798001</v>
      </c>
      <c r="AH1558">
        <v>23.031254270309301</v>
      </c>
      <c r="AI1558">
        <v>92.758783551795801</v>
      </c>
      <c r="AJ1558">
        <v>87.820120859937902</v>
      </c>
      <c r="AK1558">
        <v>23.0746763354988</v>
      </c>
      <c r="AL1558">
        <v>81.764874184937597</v>
      </c>
      <c r="AM1558">
        <v>93.582697685629199</v>
      </c>
      <c r="AN1558">
        <v>0.99999999864354905</v>
      </c>
    </row>
    <row r="1559" spans="1:40" x14ac:dyDescent="0.3">
      <c r="A1559" t="str">
        <f>"20200111150818839"</f>
        <v>20200111150818839</v>
      </c>
      <c r="B1559" t="str">
        <f>"1578726498833730"</f>
        <v>1578726498833730</v>
      </c>
      <c r="C1559" t="s">
        <v>40</v>
      </c>
      <c r="D1559">
        <v>5.1473300000000002</v>
      </c>
      <c r="E1559">
        <v>0.46495690000000001</v>
      </c>
      <c r="F1559" t="s">
        <v>55</v>
      </c>
      <c r="G1559">
        <v>-328.5428</v>
      </c>
      <c r="H1559" s="1">
        <v>3.00928E-6</v>
      </c>
      <c r="I1559">
        <v>216.7422</v>
      </c>
      <c r="J1559">
        <v>-347.38459999999998</v>
      </c>
      <c r="K1559">
        <v>1.1106180000000001</v>
      </c>
      <c r="L1559">
        <v>213.76499999999999</v>
      </c>
      <c r="M1559">
        <v>0.99993869999999896</v>
      </c>
      <c r="N1559">
        <v>0</v>
      </c>
      <c r="O1559">
        <v>1.288892E-3</v>
      </c>
      <c r="P1559">
        <v>0.98919330000000005</v>
      </c>
      <c r="Q1559">
        <v>0.1328059</v>
      </c>
      <c r="R1559">
        <v>6.2121490000000001E-2</v>
      </c>
      <c r="S1559">
        <v>3.0265810000000002</v>
      </c>
      <c r="T1559">
        <v>-0.175649</v>
      </c>
      <c r="U1559">
        <v>0.47100829999999999</v>
      </c>
      <c r="V1559">
        <v>-6.1040829999999997E-2</v>
      </c>
      <c r="W1559">
        <v>0.14359759999999999</v>
      </c>
      <c r="X1559">
        <v>0.98775179999999996</v>
      </c>
      <c r="Y1559">
        <v>-0.1522512</v>
      </c>
      <c r="Z1559">
        <v>4.3136329999999999E-3</v>
      </c>
      <c r="AA1559">
        <v>0.9883324</v>
      </c>
      <c r="AB1559">
        <v>30</v>
      </c>
      <c r="AC1559">
        <v>18.8417999999999</v>
      </c>
      <c r="AD1559">
        <v>-1.11061499072</v>
      </c>
      <c r="AE1559">
        <v>2.9772000000000101</v>
      </c>
      <c r="AF1559">
        <v>-2.9429350927334799</v>
      </c>
      <c r="AG1559">
        <v>-1.11061499072</v>
      </c>
      <c r="AH1559">
        <v>18.781955060763401</v>
      </c>
      <c r="AI1559">
        <v>93.343375253691306</v>
      </c>
      <c r="AJ1559">
        <v>98.905238702393504</v>
      </c>
      <c r="AK1559">
        <v>19.0435335093619</v>
      </c>
      <c r="AL1559">
        <v>81.743921728869793</v>
      </c>
      <c r="AM1559">
        <v>93.536252719767305</v>
      </c>
      <c r="AN1559">
        <v>0.99999993602804205</v>
      </c>
    </row>
    <row r="1560" spans="1:40" x14ac:dyDescent="0.3">
      <c r="A1560" t="str">
        <f>"20200111150818862"</f>
        <v>20200111150818862</v>
      </c>
      <c r="B1560" t="str">
        <f>"1578726498854225"</f>
        <v>1578726498854225</v>
      </c>
      <c r="C1560" t="s">
        <v>40</v>
      </c>
      <c r="D1560">
        <v>5.1123519999999996</v>
      </c>
      <c r="E1560">
        <v>0.4648505</v>
      </c>
      <c r="F1560" t="s">
        <v>55</v>
      </c>
      <c r="G1560">
        <v>-332.02269999999999</v>
      </c>
      <c r="H1560" s="1">
        <v>-5.2536239999999996E-7</v>
      </c>
      <c r="I1560">
        <v>216.10249999999999</v>
      </c>
      <c r="J1560">
        <v>-347.0754</v>
      </c>
      <c r="K1560">
        <v>1.1106149999999999</v>
      </c>
      <c r="L1560">
        <v>213.7662</v>
      </c>
      <c r="M1560">
        <v>0.99993730000000003</v>
      </c>
      <c r="N1560">
        <v>0</v>
      </c>
      <c r="O1560">
        <v>2.0228120000000001E-3</v>
      </c>
      <c r="P1560">
        <v>0.98919000000000001</v>
      </c>
      <c r="Q1560">
        <v>0.13269259999999999</v>
      </c>
      <c r="R1560">
        <v>6.2415859999999997E-2</v>
      </c>
      <c r="S1560">
        <v>3.0332340000000002</v>
      </c>
      <c r="T1560">
        <v>-0.21929460000000001</v>
      </c>
      <c r="U1560">
        <v>0.46154790000000001</v>
      </c>
      <c r="V1560">
        <v>-6.0608919999999997E-2</v>
      </c>
      <c r="W1560">
        <v>0.14349139999999999</v>
      </c>
      <c r="X1560">
        <v>0.9877939</v>
      </c>
      <c r="Y1560">
        <v>-0.14805929999999901</v>
      </c>
      <c r="Z1560">
        <v>5.1694769999999996E-3</v>
      </c>
      <c r="AA1560">
        <v>0.98896499999999998</v>
      </c>
      <c r="AB1560">
        <v>30</v>
      </c>
      <c r="AC1560">
        <v>15.0527</v>
      </c>
      <c r="AD1560">
        <v>-1.1106155253623999</v>
      </c>
      <c r="AE1560">
        <v>2.3362999999999898</v>
      </c>
      <c r="AF1560">
        <v>-2.2936522156076902</v>
      </c>
      <c r="AG1560">
        <v>-1.1106155253623999</v>
      </c>
      <c r="AH1560">
        <v>14.977777957388399</v>
      </c>
      <c r="AI1560">
        <v>94.192079823964605</v>
      </c>
      <c r="AJ1560">
        <v>98.706466842107901</v>
      </c>
      <c r="AK1560">
        <v>15.1930293184792</v>
      </c>
      <c r="AL1560">
        <v>81.750070796638298</v>
      </c>
      <c r="AM1560">
        <v>93.511144605816199</v>
      </c>
      <c r="AN1560">
        <v>1.0000000059673599</v>
      </c>
    </row>
    <row r="1561" spans="1:40" x14ac:dyDescent="0.3">
      <c r="A1561" t="str">
        <f>"20200111150818884"</f>
        <v>20200111150818884</v>
      </c>
      <c r="B1561" t="str">
        <f>"1578726498873745"</f>
        <v>1578726498873745</v>
      </c>
      <c r="C1561" t="s">
        <v>40</v>
      </c>
      <c r="D1561">
        <v>5.1323189999999999</v>
      </c>
      <c r="E1561">
        <v>0.4650803</v>
      </c>
      <c r="F1561" t="s">
        <v>55</v>
      </c>
      <c r="G1561">
        <v>-332.9538</v>
      </c>
      <c r="H1561" s="1">
        <v>-2.1826120000000002E-8</v>
      </c>
      <c r="I1561">
        <v>215.9179</v>
      </c>
      <c r="J1561">
        <v>-346.77550000000002</v>
      </c>
      <c r="K1561">
        <v>1.110616</v>
      </c>
      <c r="L1561">
        <v>213.76759999999999</v>
      </c>
      <c r="M1561">
        <v>0.99993580000000004</v>
      </c>
      <c r="N1561">
        <v>0</v>
      </c>
      <c r="O1561">
        <v>2.734982E-3</v>
      </c>
      <c r="P1561">
        <v>0.98929769999999995</v>
      </c>
      <c r="Q1561">
        <v>0.13184119999999999</v>
      </c>
      <c r="R1561">
        <v>6.2514230000000004E-2</v>
      </c>
      <c r="S1561">
        <v>3.0356139999999998</v>
      </c>
      <c r="T1561">
        <v>-0.2387407</v>
      </c>
      <c r="U1561">
        <v>0.4625244</v>
      </c>
      <c r="V1561">
        <v>-6.0001150000000003E-2</v>
      </c>
      <c r="W1561">
        <v>0.1426481</v>
      </c>
      <c r="X1561">
        <v>0.98795310000000003</v>
      </c>
      <c r="Y1561">
        <v>-0.14748629999999999</v>
      </c>
      <c r="Z1561">
        <v>5.5440929999999999E-3</v>
      </c>
      <c r="AA1561">
        <v>0.9890485</v>
      </c>
      <c r="AB1561">
        <v>30</v>
      </c>
      <c r="AC1561">
        <v>13.8217</v>
      </c>
      <c r="AD1561">
        <v>-1.1106160218261201</v>
      </c>
      <c r="AE1561">
        <v>2.1503000000000099</v>
      </c>
      <c r="AF1561">
        <v>-2.0992537966303102</v>
      </c>
      <c r="AG1561">
        <v>-1.1106160218261201</v>
      </c>
      <c r="AH1561">
        <v>13.740906502904499</v>
      </c>
      <c r="AI1561">
        <v>94.568142343687697</v>
      </c>
      <c r="AJ1561">
        <v>98.686145294355498</v>
      </c>
      <c r="AK1561">
        <v>13.9446350247027</v>
      </c>
      <c r="AL1561">
        <v>81.798890285503106</v>
      </c>
      <c r="AM1561">
        <v>93.475463796748699</v>
      </c>
      <c r="AN1561">
        <v>0.99999997311726996</v>
      </c>
    </row>
    <row r="1562" spans="1:40" x14ac:dyDescent="0.3">
      <c r="A1562" t="str">
        <f>"20200111150818906"</f>
        <v>20200111150818906</v>
      </c>
      <c r="B1562" t="str">
        <f>"1578726498894252"</f>
        <v>1578726498894252</v>
      </c>
      <c r="C1562" t="s">
        <v>40</v>
      </c>
      <c r="D1562">
        <v>5.1312989999999896</v>
      </c>
      <c r="E1562">
        <v>0.46549220000000002</v>
      </c>
      <c r="F1562" t="s">
        <v>55</v>
      </c>
      <c r="G1562">
        <v>-333.18699999999899</v>
      </c>
      <c r="H1562" s="1">
        <v>1.0601830000000001E-7</v>
      </c>
      <c r="I1562">
        <v>215.83170000000001</v>
      </c>
      <c r="J1562">
        <v>-346.49369999999999</v>
      </c>
      <c r="K1562">
        <v>1.110606</v>
      </c>
      <c r="L1562">
        <v>213.76910000000001</v>
      </c>
      <c r="M1562">
        <v>0.99993350000000003</v>
      </c>
      <c r="N1562">
        <v>0</v>
      </c>
      <c r="O1562">
        <v>3.4049000000000002E-3</v>
      </c>
      <c r="P1562">
        <v>0.98924710000000005</v>
      </c>
      <c r="Q1562">
        <v>0.13163620000000001</v>
      </c>
      <c r="R1562">
        <v>6.3733709999999999E-2</v>
      </c>
      <c r="S1562">
        <v>3.0363769999999999</v>
      </c>
      <c r="T1562">
        <v>-0.248168</v>
      </c>
      <c r="U1562">
        <v>0.46122740000000001</v>
      </c>
      <c r="V1562">
        <v>-6.0558319999999999E-2</v>
      </c>
      <c r="W1562">
        <v>0.1424475</v>
      </c>
      <c r="X1562">
        <v>0.9879481</v>
      </c>
      <c r="Y1562">
        <v>-0.14634469999999999</v>
      </c>
      <c r="Z1562">
        <v>5.6604109999999997E-3</v>
      </c>
      <c r="AA1562">
        <v>0.98921749999999997</v>
      </c>
      <c r="AB1562">
        <v>30</v>
      </c>
      <c r="AC1562">
        <v>13.306699999999999</v>
      </c>
      <c r="AD1562">
        <v>-1.1106058939816901</v>
      </c>
      <c r="AE1562">
        <v>2.0626000000000002</v>
      </c>
      <c r="AF1562">
        <v>-2.0036475124988899</v>
      </c>
      <c r="AG1562">
        <v>-1.1106058939816901</v>
      </c>
      <c r="AH1562">
        <v>13.2236921667676</v>
      </c>
      <c r="AI1562">
        <v>94.746852141033798</v>
      </c>
      <c r="AJ1562">
        <v>98.615892959112699</v>
      </c>
      <c r="AK1562">
        <v>13.420658826135201</v>
      </c>
      <c r="AL1562">
        <v>81.810502825426397</v>
      </c>
      <c r="AM1562">
        <v>93.507674414005294</v>
      </c>
      <c r="AN1562">
        <v>1.00000002433554</v>
      </c>
    </row>
    <row r="1563" spans="1:40" x14ac:dyDescent="0.3">
      <c r="A1563" t="str">
        <f>"20200111150818928"</f>
        <v>20200111150818928</v>
      </c>
      <c r="B1563" t="str">
        <f>"1578726498923782"</f>
        <v>1578726498923782</v>
      </c>
      <c r="C1563" t="s">
        <v>40</v>
      </c>
      <c r="D1563">
        <v>5.1341789999999996</v>
      </c>
      <c r="E1563">
        <v>0.46592349999999999</v>
      </c>
      <c r="F1563" t="s">
        <v>55</v>
      </c>
      <c r="G1563">
        <v>-333.40339999999998</v>
      </c>
      <c r="H1563" s="1">
        <v>2.243939E-7</v>
      </c>
      <c r="I1563">
        <v>215.75880000000001</v>
      </c>
      <c r="J1563">
        <v>-346.19159999999999</v>
      </c>
      <c r="K1563">
        <v>1.110598</v>
      </c>
      <c r="L1563">
        <v>213.77090000000001</v>
      </c>
      <c r="M1563">
        <v>0.99993069999999895</v>
      </c>
      <c r="N1563">
        <v>0</v>
      </c>
      <c r="O1563">
        <v>4.1228590000000004E-3</v>
      </c>
      <c r="P1563">
        <v>0.98911990000000005</v>
      </c>
      <c r="Q1563">
        <v>0.13145560000000001</v>
      </c>
      <c r="R1563">
        <v>6.6037310000000002E-2</v>
      </c>
      <c r="S1563">
        <v>3.0371700000000001</v>
      </c>
      <c r="T1563">
        <v>-0.25768029999999997</v>
      </c>
      <c r="U1563">
        <v>0.46165469999999997</v>
      </c>
      <c r="V1563">
        <v>-6.2151680000000001E-2</v>
      </c>
      <c r="W1563">
        <v>0.1422686</v>
      </c>
      <c r="X1563">
        <v>0.9878749</v>
      </c>
      <c r="Y1563">
        <v>-0.14570079999999999</v>
      </c>
      <c r="Z1563">
        <v>5.7874880000000004E-3</v>
      </c>
      <c r="AA1563">
        <v>0.98931179999999996</v>
      </c>
      <c r="AB1563">
        <v>30</v>
      </c>
      <c r="AC1563">
        <v>12.7882</v>
      </c>
      <c r="AD1563">
        <v>-1.1105977756061001</v>
      </c>
      <c r="AE1563">
        <v>1.98789999999999</v>
      </c>
      <c r="AF1563">
        <v>-1.92100926656144</v>
      </c>
      <c r="AG1563">
        <v>-1.1105977756061001</v>
      </c>
      <c r="AH1563">
        <v>12.702742171885699</v>
      </c>
      <c r="AI1563">
        <v>94.940755971506405</v>
      </c>
      <c r="AJ1563">
        <v>98.599559626463503</v>
      </c>
      <c r="AK1563">
        <v>12.8950906436054</v>
      </c>
      <c r="AL1563">
        <v>81.820858326177401</v>
      </c>
      <c r="AM1563">
        <v>93.599991876232707</v>
      </c>
      <c r="AN1563">
        <v>1.0000000019613899</v>
      </c>
    </row>
    <row r="1564" spans="1:40" x14ac:dyDescent="0.3">
      <c r="A1564" t="str">
        <f>"20200111150818951"</f>
        <v>20200111150818951</v>
      </c>
      <c r="B1564" t="str">
        <f>"1578726498944278"</f>
        <v>1578726498944278</v>
      </c>
      <c r="C1564" t="s">
        <v>40</v>
      </c>
      <c r="D1564">
        <v>5.0318239999999896</v>
      </c>
      <c r="E1564">
        <v>0.46592800000000001</v>
      </c>
      <c r="F1564" t="s">
        <v>55</v>
      </c>
      <c r="G1564">
        <v>-333.65410000000003</v>
      </c>
      <c r="H1564" s="1">
        <v>3.6087140000000002E-7</v>
      </c>
      <c r="I1564">
        <v>215.68870000000001</v>
      </c>
      <c r="J1564">
        <v>-345.88720000000001</v>
      </c>
      <c r="K1564">
        <v>1.110595</v>
      </c>
      <c r="L1564">
        <v>213.77289999999999</v>
      </c>
      <c r="M1564">
        <v>0.99992749999999997</v>
      </c>
      <c r="N1564">
        <v>0</v>
      </c>
      <c r="O1564">
        <v>4.8463050000000004E-3</v>
      </c>
      <c r="P1564">
        <v>0.98902840000000003</v>
      </c>
      <c r="Q1564">
        <v>0.13139919999999999</v>
      </c>
      <c r="R1564">
        <v>6.7505979999999993E-2</v>
      </c>
      <c r="S1564">
        <v>3.03775</v>
      </c>
      <c r="T1564">
        <v>-0.26908989999999999</v>
      </c>
      <c r="U1564">
        <v>0.46467589999999998</v>
      </c>
      <c r="V1564">
        <v>-6.2904890000000005E-2</v>
      </c>
      <c r="W1564">
        <v>0.1422148</v>
      </c>
      <c r="X1564">
        <v>0.98783500000000002</v>
      </c>
      <c r="Y1564">
        <v>-0.14587610000000001</v>
      </c>
      <c r="Z1564">
        <v>5.9853229999999999E-3</v>
      </c>
      <c r="AA1564">
        <v>0.98928479999999996</v>
      </c>
      <c r="AB1564">
        <v>30</v>
      </c>
      <c r="AC1564">
        <v>12.233099999999901</v>
      </c>
      <c r="AD1564">
        <v>-1.1105946391285999</v>
      </c>
      <c r="AE1564">
        <v>1.9158000000000099</v>
      </c>
      <c r="AF1564">
        <v>-1.84167268033258</v>
      </c>
      <c r="AG1564">
        <v>-1.1105946391285999</v>
      </c>
      <c r="AH1564">
        <v>12.144541070535</v>
      </c>
      <c r="AI1564">
        <v>95.166313628094301</v>
      </c>
      <c r="AJ1564">
        <v>98.622984264063703</v>
      </c>
      <c r="AK1564">
        <v>12.333493281623699</v>
      </c>
      <c r="AL1564">
        <v>81.823972742228406</v>
      </c>
      <c r="AM1564">
        <v>93.643649767346403</v>
      </c>
      <c r="AN1564">
        <v>1.0000000308749699</v>
      </c>
    </row>
    <row r="1565" spans="1:40" x14ac:dyDescent="0.3">
      <c r="A1565" t="str">
        <f>"20200111150818973"</f>
        <v>20200111150818973</v>
      </c>
      <c r="B1565" t="str">
        <f>"1578726498963801"</f>
        <v>1578726498963801</v>
      </c>
      <c r="C1565" t="s">
        <v>40</v>
      </c>
      <c r="D1565">
        <v>5.1497140000000003</v>
      </c>
      <c r="E1565">
        <v>0.46590769999999998</v>
      </c>
      <c r="F1565" t="s">
        <v>55</v>
      </c>
      <c r="G1565">
        <v>-333.48809999999997</v>
      </c>
      <c r="H1565" s="1">
        <v>2.7261110000000002E-7</v>
      </c>
      <c r="I1565">
        <v>215.68729999999999</v>
      </c>
      <c r="J1565">
        <v>-345.5795</v>
      </c>
      <c r="K1565">
        <v>1.1106020000000001</v>
      </c>
      <c r="L1565">
        <v>213.77520000000001</v>
      </c>
      <c r="M1565">
        <v>0.99992369999999997</v>
      </c>
      <c r="N1565">
        <v>0</v>
      </c>
      <c r="O1565">
        <v>5.5775010000000003E-3</v>
      </c>
      <c r="P1565">
        <v>0.98897210000000002</v>
      </c>
      <c r="Q1565">
        <v>0.13122790000000001</v>
      </c>
      <c r="R1565">
        <v>6.8656110000000006E-2</v>
      </c>
      <c r="S1565">
        <v>3.037445</v>
      </c>
      <c r="T1565">
        <v>-0.27206649999999999</v>
      </c>
      <c r="U1565">
        <v>0.46896359999999898</v>
      </c>
      <c r="V1565">
        <v>-6.3332250000000007E-2</v>
      </c>
      <c r="W1565">
        <v>0.14204720000000001</v>
      </c>
      <c r="X1565">
        <v>0.98783180000000004</v>
      </c>
      <c r="Y1565">
        <v>-0.14652029999999999</v>
      </c>
      <c r="Z1565">
        <v>6.0148800000000002E-3</v>
      </c>
      <c r="AA1565">
        <v>0.9891894</v>
      </c>
      <c r="AB1565">
        <v>30</v>
      </c>
      <c r="AC1565">
        <v>12.0914</v>
      </c>
      <c r="AD1565">
        <v>-1.1106017273889</v>
      </c>
      <c r="AE1565">
        <v>1.9120999999999799</v>
      </c>
      <c r="AF1565">
        <v>-1.8295677477565799</v>
      </c>
      <c r="AG1565">
        <v>-1.1106017273889</v>
      </c>
      <c r="AH1565">
        <v>12.0030835670206</v>
      </c>
      <c r="AI1565">
        <v>95.226295587465202</v>
      </c>
      <c r="AJ1565">
        <v>98.666591322184303</v>
      </c>
      <c r="AK1565">
        <v>12.192406220979899</v>
      </c>
      <c r="AL1565">
        <v>81.833673938467498</v>
      </c>
      <c r="AM1565">
        <v>93.668348293795106</v>
      </c>
      <c r="AN1565">
        <v>1.00000002300457</v>
      </c>
    </row>
    <row r="1566" spans="1:40" x14ac:dyDescent="0.3">
      <c r="A1566" t="str">
        <f>"20200111150818995"</f>
        <v>20200111150818995</v>
      </c>
      <c r="B1566" t="str">
        <f>"1578726498984299"</f>
        <v>1578726498984299</v>
      </c>
      <c r="C1566" t="s">
        <v>40</v>
      </c>
      <c r="D1566">
        <v>5.5445599999999997</v>
      </c>
      <c r="E1566">
        <v>0.44097310000000001</v>
      </c>
      <c r="F1566" t="s">
        <v>55</v>
      </c>
      <c r="G1566">
        <v>-333.35570000000001</v>
      </c>
      <c r="H1566" s="1">
        <v>2.025905E-7</v>
      </c>
      <c r="I1566">
        <v>215.6765</v>
      </c>
      <c r="J1566">
        <v>-345.29250000000002</v>
      </c>
      <c r="K1566">
        <v>1.1106049999999901</v>
      </c>
      <c r="L1566">
        <v>213.7775</v>
      </c>
      <c r="M1566">
        <v>0.99991960000000002</v>
      </c>
      <c r="N1566">
        <v>0</v>
      </c>
      <c r="O1566">
        <v>6.2594069999999998E-3</v>
      </c>
      <c r="P1566">
        <v>0.98879159999999999</v>
      </c>
      <c r="Q1566">
        <v>0.13204109999999999</v>
      </c>
      <c r="R1566">
        <v>6.9691020000000006E-2</v>
      </c>
      <c r="S1566">
        <v>3.0372620000000001</v>
      </c>
      <c r="T1566">
        <v>-0.27595190000000003</v>
      </c>
      <c r="U1566">
        <v>0.4724274</v>
      </c>
      <c r="V1566">
        <v>-6.3694929999999997E-2</v>
      </c>
      <c r="W1566">
        <v>0.14286189999999999</v>
      </c>
      <c r="X1566">
        <v>0.98769099999999999</v>
      </c>
      <c r="Y1566">
        <v>-0.14694160000000001</v>
      </c>
      <c r="Z1566">
        <v>6.0578130000000004E-3</v>
      </c>
      <c r="AA1566">
        <v>0.98912659999999997</v>
      </c>
      <c r="AB1566">
        <v>30</v>
      </c>
      <c r="AC1566">
        <v>11.9368</v>
      </c>
      <c r="AD1566">
        <v>-1.1106047974094999</v>
      </c>
      <c r="AE1566">
        <v>1.899</v>
      </c>
      <c r="AF1566">
        <v>-1.80896813361005</v>
      </c>
      <c r="AG1566">
        <v>-1.1106047974094999</v>
      </c>
      <c r="AH1566">
        <v>11.8484191675276</v>
      </c>
      <c r="AI1566">
        <v>95.293949836176594</v>
      </c>
      <c r="AJ1566">
        <v>98.680650813766903</v>
      </c>
      <c r="AK1566">
        <v>12.0370613313167</v>
      </c>
      <c r="AL1566">
        <v>81.786514232170703</v>
      </c>
      <c r="AM1566">
        <v>93.689822166927996</v>
      </c>
      <c r="AN1566">
        <v>1.00000003903015</v>
      </c>
    </row>
    <row r="1567" spans="1:40" x14ac:dyDescent="0.3">
      <c r="A1567" t="str">
        <f>"20200111150819017"</f>
        <v>20200111150819017</v>
      </c>
      <c r="B1567" t="str">
        <f>"1578726499014551"</f>
        <v>1578726499014551</v>
      </c>
      <c r="C1567" t="s">
        <v>40</v>
      </c>
      <c r="D1567">
        <v>5.2218970000000002</v>
      </c>
      <c r="E1567">
        <v>0.46829759999999998</v>
      </c>
      <c r="F1567" t="s">
        <v>72</v>
      </c>
      <c r="G1567">
        <v>-251.16499999999999</v>
      </c>
      <c r="H1567">
        <v>45.390169999999998</v>
      </c>
      <c r="I1567">
        <v>236.75309999999999</v>
      </c>
      <c r="J1567">
        <v>-344.99889999999999</v>
      </c>
      <c r="K1567">
        <v>1.1106149999999999</v>
      </c>
      <c r="L1567">
        <v>213.7801</v>
      </c>
      <c r="M1567">
        <v>0.99991490000000005</v>
      </c>
      <c r="N1567">
        <v>0</v>
      </c>
      <c r="O1567">
        <v>6.9572289999999997E-3</v>
      </c>
      <c r="P1567">
        <v>0.98865530000000001</v>
      </c>
      <c r="Q1567">
        <v>0.13242809999999999</v>
      </c>
      <c r="R1567">
        <v>7.0876899999999896E-2</v>
      </c>
      <c r="S1567">
        <v>2.8092039999999998</v>
      </c>
      <c r="T1567">
        <v>1.321509</v>
      </c>
      <c r="U1567">
        <v>0.68569950000000002</v>
      </c>
      <c r="V1567">
        <v>-6.4191440000000002E-2</v>
      </c>
      <c r="W1567">
        <v>0.1432503</v>
      </c>
      <c r="X1567">
        <v>0.9876026</v>
      </c>
      <c r="Y1567">
        <v>-0.2101584</v>
      </c>
      <c r="Z1567">
        <v>-4.330614E-2</v>
      </c>
      <c r="AA1567">
        <v>0.97670780000000001</v>
      </c>
      <c r="AB1567">
        <v>30</v>
      </c>
      <c r="AC1567">
        <v>93.8339</v>
      </c>
      <c r="AD1567">
        <v>44.279555000000002</v>
      </c>
      <c r="AE1567">
        <v>22.9729999999999</v>
      </c>
      <c r="AF1567">
        <v>-18.444559635930101</v>
      </c>
      <c r="AG1567">
        <v>44.279555000000002</v>
      </c>
      <c r="AH1567">
        <v>77.673110206549097</v>
      </c>
      <c r="AI1567">
        <v>60.984970423048701</v>
      </c>
      <c r="AJ1567">
        <v>103.358260464032</v>
      </c>
      <c r="AK1567">
        <v>91.290705005055798</v>
      </c>
      <c r="AL1567">
        <v>81.764029313597703</v>
      </c>
      <c r="AM1567">
        <v>93.718836316254595</v>
      </c>
      <c r="AN1567">
        <v>1.00000004247306</v>
      </c>
    </row>
    <row r="1568" spans="1:40" x14ac:dyDescent="0.3">
      <c r="A1568" t="str">
        <f>"20200111150819040"</f>
        <v>20200111150819040</v>
      </c>
      <c r="B1568" t="str">
        <f>"1578726499034072"</f>
        <v>1578726499034072</v>
      </c>
      <c r="C1568" t="s">
        <v>40</v>
      </c>
      <c r="D1568">
        <v>5.2282580000000003</v>
      </c>
      <c r="E1568">
        <v>0.4669295</v>
      </c>
      <c r="F1568" t="s">
        <v>55</v>
      </c>
      <c r="G1568">
        <v>-333.28820000000002</v>
      </c>
      <c r="H1568" s="1">
        <v>1.722588E-7</v>
      </c>
      <c r="I1568">
        <v>215.54900000000001</v>
      </c>
      <c r="J1568">
        <v>-344.68299999999999</v>
      </c>
      <c r="K1568">
        <v>1.110622</v>
      </c>
      <c r="L1568">
        <v>213.78309999999999</v>
      </c>
      <c r="M1568">
        <v>0.99990950000000001</v>
      </c>
      <c r="N1568">
        <v>0</v>
      </c>
      <c r="O1568">
        <v>7.7073239999999998E-3</v>
      </c>
      <c r="P1568">
        <v>0.98853820000000003</v>
      </c>
      <c r="Q1568">
        <v>0.13299559999999999</v>
      </c>
      <c r="R1568">
        <v>7.1447830000000004E-2</v>
      </c>
      <c r="S1568">
        <v>3.0400999999999998</v>
      </c>
      <c r="T1568">
        <v>-0.28831649999999998</v>
      </c>
      <c r="U1568">
        <v>0.459198</v>
      </c>
      <c r="V1568">
        <v>-6.4023159999999996E-2</v>
      </c>
      <c r="W1568">
        <v>0.14382029999999901</v>
      </c>
      <c r="X1568">
        <v>0.98753060000000004</v>
      </c>
      <c r="Y1568">
        <v>-0.14114179999999901</v>
      </c>
      <c r="Z1568">
        <v>5.9152429999999997E-3</v>
      </c>
      <c r="AA1568">
        <v>0.98997170000000001</v>
      </c>
      <c r="AB1568">
        <v>30</v>
      </c>
      <c r="AC1568">
        <v>11.3948</v>
      </c>
      <c r="AD1568">
        <v>-1.1106218277411899</v>
      </c>
      <c r="AE1568">
        <v>1.76590000000001</v>
      </c>
      <c r="AF1568">
        <v>-1.66259474477367</v>
      </c>
      <c r="AG1568">
        <v>-1.1106218277411899</v>
      </c>
      <c r="AH1568">
        <v>11.3032117760345</v>
      </c>
      <c r="AI1568">
        <v>95.552345742691003</v>
      </c>
      <c r="AJ1568">
        <v>98.367661002397696</v>
      </c>
      <c r="AK1568">
        <v>11.4786888878256</v>
      </c>
      <c r="AL1568">
        <v>81.731028361996394</v>
      </c>
      <c r="AM1568">
        <v>93.709384186441596</v>
      </c>
      <c r="AN1568">
        <v>0.99999996482241704</v>
      </c>
    </row>
    <row r="1569" spans="1:40" x14ac:dyDescent="0.3">
      <c r="A1569" t="str">
        <f>"20200111150819064"</f>
        <v>20200111150819064</v>
      </c>
      <c r="B1569" t="str">
        <f>"1578726499054566"</f>
        <v>1578726499054566</v>
      </c>
      <c r="C1569" t="s">
        <v>40</v>
      </c>
      <c r="D1569">
        <v>5.2869219999999997</v>
      </c>
      <c r="E1569">
        <v>0.46656500000000001</v>
      </c>
      <c r="F1569" t="s">
        <v>55</v>
      </c>
      <c r="G1569">
        <v>-333.32859999999999</v>
      </c>
      <c r="H1569" s="1">
        <v>1.9388610000000001E-7</v>
      </c>
      <c r="I1569">
        <v>215.54650000000001</v>
      </c>
      <c r="J1569">
        <v>-344.36149999999998</v>
      </c>
      <c r="K1569">
        <v>1.110619</v>
      </c>
      <c r="L1569">
        <v>213.78639999999999</v>
      </c>
      <c r="M1569">
        <v>0.99990310000000004</v>
      </c>
      <c r="N1569">
        <v>0</v>
      </c>
      <c r="O1569">
        <v>8.4712469999999995E-3</v>
      </c>
      <c r="P1569">
        <v>0.9884387</v>
      </c>
      <c r="Q1569">
        <v>0.1334427</v>
      </c>
      <c r="R1569">
        <v>7.1985969999999996E-2</v>
      </c>
      <c r="S1569">
        <v>3.04068</v>
      </c>
      <c r="T1569">
        <v>-0.29742249999999998</v>
      </c>
      <c r="U1569">
        <v>0.47224430000000001</v>
      </c>
      <c r="V1569">
        <v>-6.3807030000000001E-2</v>
      </c>
      <c r="W1569">
        <v>0.1442705</v>
      </c>
      <c r="X1569">
        <v>0.987479</v>
      </c>
      <c r="Y1569">
        <v>-0.14445849999999999</v>
      </c>
      <c r="Z1569">
        <v>6.1848880000000004E-3</v>
      </c>
      <c r="AA1569">
        <v>0.98949149999999997</v>
      </c>
      <c r="AB1569">
        <v>30</v>
      </c>
      <c r="AC1569">
        <v>11.0328999999999</v>
      </c>
      <c r="AD1569">
        <v>-1.1106188061139</v>
      </c>
      <c r="AE1569">
        <v>1.76010000000002</v>
      </c>
      <c r="AF1569">
        <v>-1.65026116414334</v>
      </c>
      <c r="AG1569">
        <v>-1.1106188061139</v>
      </c>
      <c r="AH1569">
        <v>10.9393151139091</v>
      </c>
      <c r="AI1569">
        <v>95.732691399995801</v>
      </c>
      <c r="AJ1569">
        <v>98.578724727142301</v>
      </c>
      <c r="AK1569">
        <v>11.118698269301699</v>
      </c>
      <c r="AL1569">
        <v>81.704962624904695</v>
      </c>
      <c r="AM1569">
        <v>93.697089439165595</v>
      </c>
      <c r="AN1569">
        <v>1.00000004484433</v>
      </c>
    </row>
    <row r="1570" spans="1:40" x14ac:dyDescent="0.3">
      <c r="A1570" t="str">
        <f>"20200111150819084"</f>
        <v>20200111150819084</v>
      </c>
      <c r="B1570" t="str">
        <f>"1578726499074089"</f>
        <v>1578726499074089</v>
      </c>
      <c r="C1570" t="s">
        <v>40</v>
      </c>
      <c r="D1570">
        <v>5.2787179999999996</v>
      </c>
      <c r="E1570">
        <v>0.46588970000000002</v>
      </c>
      <c r="F1570" t="s">
        <v>55</v>
      </c>
      <c r="G1570">
        <v>-332.73270000000002</v>
      </c>
      <c r="H1570" s="1">
        <v>-1.2619050000000001E-7</v>
      </c>
      <c r="I1570">
        <v>215.6138</v>
      </c>
      <c r="J1570">
        <v>-344.084</v>
      </c>
      <c r="K1570">
        <v>1.110619</v>
      </c>
      <c r="L1570">
        <v>213.7895</v>
      </c>
      <c r="M1570">
        <v>0.99989740000000005</v>
      </c>
      <c r="N1570">
        <v>0</v>
      </c>
      <c r="O1570">
        <v>9.1299720000000001E-3</v>
      </c>
      <c r="P1570">
        <v>0.98834560000000005</v>
      </c>
      <c r="Q1570">
        <v>0.133982399999999</v>
      </c>
      <c r="R1570">
        <v>7.2260939999999996E-2</v>
      </c>
      <c r="S1570">
        <v>3.03952</v>
      </c>
      <c r="T1570">
        <v>-0.29029290000000002</v>
      </c>
      <c r="U1570">
        <v>0.47763060000000002</v>
      </c>
      <c r="V1570">
        <v>-6.3432310000000006E-2</v>
      </c>
      <c r="W1570">
        <v>0.1448131</v>
      </c>
      <c r="X1570">
        <v>0.98742370000000002</v>
      </c>
      <c r="Y1570">
        <v>-0.14560300000000001</v>
      </c>
      <c r="Z1570">
        <v>6.0305799999999998E-3</v>
      </c>
      <c r="AA1570">
        <v>0.98932469999999995</v>
      </c>
      <c r="AB1570">
        <v>30</v>
      </c>
      <c r="AC1570">
        <v>11.351299999999901</v>
      </c>
      <c r="AD1570">
        <v>-1.1106191261905001</v>
      </c>
      <c r="AE1570">
        <v>1.82429999999999</v>
      </c>
      <c r="AF1570">
        <v>-1.7046729653717301</v>
      </c>
      <c r="AG1570">
        <v>-1.1106191261905001</v>
      </c>
      <c r="AH1570">
        <v>11.2623856001833</v>
      </c>
      <c r="AI1570">
        <v>95.568883223966793</v>
      </c>
      <c r="AJ1570">
        <v>98.606949403530294</v>
      </c>
      <c r="AK1570">
        <v>11.4446806058337</v>
      </c>
      <c r="AL1570">
        <v>81.673543854809793</v>
      </c>
      <c r="AM1570">
        <v>93.675642481223605</v>
      </c>
      <c r="AN1570">
        <v>1.00000002760261</v>
      </c>
    </row>
    <row r="1571" spans="1:40" x14ac:dyDescent="0.3">
      <c r="A1571" t="str">
        <f>"20200111150819108"</f>
        <v>20200111150819108</v>
      </c>
      <c r="B1571" t="str">
        <f>"1578726499103853"</f>
        <v>1578726499103853</v>
      </c>
      <c r="C1571" t="s">
        <v>40</v>
      </c>
      <c r="D1571">
        <v>5.2467819999999996</v>
      </c>
      <c r="E1571">
        <v>0.46751799999999999</v>
      </c>
      <c r="F1571" t="s">
        <v>55</v>
      </c>
      <c r="G1571">
        <v>-332.3571</v>
      </c>
      <c r="H1571" s="1">
        <v>-3.278049E-7</v>
      </c>
      <c r="I1571">
        <v>215.65379999999999</v>
      </c>
      <c r="J1571">
        <v>-343.77839999999998</v>
      </c>
      <c r="K1571">
        <v>1.110622</v>
      </c>
      <c r="L1571">
        <v>213.79300000000001</v>
      </c>
      <c r="M1571">
        <v>0.99989030000000001</v>
      </c>
      <c r="N1571">
        <v>0</v>
      </c>
      <c r="O1571">
        <v>9.8558110000000008E-3</v>
      </c>
      <c r="P1571">
        <v>0.98832260000000005</v>
      </c>
      <c r="Q1571">
        <v>0.13382140000000001</v>
      </c>
      <c r="R1571">
        <v>7.2872909999999999E-2</v>
      </c>
      <c r="S1571">
        <v>3.0390630000000001</v>
      </c>
      <c r="T1571">
        <v>-0.28782020000000003</v>
      </c>
      <c r="U1571">
        <v>0.48313899999999999</v>
      </c>
      <c r="V1571">
        <v>-6.3326439999999998E-2</v>
      </c>
      <c r="W1571">
        <v>0.14465500000000001</v>
      </c>
      <c r="X1571">
        <v>0.98745360000000004</v>
      </c>
      <c r="Y1571">
        <v>-0.14666599999999999</v>
      </c>
      <c r="Z1571">
        <v>5.9612629999999996E-3</v>
      </c>
      <c r="AA1571">
        <v>0.98916809999999999</v>
      </c>
      <c r="AB1571">
        <v>30</v>
      </c>
      <c r="AC1571">
        <v>11.421299999999899</v>
      </c>
      <c r="AD1571">
        <v>-1.1106223278048999</v>
      </c>
      <c r="AE1571">
        <v>1.86079999999998</v>
      </c>
      <c r="AF1571">
        <v>-1.7321808013198701</v>
      </c>
      <c r="AG1571">
        <v>-1.1106223278048999</v>
      </c>
      <c r="AH1571">
        <v>11.3346781332814</v>
      </c>
      <c r="AI1571">
        <v>95.5324073022921</v>
      </c>
      <c r="AJ1571">
        <v>98.688794064511399</v>
      </c>
      <c r="AK1571">
        <v>11.5199331885461</v>
      </c>
      <c r="AL1571">
        <v>81.682698142842497</v>
      </c>
      <c r="AM1571">
        <v>93.6694137150226</v>
      </c>
      <c r="AN1571">
        <v>0.99999995959051602</v>
      </c>
    </row>
    <row r="1572" spans="1:40" x14ac:dyDescent="0.3">
      <c r="A1572" t="str">
        <f>"20200111150819131"</f>
        <v>20200111150819131</v>
      </c>
      <c r="B1572" t="str">
        <f>"1578726499124349"</f>
        <v>1578726499124349</v>
      </c>
      <c r="C1572" t="s">
        <v>40</v>
      </c>
      <c r="D1572">
        <v>5.0663419999999997</v>
      </c>
      <c r="E1572">
        <v>0.46770420000000001</v>
      </c>
      <c r="F1572" t="s">
        <v>55</v>
      </c>
      <c r="G1572">
        <v>-332.13139999999999</v>
      </c>
      <c r="H1572" s="1">
        <v>-4.4556560000000001E-7</v>
      </c>
      <c r="I1572">
        <v>215.60069999999999</v>
      </c>
      <c r="J1572">
        <v>-343.47289999999998</v>
      </c>
      <c r="K1572">
        <v>1.1106240000000001</v>
      </c>
      <c r="L1572">
        <v>213.79679999999999</v>
      </c>
      <c r="M1572">
        <v>0.99988290000000002</v>
      </c>
      <c r="N1572">
        <v>0</v>
      </c>
      <c r="O1572">
        <v>1.0581520000000001E-2</v>
      </c>
      <c r="P1572">
        <v>0.98829230000000001</v>
      </c>
      <c r="Q1572">
        <v>0.13374629999999901</v>
      </c>
      <c r="R1572">
        <v>7.3418440000000001E-2</v>
      </c>
      <c r="S1572">
        <v>3.0399780000000001</v>
      </c>
      <c r="T1572">
        <v>-0.28988409999999998</v>
      </c>
      <c r="U1572">
        <v>0.47181699999999999</v>
      </c>
      <c r="V1572">
        <v>-6.3154760000000004E-2</v>
      </c>
      <c r="W1572">
        <v>0.14458570000000001</v>
      </c>
      <c r="X1572">
        <v>0.98747479999999999</v>
      </c>
      <c r="Y1572">
        <v>-0.142319</v>
      </c>
      <c r="Z1572">
        <v>5.7295710000000001E-3</v>
      </c>
      <c r="AA1572">
        <v>0.98980429999999997</v>
      </c>
      <c r="AB1572">
        <v>30</v>
      </c>
      <c r="AC1572">
        <v>11.3414999999999</v>
      </c>
      <c r="AD1572">
        <v>-1.1106244455656</v>
      </c>
      <c r="AE1572">
        <v>1.8038999999999901</v>
      </c>
      <c r="AF1572">
        <v>-1.66817914220232</v>
      </c>
      <c r="AG1572">
        <v>-1.1106244455656</v>
      </c>
      <c r="AH1572">
        <v>11.254690830215299</v>
      </c>
      <c r="AI1572">
        <v>95.575240422888498</v>
      </c>
      <c r="AJ1572">
        <v>98.431041544496395</v>
      </c>
      <c r="AK1572">
        <v>11.4317266409453</v>
      </c>
      <c r="AL1572">
        <v>81.686711385710794</v>
      </c>
      <c r="AM1572">
        <v>93.659414534352607</v>
      </c>
      <c r="AN1572">
        <v>1.00000001449509</v>
      </c>
    </row>
    <row r="1573" spans="1:40" x14ac:dyDescent="0.3">
      <c r="A1573" t="str">
        <f>"20200111150819153"</f>
        <v>20200111150819153</v>
      </c>
      <c r="B1573" t="str">
        <f>"1578726499143869"</f>
        <v>1578726499143869</v>
      </c>
      <c r="C1573" t="s">
        <v>40</v>
      </c>
      <c r="D1573">
        <v>5.2267659999999996</v>
      </c>
      <c r="E1573">
        <v>0.46733639999999999</v>
      </c>
      <c r="F1573" t="s">
        <v>55</v>
      </c>
      <c r="G1573">
        <v>-331.47750000000002</v>
      </c>
      <c r="H1573" s="1">
        <v>-7.9618709999999905E-7</v>
      </c>
      <c r="I1573">
        <v>215.6611</v>
      </c>
      <c r="J1573">
        <v>-343.16219999999998</v>
      </c>
      <c r="K1573">
        <v>1.110627</v>
      </c>
      <c r="L1573">
        <v>213.80090000000001</v>
      </c>
      <c r="M1573">
        <v>0.99987490000000001</v>
      </c>
      <c r="N1573">
        <v>0</v>
      </c>
      <c r="O1573">
        <v>1.131864E-2</v>
      </c>
      <c r="P1573">
        <v>0.98830439999999997</v>
      </c>
      <c r="Q1573">
        <v>0.1333568</v>
      </c>
      <c r="R1573">
        <v>7.3963500000000001E-2</v>
      </c>
      <c r="S1573">
        <v>3.038605</v>
      </c>
      <c r="T1573">
        <v>-0.28133859999999999</v>
      </c>
      <c r="U1573">
        <v>0.4722595</v>
      </c>
      <c r="V1573">
        <v>-6.2970399999999996E-2</v>
      </c>
      <c r="W1573">
        <v>0.14420729999999901</v>
      </c>
      <c r="X1573">
        <v>0.98754189999999997</v>
      </c>
      <c r="Y1573">
        <v>-0.1418364</v>
      </c>
      <c r="Z1573">
        <v>5.4739630000000001E-3</v>
      </c>
      <c r="AA1573">
        <v>0.98987499999999995</v>
      </c>
      <c r="AB1573">
        <v>30</v>
      </c>
      <c r="AC1573">
        <v>11.6846999999999</v>
      </c>
      <c r="AD1573">
        <v>-1.1106277961871001</v>
      </c>
      <c r="AE1573">
        <v>1.8601999999999901</v>
      </c>
      <c r="AF1573">
        <v>-1.7127267629349401</v>
      </c>
      <c r="AG1573">
        <v>-1.1106277961871001</v>
      </c>
      <c r="AH1573">
        <v>11.6027739593343</v>
      </c>
      <c r="AI1573">
        <v>95.409479285939597</v>
      </c>
      <c r="AJ1573">
        <v>98.396994840298504</v>
      </c>
      <c r="AK1573">
        <v>11.780971548117</v>
      </c>
      <c r="AL1573">
        <v>81.708621697149994</v>
      </c>
      <c r="AM1573">
        <v>93.648513700940896</v>
      </c>
      <c r="AN1573">
        <v>1.00000001045253</v>
      </c>
    </row>
    <row r="1574" spans="1:40" x14ac:dyDescent="0.3">
      <c r="A1574" t="str">
        <f>"20200111150819176"</f>
        <v>20200111150819176</v>
      </c>
      <c r="B1574" t="str">
        <f>"1578726499164365"</f>
        <v>1578726499164365</v>
      </c>
      <c r="C1574" t="s">
        <v>40</v>
      </c>
      <c r="D1574">
        <v>4.9090449999999999</v>
      </c>
      <c r="E1574">
        <v>0.46805219999999997</v>
      </c>
      <c r="F1574" t="s">
        <v>55</v>
      </c>
      <c r="G1574">
        <v>-331.10239999999999</v>
      </c>
      <c r="H1574" s="1">
        <v>-9.9721230000000011E-7</v>
      </c>
      <c r="I1574">
        <v>215.69319999999999</v>
      </c>
      <c r="J1574">
        <v>-342.86369999999999</v>
      </c>
      <c r="K1574">
        <v>1.1106290000000001</v>
      </c>
      <c r="L1574">
        <v>213.80500000000001</v>
      </c>
      <c r="M1574">
        <v>0.99986649999999999</v>
      </c>
      <c r="N1574">
        <v>0</v>
      </c>
      <c r="O1574">
        <v>1.202548E-2</v>
      </c>
      <c r="P1574">
        <v>0.98822339999999997</v>
      </c>
      <c r="Q1574">
        <v>0.13360810000000001</v>
      </c>
      <c r="R1574">
        <v>7.4590329999999996E-2</v>
      </c>
      <c r="S1574">
        <v>3.0375670000000001</v>
      </c>
      <c r="T1574">
        <v>-0.27973940000000003</v>
      </c>
      <c r="U1574">
        <v>0.47662349999999998</v>
      </c>
      <c r="V1574">
        <v>-6.2899200000000002E-2</v>
      </c>
      <c r="W1574">
        <v>0.1444706</v>
      </c>
      <c r="X1574">
        <v>0.98750789999999999</v>
      </c>
      <c r="Y1574">
        <v>-0.14258189999999901</v>
      </c>
      <c r="Z1574">
        <v>5.4137259999999998E-3</v>
      </c>
      <c r="AA1574">
        <v>0.98976819999999999</v>
      </c>
      <c r="AB1574">
        <v>30</v>
      </c>
      <c r="AC1574">
        <v>11.7613</v>
      </c>
      <c r="AD1574">
        <v>-1.1106299972122999</v>
      </c>
      <c r="AE1574">
        <v>1.8881999999999799</v>
      </c>
      <c r="AF1574">
        <v>-1.7315667757756601</v>
      </c>
      <c r="AG1574">
        <v>-1.1106299972122999</v>
      </c>
      <c r="AH1574">
        <v>11.6816075738802</v>
      </c>
      <c r="AI1574">
        <v>95.372721475001796</v>
      </c>
      <c r="AJ1574">
        <v>98.431568019964004</v>
      </c>
      <c r="AK1574">
        <v>11.861356499145099</v>
      </c>
      <c r="AL1574">
        <v>81.693375632981002</v>
      </c>
      <c r="AM1574">
        <v>93.644524626133105</v>
      </c>
      <c r="AN1574">
        <v>0.99999995809370401</v>
      </c>
    </row>
    <row r="1575" spans="1:40" x14ac:dyDescent="0.3">
      <c r="A1575" t="str">
        <f>"20200111150819196"</f>
        <v>20200111150819196</v>
      </c>
      <c r="B1575" t="str">
        <f>"1578726499194621"</f>
        <v>1578726499194621</v>
      </c>
      <c r="C1575" t="s">
        <v>40</v>
      </c>
      <c r="D1575">
        <v>4.8776970000000004</v>
      </c>
      <c r="E1575">
        <v>0.46805219999999997</v>
      </c>
      <c r="F1575" t="s">
        <v>55</v>
      </c>
      <c r="G1575">
        <v>-330.7833</v>
      </c>
      <c r="H1575" s="1">
        <v>-1.1667049999999999E-6</v>
      </c>
      <c r="I1575">
        <v>215.68629999999999</v>
      </c>
      <c r="J1575">
        <v>-342.58539999999999</v>
      </c>
      <c r="K1575">
        <v>1.1106320000000001</v>
      </c>
      <c r="L1575">
        <v>213.8091</v>
      </c>
      <c r="M1575">
        <v>0.99985829999999998</v>
      </c>
      <c r="N1575">
        <v>0</v>
      </c>
      <c r="O1575">
        <v>1.2678770000000001E-2</v>
      </c>
      <c r="P1575">
        <v>0.98815310000000001</v>
      </c>
      <c r="Q1575">
        <v>0.1339764</v>
      </c>
      <c r="R1575">
        <v>7.4859679999999998E-2</v>
      </c>
      <c r="S1575">
        <v>3.0378419999999999</v>
      </c>
      <c r="T1575">
        <v>-0.27929009999999999</v>
      </c>
      <c r="U1575">
        <v>0.47308349999999999</v>
      </c>
      <c r="V1575">
        <v>-6.2522759999999997E-2</v>
      </c>
      <c r="W1575">
        <v>0.1448499</v>
      </c>
      <c r="X1575">
        <v>0.98747629999999997</v>
      </c>
      <c r="Y1575">
        <v>-0.14080719999999999</v>
      </c>
      <c r="Z1575">
        <v>5.2645900000000004E-3</v>
      </c>
      <c r="AA1575">
        <v>0.99002299999999999</v>
      </c>
      <c r="AB1575">
        <v>30</v>
      </c>
      <c r="AC1575">
        <v>11.8020999999999</v>
      </c>
      <c r="AD1575">
        <v>-1.110633166705</v>
      </c>
      <c r="AE1575">
        <v>1.87719999999998</v>
      </c>
      <c r="AF1575">
        <v>-1.7126116647499601</v>
      </c>
      <c r="AG1575">
        <v>-1.110633166705</v>
      </c>
      <c r="AH1575">
        <v>11.7236935895091</v>
      </c>
      <c r="AI1575">
        <v>95.355209480934207</v>
      </c>
      <c r="AJ1575">
        <v>98.311052537906605</v>
      </c>
      <c r="AK1575">
        <v>11.900064542930799</v>
      </c>
      <c r="AL1575">
        <v>81.671412805269696</v>
      </c>
      <c r="AM1575">
        <v>93.622886710101</v>
      </c>
      <c r="AN1575">
        <v>1.0000000160548499</v>
      </c>
    </row>
    <row r="1576" spans="1:40" x14ac:dyDescent="0.3">
      <c r="A1576" t="str">
        <f>"20200111150819219"</f>
        <v>20200111150819219</v>
      </c>
      <c r="B1576" t="str">
        <f>"1578726499214141"</f>
        <v>1578726499214141</v>
      </c>
      <c r="C1576" t="s">
        <v>40</v>
      </c>
      <c r="D1576">
        <v>5.2427539999999997</v>
      </c>
      <c r="E1576">
        <v>0.4034799</v>
      </c>
      <c r="F1576" t="s">
        <v>55</v>
      </c>
      <c r="G1576">
        <v>-330.45499999999998</v>
      </c>
      <c r="H1576" s="1">
        <v>-1.34213699999999E-6</v>
      </c>
      <c r="I1576">
        <v>215.70240000000001</v>
      </c>
      <c r="J1576">
        <v>-342.27589999999998</v>
      </c>
      <c r="K1576">
        <v>1.110625</v>
      </c>
      <c r="L1576">
        <v>213.81379999999999</v>
      </c>
      <c r="M1576">
        <v>0.99984870000000003</v>
      </c>
      <c r="N1576">
        <v>0</v>
      </c>
      <c r="O1576">
        <v>1.3395300000000001E-2</v>
      </c>
      <c r="P1576">
        <v>0.98813989999999996</v>
      </c>
      <c r="Q1576">
        <v>0.1338744</v>
      </c>
      <c r="R1576">
        <v>7.5215409999999996E-2</v>
      </c>
      <c r="S1576">
        <v>3.03775</v>
      </c>
      <c r="T1576">
        <v>-0.2781285</v>
      </c>
      <c r="U1576">
        <v>0.47413640000000001</v>
      </c>
      <c r="V1576">
        <v>-6.2167590000000002E-2</v>
      </c>
      <c r="W1576">
        <v>0.14476069999999999</v>
      </c>
      <c r="X1576">
        <v>0.98751180000000005</v>
      </c>
      <c r="Y1576">
        <v>-0.14044609999999999</v>
      </c>
      <c r="Z1576">
        <v>5.1613579999999996E-3</v>
      </c>
      <c r="AA1576">
        <v>0.99007489999999998</v>
      </c>
      <c r="AB1576">
        <v>30</v>
      </c>
      <c r="AC1576">
        <v>11.8208999999999</v>
      </c>
      <c r="AD1576">
        <v>-1.110626342137</v>
      </c>
      <c r="AE1576">
        <v>1.88860000000002</v>
      </c>
      <c r="AF1576">
        <v>-1.71531135504595</v>
      </c>
      <c r="AG1576">
        <v>-1.110626342137</v>
      </c>
      <c r="AH1576">
        <v>11.7440496825306</v>
      </c>
      <c r="AI1576">
        <v>95.345966134146096</v>
      </c>
      <c r="AJ1576">
        <v>98.309743922675807</v>
      </c>
      <c r="AK1576">
        <v>11.920506988477699</v>
      </c>
      <c r="AL1576">
        <v>81.676577998046398</v>
      </c>
      <c r="AM1576">
        <v>93.6022315415061</v>
      </c>
      <c r="AN1576">
        <v>1.0000000123250601</v>
      </c>
    </row>
    <row r="1577" spans="1:40" x14ac:dyDescent="0.3">
      <c r="A1577" t="str">
        <f>"20200111150819244"</f>
        <v>20200111150819244</v>
      </c>
      <c r="B1577" t="str">
        <f>"1578726499234637"</f>
        <v>1578726499234637</v>
      </c>
      <c r="C1577" t="s">
        <v>40</v>
      </c>
      <c r="D1577">
        <v>4.7567760000000003</v>
      </c>
      <c r="E1577">
        <v>0.45798539999999999</v>
      </c>
      <c r="F1577" t="s">
        <v>72</v>
      </c>
      <c r="G1577">
        <v>-251.15790000000001</v>
      </c>
      <c r="H1577">
        <v>23.980499999999999</v>
      </c>
      <c r="I1577">
        <v>245.49010000000001</v>
      </c>
      <c r="J1577">
        <v>-341.95530000000002</v>
      </c>
      <c r="K1577">
        <v>1.110603</v>
      </c>
      <c r="L1577">
        <v>213.81880000000001</v>
      </c>
      <c r="M1577">
        <v>0.99983880000000003</v>
      </c>
      <c r="N1577">
        <v>0</v>
      </c>
      <c r="O1577">
        <v>1.411462E-2</v>
      </c>
      <c r="P1577">
        <v>0.98810799999999999</v>
      </c>
      <c r="Q1577">
        <v>0.13355899999999901</v>
      </c>
      <c r="R1577">
        <v>7.6188270000000002E-2</v>
      </c>
      <c r="S1577">
        <v>2.8628849999999999</v>
      </c>
      <c r="T1577">
        <v>0.71856059999999999</v>
      </c>
      <c r="U1577">
        <v>0.99525450000000004</v>
      </c>
      <c r="V1577">
        <v>-6.242466E-2</v>
      </c>
      <c r="W1577">
        <v>0.14445820000000001</v>
      </c>
      <c r="X1577">
        <v>0.98753990000000003</v>
      </c>
      <c r="Y1577">
        <v>-0.30689349999999999</v>
      </c>
      <c r="Z1577">
        <v>-3.3498420000000001E-2</v>
      </c>
      <c r="AA1577">
        <v>0.95115419999999995</v>
      </c>
      <c r="AB1577">
        <v>30</v>
      </c>
      <c r="AC1577">
        <v>90.797399999999996</v>
      </c>
      <c r="AD1577">
        <v>22.869897000000002</v>
      </c>
      <c r="AE1577">
        <v>31.671299999999999</v>
      </c>
      <c r="AF1577">
        <v>-28.759813887685599</v>
      </c>
      <c r="AG1577">
        <v>22.869897000000002</v>
      </c>
      <c r="AH1577">
        <v>86.351302294356401</v>
      </c>
      <c r="AI1577">
        <v>75.894915623918706</v>
      </c>
      <c r="AJ1577">
        <v>108.420643352043</v>
      </c>
      <c r="AK1577">
        <v>93.844054108804599</v>
      </c>
      <c r="AL1577">
        <v>81.694094249916404</v>
      </c>
      <c r="AM1577">
        <v>93.616985061892805</v>
      </c>
      <c r="AN1577">
        <v>1.0000000319076801</v>
      </c>
    </row>
    <row r="1578" spans="1:40" x14ac:dyDescent="0.3">
      <c r="A1578" t="str">
        <f>"20200111150819264"</f>
        <v>20200111150819264</v>
      </c>
      <c r="B1578" t="str">
        <f>"1578726499254156"</f>
        <v>1578726499254156</v>
      </c>
      <c r="C1578" t="s">
        <v>40</v>
      </c>
      <c r="D1578">
        <v>5.6129280000000001</v>
      </c>
      <c r="E1578">
        <v>0.46022469999999999</v>
      </c>
      <c r="F1578" t="s">
        <v>69</v>
      </c>
      <c r="G1578">
        <v>-258.21050000000002</v>
      </c>
      <c r="H1578">
        <v>5.9661210000000002</v>
      </c>
      <c r="I1578">
        <v>229.642</v>
      </c>
      <c r="J1578">
        <v>-341.65989999999999</v>
      </c>
      <c r="K1578">
        <v>1.1105860000000001</v>
      </c>
      <c r="L1578">
        <v>213.8237</v>
      </c>
      <c r="M1578">
        <v>0.99982939999999998</v>
      </c>
      <c r="N1578">
        <v>0</v>
      </c>
      <c r="O1578">
        <v>1.475186E-2</v>
      </c>
      <c r="P1578">
        <v>0.98805509999999996</v>
      </c>
      <c r="Q1578">
        <v>0.1331696</v>
      </c>
      <c r="R1578">
        <v>7.7543970000000004E-2</v>
      </c>
      <c r="S1578">
        <v>2.9695429999999998</v>
      </c>
      <c r="T1578">
        <v>0.17217499999999999</v>
      </c>
      <c r="U1578">
        <v>0.56108089999999999</v>
      </c>
      <c r="V1578">
        <v>-6.3143450000000004E-2</v>
      </c>
      <c r="W1578">
        <v>0.14408029999999999</v>
      </c>
      <c r="X1578">
        <v>0.98754940000000002</v>
      </c>
      <c r="Y1578">
        <v>-0.17089070000000001</v>
      </c>
      <c r="Z1578">
        <v>-4.059829E-3</v>
      </c>
      <c r="AA1578">
        <v>0.98528159999999998</v>
      </c>
      <c r="AB1578">
        <v>30</v>
      </c>
      <c r="AC1578">
        <v>83.449399999999898</v>
      </c>
      <c r="AD1578">
        <v>4.8555349999999997</v>
      </c>
      <c r="AE1578">
        <v>15.818299999999899</v>
      </c>
      <c r="AF1578">
        <v>-14.537956948310599</v>
      </c>
      <c r="AG1578">
        <v>4.8555349999999997</v>
      </c>
      <c r="AH1578">
        <v>83.401118030389696</v>
      </c>
      <c r="AI1578">
        <v>86.717441293820002</v>
      </c>
      <c r="AJ1578">
        <v>99.888087080782597</v>
      </c>
      <c r="AK1578">
        <v>84.797847266815396</v>
      </c>
      <c r="AL1578">
        <v>81.715975156872105</v>
      </c>
      <c r="AM1578">
        <v>93.658485338365395</v>
      </c>
      <c r="AN1578">
        <v>1.00000002278317</v>
      </c>
    </row>
    <row r="1579" spans="1:40" x14ac:dyDescent="0.3">
      <c r="A1579" t="str">
        <f>"20200111150819286"</f>
        <v>20200111150819286</v>
      </c>
      <c r="B1579" t="str">
        <f>"1578726499284413"</f>
        <v>1578726499284413</v>
      </c>
      <c r="C1579" t="s">
        <v>40</v>
      </c>
      <c r="D1579">
        <v>6.9201360000000003</v>
      </c>
      <c r="E1579">
        <v>0.44405129999999998</v>
      </c>
      <c r="F1579" t="s">
        <v>69</v>
      </c>
      <c r="G1579">
        <v>-256.82780000000002</v>
      </c>
      <c r="H1579">
        <v>4.8823470000000002</v>
      </c>
      <c r="I1579">
        <v>229.42259999999999</v>
      </c>
      <c r="J1579">
        <v>-341.37490000000003</v>
      </c>
      <c r="K1579">
        <v>1.1105659999999999</v>
      </c>
      <c r="L1579">
        <v>213.82849999999999</v>
      </c>
      <c r="M1579">
        <v>0.9998205</v>
      </c>
      <c r="N1579">
        <v>0</v>
      </c>
      <c r="O1579">
        <v>1.53423E-2</v>
      </c>
      <c r="P1579">
        <v>0.98792199999999997</v>
      </c>
      <c r="Q1579">
        <v>0.1333734</v>
      </c>
      <c r="R1579">
        <v>7.8877680000000006E-2</v>
      </c>
      <c r="S1579">
        <v>2.9754939999999999</v>
      </c>
      <c r="T1579">
        <v>0.132296</v>
      </c>
      <c r="U1579">
        <v>0.54713440000000002</v>
      </c>
      <c r="V1579">
        <v>-6.388779E-2</v>
      </c>
      <c r="W1579">
        <v>0.14429410000000001</v>
      </c>
      <c r="X1579">
        <v>0.98747030000000002</v>
      </c>
      <c r="Y1579">
        <v>-0.16559309999999999</v>
      </c>
      <c r="Z1579">
        <v>-2.9729909999999999E-3</v>
      </c>
      <c r="AA1579">
        <v>0.98618969999999995</v>
      </c>
      <c r="AB1579">
        <v>30</v>
      </c>
      <c r="AC1579">
        <v>84.5471</v>
      </c>
      <c r="AD1579">
        <v>3.7717809999999998</v>
      </c>
      <c r="AE1579">
        <v>15.5940999999999</v>
      </c>
      <c r="AF1579">
        <v>-14.267576166322099</v>
      </c>
      <c r="AG1579">
        <v>3.7717809999999998</v>
      </c>
      <c r="AH1579">
        <v>84.613554554991296</v>
      </c>
      <c r="AI1579">
        <v>87.483124587819304</v>
      </c>
      <c r="AJ1579">
        <v>99.571205960579803</v>
      </c>
      <c r="AK1579">
        <v>85.890882379937494</v>
      </c>
      <c r="AL1579">
        <v>81.703595898790297</v>
      </c>
      <c r="AM1579">
        <v>93.701788333561694</v>
      </c>
      <c r="AN1579">
        <v>1.0000000151939901</v>
      </c>
    </row>
    <row r="1580" spans="1:40" x14ac:dyDescent="0.3">
      <c r="A1580" t="str">
        <f>"20200111150819307"</f>
        <v>20200111150819307</v>
      </c>
      <c r="B1580" t="str">
        <f>"1578726499303932"</f>
        <v>1578726499303932</v>
      </c>
      <c r="C1580" t="s">
        <v>40</v>
      </c>
      <c r="D1580">
        <v>5.1702320000000004</v>
      </c>
      <c r="E1580">
        <v>0.45973269999999999</v>
      </c>
      <c r="F1580" t="s">
        <v>55</v>
      </c>
      <c r="G1580">
        <v>-327.92649999999998</v>
      </c>
      <c r="H1580" s="1">
        <v>2.6813130000000002E-6</v>
      </c>
      <c r="I1580">
        <v>216.85339999999999</v>
      </c>
      <c r="J1580">
        <v>-341.07979999999998</v>
      </c>
      <c r="K1580">
        <v>1.110549</v>
      </c>
      <c r="L1580">
        <v>213.83369999999999</v>
      </c>
      <c r="M1580">
        <v>0.99981129999999996</v>
      </c>
      <c r="N1580">
        <v>0</v>
      </c>
      <c r="O1580">
        <v>1.592089E-2</v>
      </c>
      <c r="P1580">
        <v>0.98782380000000003</v>
      </c>
      <c r="Q1580">
        <v>0.13355120000000001</v>
      </c>
      <c r="R1580">
        <v>7.9800599999999999E-2</v>
      </c>
      <c r="S1580">
        <v>3.0161440000000002</v>
      </c>
      <c r="T1580">
        <v>-0.24907209999999999</v>
      </c>
      <c r="U1580">
        <v>0.67840579999999995</v>
      </c>
      <c r="V1580">
        <v>-6.4231629999999998E-2</v>
      </c>
      <c r="W1580">
        <v>0.1444819</v>
      </c>
      <c r="X1580">
        <v>0.98742050000000003</v>
      </c>
      <c r="Y1580">
        <v>-0.20327429999999999</v>
      </c>
      <c r="Z1580">
        <v>6.9801739999999996E-3</v>
      </c>
      <c r="AA1580">
        <v>0.97909690000000005</v>
      </c>
      <c r="AB1580">
        <v>30</v>
      </c>
      <c r="AC1580">
        <v>13.1533</v>
      </c>
      <c r="AD1580">
        <v>-1.1105463186869999</v>
      </c>
      <c r="AE1580">
        <v>3.0196999999999998</v>
      </c>
      <c r="AF1580">
        <v>-2.7909922766820898</v>
      </c>
      <c r="AG1580">
        <v>-1.1105463186869999</v>
      </c>
      <c r="AH1580">
        <v>13.1109288516787</v>
      </c>
      <c r="AI1580">
        <v>94.735996745923501</v>
      </c>
      <c r="AJ1580">
        <v>102.01746913750399</v>
      </c>
      <c r="AK1580">
        <v>13.450628474841899</v>
      </c>
      <c r="AL1580">
        <v>81.6927215322726</v>
      </c>
      <c r="AM1580">
        <v>93.721842451724996</v>
      </c>
      <c r="AN1580">
        <v>0.999999982770158</v>
      </c>
    </row>
    <row r="1581" spans="1:40" x14ac:dyDescent="0.3">
      <c r="A1581" t="str">
        <f>"20200111150819331"</f>
        <v>20200111150819331</v>
      </c>
      <c r="B1581" t="str">
        <f>"1578726499324429"</f>
        <v>1578726499324429</v>
      </c>
      <c r="C1581" t="s">
        <v>40</v>
      </c>
      <c r="D1581">
        <v>4.7452959999999997</v>
      </c>
      <c r="E1581">
        <v>0.46745179999999997</v>
      </c>
      <c r="F1581" t="s">
        <v>55</v>
      </c>
      <c r="G1581">
        <v>-327.1318</v>
      </c>
      <c r="H1581" s="1">
        <v>2.2583850000000001E-6</v>
      </c>
      <c r="I1581">
        <v>216.40029999999999</v>
      </c>
      <c r="J1581">
        <v>-340.77010000000001</v>
      </c>
      <c r="K1581">
        <v>1.11052</v>
      </c>
      <c r="L1581">
        <v>213.83920000000001</v>
      </c>
      <c r="M1581">
        <v>0.99980199999999997</v>
      </c>
      <c r="N1581">
        <v>0</v>
      </c>
      <c r="O1581">
        <v>1.6484450000000001E-2</v>
      </c>
      <c r="P1581">
        <v>0.98762740000000004</v>
      </c>
      <c r="Q1581">
        <v>0.13452809999999901</v>
      </c>
      <c r="R1581">
        <v>8.0587010000000001E-2</v>
      </c>
      <c r="S1581">
        <v>3.0245669999999998</v>
      </c>
      <c r="T1581">
        <v>-0.2408168</v>
      </c>
      <c r="U1581">
        <v>0.55656430000000001</v>
      </c>
      <c r="V1581">
        <v>-6.4454319999999996E-2</v>
      </c>
      <c r="W1581">
        <v>0.14546889999999901</v>
      </c>
      <c r="X1581">
        <v>0.9872611</v>
      </c>
      <c r="Y1581">
        <v>-0.16428609999999999</v>
      </c>
      <c r="Z1581">
        <v>5.1766950000000003E-3</v>
      </c>
      <c r="AA1581">
        <v>0.98639920000000003</v>
      </c>
      <c r="AB1581">
        <v>30</v>
      </c>
      <c r="AC1581">
        <v>13.638299999999999</v>
      </c>
      <c r="AD1581">
        <v>-1.1105177416150001</v>
      </c>
      <c r="AE1581">
        <v>2.5610999999999802</v>
      </c>
      <c r="AF1581">
        <v>-2.3210531360069599</v>
      </c>
      <c r="AG1581">
        <v>-1.1105177416150001</v>
      </c>
      <c r="AH1581">
        <v>13.591621210394999</v>
      </c>
      <c r="AI1581">
        <v>94.604669193831199</v>
      </c>
      <c r="AJ1581">
        <v>99.690967492222399</v>
      </c>
      <c r="AK1581">
        <v>13.833029474466899</v>
      </c>
      <c r="AL1581">
        <v>81.635567082005807</v>
      </c>
      <c r="AM1581">
        <v>93.735310849119301</v>
      </c>
      <c r="AN1581">
        <v>1.0000000199035399</v>
      </c>
    </row>
    <row r="1582" spans="1:40" x14ac:dyDescent="0.3">
      <c r="A1582" t="str">
        <f>"20200111150819353"</f>
        <v>20200111150819353</v>
      </c>
      <c r="B1582" t="str">
        <f>"1578726499343950"</f>
        <v>1578726499343950</v>
      </c>
      <c r="C1582" t="s">
        <v>40</v>
      </c>
      <c r="D1582">
        <v>5.3161199999999997</v>
      </c>
      <c r="E1582">
        <v>0.47125620000000001</v>
      </c>
      <c r="F1582" t="s">
        <v>55</v>
      </c>
      <c r="G1582">
        <v>-325.58949999999999</v>
      </c>
      <c r="H1582" s="1">
        <v>1.4376579999999999E-6</v>
      </c>
      <c r="I1582">
        <v>216.33510000000001</v>
      </c>
      <c r="J1582">
        <v>-340.4599</v>
      </c>
      <c r="K1582">
        <v>1.1104860000000001</v>
      </c>
      <c r="L1582">
        <v>213.8449</v>
      </c>
      <c r="M1582">
        <v>0.99979340000000005</v>
      </c>
      <c r="N1582">
        <v>0</v>
      </c>
      <c r="O1582">
        <v>1.7001059999999998E-2</v>
      </c>
      <c r="P1582">
        <v>0.98756189999999999</v>
      </c>
      <c r="Q1582">
        <v>0.13509079999999901</v>
      </c>
      <c r="R1582">
        <v>8.0450480000000005E-2</v>
      </c>
      <c r="S1582">
        <v>3.0271300000000001</v>
      </c>
      <c r="T1582">
        <v>-0.22144610000000001</v>
      </c>
      <c r="U1582">
        <v>0.49769590000000002</v>
      </c>
      <c r="V1582">
        <v>-6.3796850000000002E-2</v>
      </c>
      <c r="W1582">
        <v>0.14604389999999901</v>
      </c>
      <c r="X1582">
        <v>0.98721890000000001</v>
      </c>
      <c r="Y1582">
        <v>-0.14510029999999999</v>
      </c>
      <c r="Z1582">
        <v>4.031649E-3</v>
      </c>
      <c r="AA1582">
        <v>0.98940870000000003</v>
      </c>
      <c r="AB1582">
        <v>30</v>
      </c>
      <c r="AC1582">
        <v>14.8704</v>
      </c>
      <c r="AD1582">
        <v>-1.1104845623420001</v>
      </c>
      <c r="AE1582">
        <v>2.49020000000001</v>
      </c>
      <c r="AF1582">
        <v>-2.2249423526313299</v>
      </c>
      <c r="AG1582">
        <v>-1.1104845623420001</v>
      </c>
      <c r="AH1582">
        <v>14.8301414734501</v>
      </c>
      <c r="AI1582">
        <v>94.2351075197613</v>
      </c>
      <c r="AJ1582">
        <v>98.532356829318601</v>
      </c>
      <c r="AK1582">
        <v>15.0371752852149</v>
      </c>
      <c r="AL1582">
        <v>81.602266270809295</v>
      </c>
      <c r="AM1582">
        <v>93.697472434204002</v>
      </c>
      <c r="AN1582">
        <v>1.00000000765717</v>
      </c>
    </row>
    <row r="1583" spans="1:40" x14ac:dyDescent="0.3">
      <c r="A1583" t="str">
        <f>"20200111150819375"</f>
        <v>20200111150819375</v>
      </c>
      <c r="B1583" t="str">
        <f>"1578726499364444"</f>
        <v>1578726499364444</v>
      </c>
      <c r="C1583" t="s">
        <v>40</v>
      </c>
      <c r="D1583">
        <v>6.8786789999999902</v>
      </c>
      <c r="E1583">
        <v>0.47347539999999999</v>
      </c>
      <c r="F1583" t="s">
        <v>55</v>
      </c>
      <c r="G1583">
        <v>-324.84140000000002</v>
      </c>
      <c r="H1583" s="1">
        <v>1.0395420000000001E-6</v>
      </c>
      <c r="I1583">
        <v>216.2551</v>
      </c>
      <c r="J1583">
        <v>-340.1644</v>
      </c>
      <c r="K1583">
        <v>1.1104449999999999</v>
      </c>
      <c r="L1583">
        <v>213.85040000000001</v>
      </c>
      <c r="M1583">
        <v>0.99978549999999999</v>
      </c>
      <c r="N1583">
        <v>0</v>
      </c>
      <c r="O1583">
        <v>1.7446960000000001E-2</v>
      </c>
      <c r="P1583">
        <v>0.98759370000000002</v>
      </c>
      <c r="Q1583">
        <v>0.1349427</v>
      </c>
      <c r="R1583">
        <v>8.0307710000000004E-2</v>
      </c>
      <c r="S1583">
        <v>3.0291440000000001</v>
      </c>
      <c r="T1583">
        <v>-0.2153735</v>
      </c>
      <c r="U1583">
        <v>0.46743770000000001</v>
      </c>
      <c r="V1583">
        <v>-6.3200270000000003E-2</v>
      </c>
      <c r="W1583">
        <v>0.1459076</v>
      </c>
      <c r="X1583">
        <v>0.98727739999999997</v>
      </c>
      <c r="Y1583">
        <v>-0.1349516</v>
      </c>
      <c r="Z1583">
        <v>3.5321490000000001E-3</v>
      </c>
      <c r="AA1583">
        <v>0.99084589999999995</v>
      </c>
      <c r="AB1583">
        <v>30</v>
      </c>
      <c r="AC1583">
        <v>15.322999999999899</v>
      </c>
      <c r="AD1583">
        <v>-1.1104439604580001</v>
      </c>
      <c r="AE1583">
        <v>2.4046999999999898</v>
      </c>
      <c r="AF1583">
        <v>-2.1260802140994701</v>
      </c>
      <c r="AG1583">
        <v>-1.1104439604580001</v>
      </c>
      <c r="AH1583">
        <v>15.284284555088799</v>
      </c>
      <c r="AI1583">
        <v>94.115898602775303</v>
      </c>
      <c r="AJ1583">
        <v>97.919162469414005</v>
      </c>
      <c r="AK1583">
        <v>15.471349560624301</v>
      </c>
      <c r="AL1583">
        <v>81.6101600378163</v>
      </c>
      <c r="AM1583">
        <v>93.662774584712906</v>
      </c>
      <c r="AN1583">
        <v>0.99999998320829597</v>
      </c>
    </row>
    <row r="1584" spans="1:40" x14ac:dyDescent="0.3">
      <c r="A1584" t="str">
        <f>"20200111150819397"</f>
        <v>20200111150819397</v>
      </c>
      <c r="B1584" t="str">
        <f>"1578726499394701"</f>
        <v>1578726499394701</v>
      </c>
      <c r="C1584" t="s">
        <v>40</v>
      </c>
      <c r="D1584">
        <v>7.3173309999999896</v>
      </c>
      <c r="E1584">
        <v>0.47116059999999998</v>
      </c>
      <c r="F1584" t="s">
        <v>55</v>
      </c>
      <c r="G1584">
        <v>-323.7801</v>
      </c>
      <c r="H1584" s="1">
        <v>4.7481060000000001E-7</v>
      </c>
      <c r="I1584">
        <v>216.2817</v>
      </c>
      <c r="J1584">
        <v>-339.86900000000003</v>
      </c>
      <c r="K1584">
        <v>1.110412</v>
      </c>
      <c r="L1584">
        <v>213.85599999999999</v>
      </c>
      <c r="M1584">
        <v>0.99977839999999996</v>
      </c>
      <c r="N1584">
        <v>0</v>
      </c>
      <c r="O1584">
        <v>1.7847490000000001E-2</v>
      </c>
      <c r="P1584">
        <v>0.98768730000000005</v>
      </c>
      <c r="Q1584">
        <v>0.1345404</v>
      </c>
      <c r="R1584">
        <v>7.9830040000000005E-2</v>
      </c>
      <c r="S1584">
        <v>3.0292050000000001</v>
      </c>
      <c r="T1584">
        <v>-0.20530470000000001</v>
      </c>
      <c r="U1584">
        <v>0.44950869999999998</v>
      </c>
      <c r="V1584">
        <v>-6.2311760000000001E-2</v>
      </c>
      <c r="W1584">
        <v>0.14551789999999901</v>
      </c>
      <c r="X1584">
        <v>0.98739140000000003</v>
      </c>
      <c r="Y1584">
        <v>-0.12885669999999999</v>
      </c>
      <c r="Z1584">
        <v>3.136659E-3</v>
      </c>
      <c r="AA1584">
        <v>0.99165829999999999</v>
      </c>
      <c r="AB1584">
        <v>30</v>
      </c>
      <c r="AC1584">
        <v>16.088899999999999</v>
      </c>
      <c r="AD1584">
        <v>-1.1104115251894</v>
      </c>
      <c r="AE1584">
        <v>2.4257</v>
      </c>
      <c r="AF1584">
        <v>-2.12823692978899</v>
      </c>
      <c r="AG1584">
        <v>-1.1104115251894</v>
      </c>
      <c r="AH1584">
        <v>16.0548567639391</v>
      </c>
      <c r="AI1584">
        <v>93.922278041298497</v>
      </c>
      <c r="AJ1584">
        <v>97.551122128093198</v>
      </c>
      <c r="AK1584">
        <v>16.233324733251401</v>
      </c>
      <c r="AL1584">
        <v>81.632729189890696</v>
      </c>
      <c r="AM1584">
        <v>93.611002336721199</v>
      </c>
      <c r="AN1584">
        <v>0.99999999572433296</v>
      </c>
    </row>
    <row r="1585" spans="1:40" x14ac:dyDescent="0.3">
      <c r="A1585" t="str">
        <f>"20200111150819412"</f>
        <v>20200111150819412</v>
      </c>
      <c r="B1585" t="str">
        <f>"1578726499404462"</f>
        <v>1578726499404462</v>
      </c>
      <c r="C1585" t="s">
        <v>40</v>
      </c>
      <c r="D1585">
        <v>5.6808100000000001</v>
      </c>
      <c r="E1585">
        <v>0.4763249</v>
      </c>
      <c r="F1585" t="s">
        <v>72</v>
      </c>
      <c r="G1585">
        <v>-234.64080000000001</v>
      </c>
      <c r="H1585">
        <v>13.06718</v>
      </c>
      <c r="I1585">
        <v>230.5497</v>
      </c>
      <c r="J1585">
        <v>-339.66789999999997</v>
      </c>
      <c r="K1585">
        <v>1.1103860000000001</v>
      </c>
      <c r="L1585">
        <v>213.85980000000001</v>
      </c>
      <c r="M1585">
        <v>0.99977400000000005</v>
      </c>
      <c r="N1585">
        <v>0</v>
      </c>
      <c r="O1585">
        <v>1.809274E-2</v>
      </c>
      <c r="P1585">
        <v>0.9877087</v>
      </c>
      <c r="Q1585">
        <v>0.13451830000000001</v>
      </c>
      <c r="R1585">
        <v>7.9602870000000006E-2</v>
      </c>
      <c r="S1585">
        <v>2.9537960000000001</v>
      </c>
      <c r="T1585">
        <v>0.33563110000000002</v>
      </c>
      <c r="U1585">
        <v>0.4685974</v>
      </c>
      <c r="V1585">
        <v>-6.1832579999999998E-2</v>
      </c>
      <c r="W1585">
        <v>0.1455033</v>
      </c>
      <c r="X1585">
        <v>0.98742370000000002</v>
      </c>
      <c r="Y1585">
        <v>-0.13803460000000001</v>
      </c>
      <c r="Z1585">
        <v>-5.7330289999999997E-3</v>
      </c>
      <c r="AA1585">
        <v>0.99041080000000004</v>
      </c>
      <c r="AB1585">
        <v>30</v>
      </c>
      <c r="AC1585">
        <v>105.027099999999</v>
      </c>
      <c r="AD1585">
        <v>11.956794</v>
      </c>
      <c r="AE1585">
        <v>16.689899999999898</v>
      </c>
      <c r="AF1585">
        <v>-14.6022284101509</v>
      </c>
      <c r="AG1585">
        <v>11.956794</v>
      </c>
      <c r="AH1585">
        <v>103.99721848156</v>
      </c>
      <c r="AI1585">
        <v>83.504536674874799</v>
      </c>
      <c r="AJ1585">
        <v>97.992637421869603</v>
      </c>
      <c r="AK1585">
        <v>105.695844048865</v>
      </c>
      <c r="AL1585">
        <v>81.633574918599606</v>
      </c>
      <c r="AM1585">
        <v>93.5831893012938</v>
      </c>
      <c r="AN1585">
        <v>1.00000002079101</v>
      </c>
    </row>
    <row r="1586" spans="1:40" x14ac:dyDescent="0.3">
      <c r="A1586" t="str">
        <f>"20200111150819432"</f>
        <v>20200111150819432</v>
      </c>
      <c r="B1586" t="str">
        <f>"1578726499423981"</f>
        <v>1578726499423981</v>
      </c>
      <c r="C1586" t="s">
        <v>40</v>
      </c>
      <c r="D1586">
        <v>5.679011</v>
      </c>
      <c r="E1586">
        <v>0.47344540000000002</v>
      </c>
      <c r="F1586" t="s">
        <v>70</v>
      </c>
      <c r="G1586">
        <v>-157.25</v>
      </c>
      <c r="H1586">
        <v>19.16</v>
      </c>
      <c r="I1586">
        <v>240.1276</v>
      </c>
      <c r="J1586">
        <v>-339.39249999999998</v>
      </c>
      <c r="K1586">
        <v>1.110352</v>
      </c>
      <c r="L1586">
        <v>213.86519999999999</v>
      </c>
      <c r="M1586">
        <v>0.99976849999999995</v>
      </c>
      <c r="N1586">
        <v>0</v>
      </c>
      <c r="O1586">
        <v>1.8403220000000001E-2</v>
      </c>
      <c r="P1586">
        <v>0.9877842</v>
      </c>
      <c r="Q1586">
        <v>0.13433829999999999</v>
      </c>
      <c r="R1586">
        <v>7.8966369999999994E-2</v>
      </c>
      <c r="S1586">
        <v>2.9630130000000001</v>
      </c>
      <c r="T1586">
        <v>0.29318070000000002</v>
      </c>
      <c r="U1586">
        <v>0.4266663</v>
      </c>
      <c r="V1586">
        <v>-6.087687E-2</v>
      </c>
      <c r="W1586">
        <v>0.1453335</v>
      </c>
      <c r="X1586">
        <v>0.9875081</v>
      </c>
      <c r="Y1586">
        <v>-0.1237829</v>
      </c>
      <c r="Z1586">
        <v>-4.271235E-3</v>
      </c>
      <c r="AA1586">
        <v>0.99230019999999997</v>
      </c>
      <c r="AB1586">
        <v>30</v>
      </c>
      <c r="AC1586">
        <v>182.14250000000001</v>
      </c>
      <c r="AD1586">
        <v>18.049648000000001</v>
      </c>
      <c r="AE1586">
        <v>26.2624</v>
      </c>
      <c r="AF1586">
        <v>-22.6874796718363</v>
      </c>
      <c r="AG1586">
        <v>18.049648000000001</v>
      </c>
      <c r="AH1586">
        <v>180.855151551674</v>
      </c>
      <c r="AI1586">
        <v>84.344690740869694</v>
      </c>
      <c r="AJ1586">
        <v>97.150152145569095</v>
      </c>
      <c r="AK1586">
        <v>183.164126863212</v>
      </c>
      <c r="AL1586">
        <v>81.6434083751613</v>
      </c>
      <c r="AM1586">
        <v>93.527646251384297</v>
      </c>
      <c r="AN1586">
        <v>1.0000000335444199</v>
      </c>
    </row>
    <row r="1587" spans="1:40" x14ac:dyDescent="0.3">
      <c r="A1587" t="str">
        <f>"20200111150819454"</f>
        <v>20200111150819454</v>
      </c>
      <c r="B1587" t="str">
        <f>"1578726499444476"</f>
        <v>1578726499444476</v>
      </c>
      <c r="C1587" t="s">
        <v>40</v>
      </c>
      <c r="D1587">
        <v>7.7167919999999999</v>
      </c>
      <c r="E1587">
        <v>0.47307539999999998</v>
      </c>
      <c r="F1587" t="s">
        <v>70</v>
      </c>
      <c r="G1587">
        <v>-157.25</v>
      </c>
      <c r="H1587">
        <v>20.731760000000001</v>
      </c>
      <c r="I1587">
        <v>241.43199999999999</v>
      </c>
      <c r="J1587">
        <v>-339.10149999999999</v>
      </c>
      <c r="K1587">
        <v>1.110322</v>
      </c>
      <c r="L1587">
        <v>213.8708</v>
      </c>
      <c r="M1587">
        <v>0.99976279999999995</v>
      </c>
      <c r="N1587">
        <v>0</v>
      </c>
      <c r="O1587">
        <v>1.8701760000000001E-2</v>
      </c>
      <c r="P1587">
        <v>0.98788229999999999</v>
      </c>
      <c r="Q1587">
        <v>0.1337402</v>
      </c>
      <c r="R1587">
        <v>7.8754539999999998E-2</v>
      </c>
      <c r="S1587">
        <v>2.9579469999999999</v>
      </c>
      <c r="T1587">
        <v>0.31864730000000002</v>
      </c>
      <c r="U1587">
        <v>0.44767760000000001</v>
      </c>
      <c r="V1587">
        <v>-6.0358040000000002E-2</v>
      </c>
      <c r="W1587">
        <v>0.1447446</v>
      </c>
      <c r="X1587">
        <v>0.98762640000000002</v>
      </c>
      <c r="Y1587">
        <v>-0.1304929</v>
      </c>
      <c r="Z1587">
        <v>-4.9721990000000001E-3</v>
      </c>
      <c r="AA1587">
        <v>0.99143680000000001</v>
      </c>
      <c r="AB1587">
        <v>30</v>
      </c>
      <c r="AC1587">
        <v>181.85149999999999</v>
      </c>
      <c r="AD1587">
        <v>19.621438000000001</v>
      </c>
      <c r="AE1587">
        <v>27.561199999999999</v>
      </c>
      <c r="AF1587">
        <v>-23.883416659842698</v>
      </c>
      <c r="AG1587">
        <v>19.621438000000001</v>
      </c>
      <c r="AH1587">
        <v>180.28343380453401</v>
      </c>
      <c r="AI1587">
        <v>83.841953743318996</v>
      </c>
      <c r="AJ1587">
        <v>97.546433264548</v>
      </c>
      <c r="AK1587">
        <v>182.91400964630799</v>
      </c>
      <c r="AL1587">
        <v>81.677510168135498</v>
      </c>
      <c r="AM1587">
        <v>93.497238527023697</v>
      </c>
      <c r="AN1587">
        <v>0.99999999909937998</v>
      </c>
    </row>
    <row r="1588" spans="1:40" x14ac:dyDescent="0.3">
      <c r="A1588" t="str">
        <f>"20200111150819476"</f>
        <v>20200111150819476</v>
      </c>
      <c r="B1588" t="str">
        <f>"1578726499473757"</f>
        <v>1578726499473757</v>
      </c>
      <c r="C1588" t="s">
        <v>40</v>
      </c>
      <c r="D1588">
        <v>8.1772500000000008</v>
      </c>
      <c r="E1588">
        <v>0.47174319999999997</v>
      </c>
      <c r="F1588" t="s">
        <v>70</v>
      </c>
      <c r="G1588">
        <v>-157.25</v>
      </c>
      <c r="H1588">
        <v>21.389859999999999</v>
      </c>
      <c r="I1588">
        <v>241.5566</v>
      </c>
      <c r="J1588">
        <v>-338.79899999999998</v>
      </c>
      <c r="K1588">
        <v>1.1102989999999999</v>
      </c>
      <c r="L1588">
        <v>213.8768</v>
      </c>
      <c r="M1588">
        <v>0.99975729999999996</v>
      </c>
      <c r="N1588">
        <v>0</v>
      </c>
      <c r="O1588">
        <v>1.8987359999999998E-2</v>
      </c>
      <c r="P1588">
        <v>0.98807679999999998</v>
      </c>
      <c r="Q1588">
        <v>0.13315109999999999</v>
      </c>
      <c r="R1588">
        <v>7.7298140000000001E-2</v>
      </c>
      <c r="S1588">
        <v>2.9562680000000001</v>
      </c>
      <c r="T1588">
        <v>0.3296752</v>
      </c>
      <c r="U1588">
        <v>0.45007320000000001</v>
      </c>
      <c r="V1588">
        <v>-5.8607289999999999E-2</v>
      </c>
      <c r="W1588">
        <v>0.14416570000000001</v>
      </c>
      <c r="X1588">
        <v>0.98781649999999999</v>
      </c>
      <c r="Y1588">
        <v>-0.1310317</v>
      </c>
      <c r="Z1588">
        <v>-5.1440540000000003E-3</v>
      </c>
      <c r="AA1588">
        <v>0.99136480000000005</v>
      </c>
      <c r="AB1588">
        <v>30</v>
      </c>
      <c r="AC1588">
        <v>181.54900000000001</v>
      </c>
      <c r="AD1588">
        <v>20.279560999999902</v>
      </c>
      <c r="AE1588">
        <v>27.6798</v>
      </c>
      <c r="AF1588">
        <v>-23.935585206589401</v>
      </c>
      <c r="AG1588">
        <v>20.279560999999902</v>
      </c>
      <c r="AH1588">
        <v>179.84877318507699</v>
      </c>
      <c r="AI1588">
        <v>83.622325754268402</v>
      </c>
      <c r="AJ1588">
        <v>97.580791721797993</v>
      </c>
      <c r="AK1588">
        <v>182.56438330000699</v>
      </c>
      <c r="AL1588">
        <v>81.711030288546894</v>
      </c>
      <c r="AM1588">
        <v>93.395386286980994</v>
      </c>
      <c r="AN1588">
        <v>1.0000000005849401</v>
      </c>
    </row>
    <row r="1589" spans="1:40" x14ac:dyDescent="0.3">
      <c r="A1589" t="str">
        <f>"20200111150819499"</f>
        <v>20200111150819499</v>
      </c>
      <c r="B1589" t="str">
        <f>"1578726499494254"</f>
        <v>1578726499494254</v>
      </c>
      <c r="C1589" t="s">
        <v>40</v>
      </c>
      <c r="D1589">
        <v>5.7191090000000004</v>
      </c>
      <c r="E1589">
        <v>0.46961069999999999</v>
      </c>
      <c r="F1589" t="s">
        <v>70</v>
      </c>
      <c r="G1589">
        <v>-157.25</v>
      </c>
      <c r="H1589">
        <v>23.854340000000001</v>
      </c>
      <c r="I1589">
        <v>241.97219999999999</v>
      </c>
      <c r="J1589">
        <v>-338.48829999999998</v>
      </c>
      <c r="K1589">
        <v>1.1102810000000001</v>
      </c>
      <c r="L1589">
        <v>213.88300000000001</v>
      </c>
      <c r="M1589">
        <v>0.99975199999999997</v>
      </c>
      <c r="N1589">
        <v>0</v>
      </c>
      <c r="O1589">
        <v>1.9261239999999999E-2</v>
      </c>
      <c r="P1589">
        <v>0.98825220000000003</v>
      </c>
      <c r="Q1589">
        <v>0.13309679999999999</v>
      </c>
      <c r="R1589">
        <v>7.5118729999999995E-2</v>
      </c>
      <c r="S1589">
        <v>2.9506230000000002</v>
      </c>
      <c r="T1589">
        <v>0.36964809999999998</v>
      </c>
      <c r="U1589">
        <v>0.45661930000000001</v>
      </c>
      <c r="V1589">
        <v>-5.6147780000000001E-2</v>
      </c>
      <c r="W1589">
        <v>0.14412039999999901</v>
      </c>
      <c r="X1589">
        <v>0.98796589999999995</v>
      </c>
      <c r="Y1589">
        <v>-0.13300120000000001</v>
      </c>
      <c r="Z1589">
        <v>-5.8613769999999897E-3</v>
      </c>
      <c r="AA1589">
        <v>0.99109849999999999</v>
      </c>
      <c r="AB1589">
        <v>30</v>
      </c>
      <c r="AC1589">
        <v>181.23830000000001</v>
      </c>
      <c r="AD1589">
        <v>22.744059</v>
      </c>
      <c r="AE1589">
        <v>28.089200000000002</v>
      </c>
      <c r="AF1589">
        <v>-24.2204107793284</v>
      </c>
      <c r="AG1589">
        <v>22.744059</v>
      </c>
      <c r="AH1589">
        <v>178.993010844748</v>
      </c>
      <c r="AI1589">
        <v>82.823134856561595</v>
      </c>
      <c r="AJ1589">
        <v>97.706163205622204</v>
      </c>
      <c r="AK1589">
        <v>182.05059310362901</v>
      </c>
      <c r="AL1589">
        <v>81.713652683260094</v>
      </c>
      <c r="AM1589">
        <v>93.252717547401303</v>
      </c>
      <c r="AN1589">
        <v>0.99999994122894698</v>
      </c>
    </row>
    <row r="1590" spans="1:40" x14ac:dyDescent="0.3">
      <c r="A1590" t="str">
        <f>"20200111150819521"</f>
        <v>20200111150819521</v>
      </c>
      <c r="B1590" t="str">
        <f>"1578726499513773"</f>
        <v>1578726499513773</v>
      </c>
      <c r="C1590" t="s">
        <v>40</v>
      </c>
      <c r="D1590">
        <v>6.4193519999999999</v>
      </c>
      <c r="E1590">
        <v>0.47151670000000001</v>
      </c>
      <c r="F1590" t="s">
        <v>72</v>
      </c>
      <c r="G1590">
        <v>-234.16640000000001</v>
      </c>
      <c r="H1590">
        <v>14.18694</v>
      </c>
      <c r="I1590">
        <v>230.3981</v>
      </c>
      <c r="J1590">
        <v>-338.18770000000001</v>
      </c>
      <c r="K1590">
        <v>1.110274</v>
      </c>
      <c r="L1590">
        <v>213.88910000000001</v>
      </c>
      <c r="M1590">
        <v>0.9997471</v>
      </c>
      <c r="N1590">
        <v>0</v>
      </c>
      <c r="O1590">
        <v>1.9515339999999999E-2</v>
      </c>
      <c r="P1590">
        <v>0.98839589999999999</v>
      </c>
      <c r="Q1590">
        <v>0.13299920000000001</v>
      </c>
      <c r="R1590">
        <v>7.3383279999999995E-2</v>
      </c>
      <c r="S1590">
        <v>2.9503780000000002</v>
      </c>
      <c r="T1590">
        <v>0.36982720000000002</v>
      </c>
      <c r="U1590">
        <v>0.46707149999999997</v>
      </c>
      <c r="V1590">
        <v>-5.41547E-2</v>
      </c>
      <c r="W1590">
        <v>0.14402980000000001</v>
      </c>
      <c r="X1590">
        <v>0.98809040000000004</v>
      </c>
      <c r="Y1590">
        <v>-0.1361656</v>
      </c>
      <c r="Z1590">
        <v>-6.0279519999999996E-3</v>
      </c>
      <c r="AA1590">
        <v>0.99066779999999999</v>
      </c>
      <c r="AB1590">
        <v>30</v>
      </c>
      <c r="AC1590">
        <v>104.0213</v>
      </c>
      <c r="AD1590">
        <v>13.076665999999999</v>
      </c>
      <c r="AE1590">
        <v>16.508999999999901</v>
      </c>
      <c r="AF1590">
        <v>-14.2559609394382</v>
      </c>
      <c r="AG1590">
        <v>13.076665999999999</v>
      </c>
      <c r="AH1590">
        <v>102.73994143703599</v>
      </c>
      <c r="AI1590">
        <v>82.814549487520495</v>
      </c>
      <c r="AJ1590">
        <v>97.899789876677303</v>
      </c>
      <c r="AK1590">
        <v>104.545335536637</v>
      </c>
      <c r="AL1590">
        <v>81.718898706923795</v>
      </c>
      <c r="AM1590">
        <v>93.137096074910502</v>
      </c>
      <c r="AN1590">
        <v>0.99999997669614404</v>
      </c>
    </row>
    <row r="1591" spans="1:40" x14ac:dyDescent="0.3">
      <c r="A1591" t="str">
        <f>"20200111150819543"</f>
        <v>20200111150819543</v>
      </c>
      <c r="B1591" t="str">
        <f>"1578726499534268"</f>
        <v>1578726499534268</v>
      </c>
      <c r="C1591" t="s">
        <v>40</v>
      </c>
      <c r="D1591">
        <v>6.7826589999999998</v>
      </c>
      <c r="E1591">
        <v>0.47438209999999997</v>
      </c>
      <c r="F1591" t="s">
        <v>70</v>
      </c>
      <c r="G1591">
        <v>-157.25</v>
      </c>
      <c r="H1591">
        <v>23.204930000000001</v>
      </c>
      <c r="I1591">
        <v>241.25659999999999</v>
      </c>
      <c r="J1591">
        <v>-337.88569999999999</v>
      </c>
      <c r="K1591">
        <v>1.1102650000000001</v>
      </c>
      <c r="L1591">
        <v>213.89529999999999</v>
      </c>
      <c r="M1591">
        <v>0.99974220000000003</v>
      </c>
      <c r="N1591">
        <v>0</v>
      </c>
      <c r="O1591">
        <v>1.976609E-2</v>
      </c>
      <c r="P1591">
        <v>0.98850870000000002</v>
      </c>
      <c r="Q1591">
        <v>0.1326167</v>
      </c>
      <c r="R1591">
        <v>7.2550009999999998E-2</v>
      </c>
      <c r="S1591">
        <v>2.953522</v>
      </c>
      <c r="T1591">
        <v>0.36066130000000002</v>
      </c>
      <c r="U1591">
        <v>0.44673160000000001</v>
      </c>
      <c r="V1591">
        <v>-5.3067820000000002E-2</v>
      </c>
      <c r="W1591">
        <v>0.143652799999999</v>
      </c>
      <c r="X1591">
        <v>0.98820419999999998</v>
      </c>
      <c r="Y1591">
        <v>-0.12918450000000001</v>
      </c>
      <c r="Z1591">
        <v>-5.423921E-3</v>
      </c>
      <c r="AA1591">
        <v>0.99160579999999998</v>
      </c>
      <c r="AB1591">
        <v>30</v>
      </c>
      <c r="AC1591">
        <v>180.63570000000001</v>
      </c>
      <c r="AD1591">
        <v>22.094664999999999</v>
      </c>
      <c r="AE1591">
        <v>27.3613</v>
      </c>
      <c r="AF1591">
        <v>-23.442408408095801</v>
      </c>
      <c r="AG1591">
        <v>22.094664999999999</v>
      </c>
      <c r="AH1591">
        <v>178.53014123746499</v>
      </c>
      <c r="AI1591">
        <v>83.004466530201697</v>
      </c>
      <c r="AJ1591">
        <v>97.480588522983396</v>
      </c>
      <c r="AK1591">
        <v>181.413152951222</v>
      </c>
      <c r="AL1591">
        <v>81.740725822978703</v>
      </c>
      <c r="AM1591">
        <v>93.073903494036898</v>
      </c>
      <c r="AN1591">
        <v>0.99999993068251303</v>
      </c>
    </row>
    <row r="1592" spans="1:40" x14ac:dyDescent="0.3">
      <c r="A1592" t="str">
        <f>"20200111150819565"</f>
        <v>20200111150819565</v>
      </c>
      <c r="B1592" t="str">
        <f>"1578726499553792"</f>
        <v>1578726499553792</v>
      </c>
      <c r="C1592" t="s">
        <v>40</v>
      </c>
      <c r="D1592">
        <v>5.2947480000000002</v>
      </c>
      <c r="E1592">
        <v>0.47438209999999997</v>
      </c>
      <c r="F1592" t="s">
        <v>70</v>
      </c>
      <c r="G1592">
        <v>-157.25</v>
      </c>
      <c r="H1592">
        <v>24.310559999999999</v>
      </c>
      <c r="I1592">
        <v>239.6636</v>
      </c>
      <c r="J1592">
        <v>-337.58629999999999</v>
      </c>
      <c r="K1592">
        <v>1.1102590000000001</v>
      </c>
      <c r="L1592">
        <v>213.9014</v>
      </c>
      <c r="M1592">
        <v>0.99973719999999999</v>
      </c>
      <c r="N1592">
        <v>0</v>
      </c>
      <c r="O1592">
        <v>2.001385E-2</v>
      </c>
      <c r="P1592">
        <v>0.9886585</v>
      </c>
      <c r="Q1592">
        <v>0.1319526</v>
      </c>
      <c r="R1592">
        <v>7.1713250000000006E-2</v>
      </c>
      <c r="S1592">
        <v>2.9530639999999999</v>
      </c>
      <c r="T1592">
        <v>0.37928329999999999</v>
      </c>
      <c r="U1592">
        <v>0.42126459999999999</v>
      </c>
      <c r="V1592">
        <v>-5.198146E-2</v>
      </c>
      <c r="W1592">
        <v>0.1429945</v>
      </c>
      <c r="X1592">
        <v>0.9883575</v>
      </c>
      <c r="Y1592">
        <v>-0.1205719</v>
      </c>
      <c r="Z1592">
        <v>-5.126518E-3</v>
      </c>
      <c r="AA1592">
        <v>0.99269130000000005</v>
      </c>
      <c r="AB1592">
        <v>30</v>
      </c>
      <c r="AC1592">
        <v>180.33629999999999</v>
      </c>
      <c r="AD1592">
        <v>23.200301</v>
      </c>
      <c r="AE1592">
        <v>25.7622</v>
      </c>
      <c r="AF1592">
        <v>-21.794092918243901</v>
      </c>
      <c r="AG1592">
        <v>23.200301</v>
      </c>
      <c r="AH1592">
        <v>177.92981110494301</v>
      </c>
      <c r="AI1592">
        <v>82.625604518347401</v>
      </c>
      <c r="AJ1592">
        <v>96.983204941036007</v>
      </c>
      <c r="AK1592">
        <v>180.754679420645</v>
      </c>
      <c r="AL1592">
        <v>81.778837872218702</v>
      </c>
      <c r="AM1592">
        <v>93.010627940665898</v>
      </c>
      <c r="AN1592">
        <v>1.0000000235101101</v>
      </c>
    </row>
    <row r="1593" spans="1:40" x14ac:dyDescent="0.3">
      <c r="A1593" t="str">
        <f>"20200111150819586"</f>
        <v>20200111150819586</v>
      </c>
      <c r="B1593" t="str">
        <f>"1578726499584045"</f>
        <v>1578726499584045</v>
      </c>
      <c r="C1593" t="s">
        <v>40</v>
      </c>
      <c r="D1593">
        <v>5.2824600000000004</v>
      </c>
      <c r="E1593">
        <v>0.580449199999999</v>
      </c>
      <c r="F1593" t="s">
        <v>70</v>
      </c>
      <c r="G1593">
        <v>-157.25</v>
      </c>
      <c r="H1593">
        <v>24.163440000000001</v>
      </c>
      <c r="I1593">
        <v>239.47659999999999</v>
      </c>
      <c r="J1593">
        <v>-337.29390000000001</v>
      </c>
      <c r="K1593">
        <v>1.110255</v>
      </c>
      <c r="L1593">
        <v>213.9075</v>
      </c>
      <c r="M1593">
        <v>0.99973230000000002</v>
      </c>
      <c r="N1593">
        <v>0</v>
      </c>
      <c r="O1593">
        <v>2.0256980000000001E-2</v>
      </c>
      <c r="P1593">
        <v>0.98860389999999998</v>
      </c>
      <c r="Q1593">
        <v>0.13220670000000001</v>
      </c>
      <c r="R1593">
        <v>7.199825E-2</v>
      </c>
      <c r="S1593">
        <v>2.9536440000000002</v>
      </c>
      <c r="T1593">
        <v>0.37757800000000002</v>
      </c>
      <c r="U1593">
        <v>0.41888429999999999</v>
      </c>
      <c r="V1593">
        <v>-5.2025710000000003E-2</v>
      </c>
      <c r="W1593">
        <v>0.14325070000000001</v>
      </c>
      <c r="X1593">
        <v>0.98831800000000003</v>
      </c>
      <c r="Y1593">
        <v>-0.11953660000000001</v>
      </c>
      <c r="Z1593">
        <v>-5.0065910000000003E-3</v>
      </c>
      <c r="AA1593">
        <v>0.99281719999999896</v>
      </c>
      <c r="AB1593">
        <v>30</v>
      </c>
      <c r="AC1593">
        <v>180.04390000000001</v>
      </c>
      <c r="AD1593">
        <v>23.053184999999999</v>
      </c>
      <c r="AE1593">
        <v>25.569099999999899</v>
      </c>
      <c r="AF1593">
        <v>-21.5698380410163</v>
      </c>
      <c r="AG1593">
        <v>23.053184999999999</v>
      </c>
      <c r="AH1593">
        <v>177.66967158800099</v>
      </c>
      <c r="AI1593">
        <v>82.660299249915894</v>
      </c>
      <c r="AJ1593">
        <v>96.922070818197994</v>
      </c>
      <c r="AK1593">
        <v>180.452817805508</v>
      </c>
      <c r="AL1593">
        <v>81.764005417238394</v>
      </c>
      <c r="AM1593">
        <v>93.013306267981704</v>
      </c>
      <c r="AN1593">
        <v>0.99999995333774605</v>
      </c>
    </row>
    <row r="1594" spans="1:40" x14ac:dyDescent="0.3">
      <c r="A1594" t="str">
        <f>"20200111150819610"</f>
        <v>20200111150819610</v>
      </c>
      <c r="B1594" t="str">
        <f>"1578726499604541"</f>
        <v>1578726499604541</v>
      </c>
      <c r="C1594" t="s">
        <v>40</v>
      </c>
      <c r="D1594">
        <v>4.6151350000000004</v>
      </c>
      <c r="E1594">
        <v>0.58029869999999995</v>
      </c>
      <c r="F1594" t="s">
        <v>41</v>
      </c>
      <c r="G1594">
        <v>-336.3895</v>
      </c>
      <c r="H1594">
        <v>1.0343929999999999</v>
      </c>
      <c r="I1594">
        <v>213.78360000000001</v>
      </c>
      <c r="J1594">
        <v>-336.98070000000001</v>
      </c>
      <c r="K1594">
        <v>1.1102459999999901</v>
      </c>
      <c r="L1594">
        <v>213.91419999999999</v>
      </c>
      <c r="M1594">
        <v>0.99972700000000003</v>
      </c>
      <c r="N1594">
        <v>0</v>
      </c>
      <c r="O1594">
        <v>2.0519010000000001E-2</v>
      </c>
      <c r="P1594">
        <v>0.98848519999999895</v>
      </c>
      <c r="Q1594">
        <v>0.1326</v>
      </c>
      <c r="R1594">
        <v>7.2901750000000001E-2</v>
      </c>
      <c r="S1594">
        <v>3.1002809999999998</v>
      </c>
      <c r="T1594">
        <v>-0.26028590000000001</v>
      </c>
      <c r="U1594">
        <v>-0.42358400000000002</v>
      </c>
      <c r="V1594">
        <v>-5.2671580000000003E-2</v>
      </c>
      <c r="W1594">
        <v>0.14364569999999999</v>
      </c>
      <c r="X1594">
        <v>0.98822650000000001</v>
      </c>
      <c r="Y1594">
        <v>0.15506600000000001</v>
      </c>
      <c r="Z1594">
        <v>-8.1803750000000001E-3</v>
      </c>
      <c r="AA1594">
        <v>0.98787020000000003</v>
      </c>
      <c r="AB1594">
        <v>30</v>
      </c>
      <c r="AC1594">
        <v>0.59120000000001405</v>
      </c>
      <c r="AD1594">
        <v>-7.5852999999999698E-2</v>
      </c>
      <c r="AE1594">
        <v>-0.13059999999998601</v>
      </c>
      <c r="AF1594">
        <v>0.140498851598892</v>
      </c>
      <c r="AG1594">
        <v>-7.5852999999999698E-2</v>
      </c>
      <c r="AH1594">
        <v>0.57930292844902098</v>
      </c>
      <c r="AI1594">
        <v>97.251878937357105</v>
      </c>
      <c r="AJ1594">
        <v>76.367234300963503</v>
      </c>
      <c r="AK1594">
        <v>0.60090389233156005</v>
      </c>
      <c r="AL1594">
        <v>81.741137453528594</v>
      </c>
      <c r="AM1594">
        <v>93.050926472944397</v>
      </c>
      <c r="AN1594">
        <v>0.99999999888521796</v>
      </c>
    </row>
    <row r="1595" spans="1:40" x14ac:dyDescent="0.3">
      <c r="A1595" t="str">
        <f>"20200111150819644"</f>
        <v>20200111150819644</v>
      </c>
      <c r="B1595" t="str">
        <f>"1578726499633823"</f>
        <v>1578726499633823</v>
      </c>
      <c r="C1595" t="s">
        <v>40</v>
      </c>
      <c r="D1595">
        <v>5.3432629999999897</v>
      </c>
      <c r="E1595">
        <v>0.58078779999999997</v>
      </c>
      <c r="F1595" t="s">
        <v>41</v>
      </c>
      <c r="G1595">
        <v>-336.11540000000002</v>
      </c>
      <c r="H1595">
        <v>1.0380309999999999</v>
      </c>
      <c r="I1595">
        <v>213.79679999999999</v>
      </c>
      <c r="J1595">
        <v>-336.51100000000002</v>
      </c>
      <c r="K1595">
        <v>1.110244</v>
      </c>
      <c r="L1595">
        <v>213.92420000000001</v>
      </c>
      <c r="M1595">
        <v>0.99971869999999996</v>
      </c>
      <c r="N1595">
        <v>0</v>
      </c>
      <c r="O1595">
        <v>2.0914680000000001E-2</v>
      </c>
      <c r="P1595">
        <v>0.9884444</v>
      </c>
      <c r="Q1595">
        <v>0.13255229999999901</v>
      </c>
      <c r="R1595">
        <v>7.3537190000000002E-2</v>
      </c>
      <c r="S1595">
        <v>3.100616</v>
      </c>
      <c r="T1595">
        <v>-0.25880690000000001</v>
      </c>
      <c r="U1595">
        <v>-0.41960140000000001</v>
      </c>
      <c r="V1595">
        <v>-5.2916009999999999E-2</v>
      </c>
      <c r="W1595">
        <v>0.14360139999999999</v>
      </c>
      <c r="X1595">
        <v>0.98821990000000004</v>
      </c>
      <c r="Y1595">
        <v>0.15420519999999999</v>
      </c>
      <c r="Z1595">
        <v>-8.1310140000000006E-3</v>
      </c>
      <c r="AA1595">
        <v>0.98800540000000003</v>
      </c>
      <c r="AB1595">
        <v>30</v>
      </c>
      <c r="AC1595">
        <v>0.395599999999944</v>
      </c>
      <c r="AD1595">
        <v>-7.2212999999999999E-2</v>
      </c>
      <c r="AE1595">
        <v>-0.127400000000022</v>
      </c>
      <c r="AF1595">
        <v>0.13167134054542801</v>
      </c>
      <c r="AG1595">
        <v>-7.2212999999999999E-2</v>
      </c>
      <c r="AH1595">
        <v>0.381336230500884</v>
      </c>
      <c r="AI1595">
        <v>100.148366573225</v>
      </c>
      <c r="AJ1595">
        <v>70.950751621717203</v>
      </c>
      <c r="AK1595">
        <v>0.40984067633978599</v>
      </c>
      <c r="AL1595">
        <v>81.743702410212506</v>
      </c>
      <c r="AM1595">
        <v>93.065078231066707</v>
      </c>
      <c r="AN1595">
        <v>1.00000001847614</v>
      </c>
    </row>
    <row r="1596" spans="1:40" x14ac:dyDescent="0.3">
      <c r="A1596" t="str">
        <f>"20200111150819666"</f>
        <v>20200111150819666</v>
      </c>
      <c r="B1596" t="str">
        <f>"1578726499654316"</f>
        <v>1578726499654316</v>
      </c>
      <c r="C1596" t="s">
        <v>40</v>
      </c>
      <c r="D1596">
        <v>5.2390549999999996</v>
      </c>
      <c r="E1596">
        <v>0.58142660000000002</v>
      </c>
      <c r="F1596" t="s">
        <v>41</v>
      </c>
      <c r="G1596">
        <v>-335.57069999999999</v>
      </c>
      <c r="H1596">
        <v>1.0335840000000001</v>
      </c>
      <c r="I1596">
        <v>213.79660000000001</v>
      </c>
      <c r="J1596">
        <v>-336.22039999999998</v>
      </c>
      <c r="K1596">
        <v>1.1102449999999999</v>
      </c>
      <c r="L1596">
        <v>213.9306</v>
      </c>
      <c r="M1596">
        <v>0.99971339999999997</v>
      </c>
      <c r="N1596">
        <v>0</v>
      </c>
      <c r="O1596">
        <v>2.1160709999999999E-2</v>
      </c>
      <c r="P1596">
        <v>0.98845019999999995</v>
      </c>
      <c r="Q1596">
        <v>0.13251949999999901</v>
      </c>
      <c r="R1596">
        <v>7.3516429999999994E-2</v>
      </c>
      <c r="S1596">
        <v>3.100311</v>
      </c>
      <c r="T1596">
        <v>-0.25282690000000002</v>
      </c>
      <c r="U1596">
        <v>-0.42062379999999999</v>
      </c>
      <c r="V1596">
        <v>-5.2651419999999997E-2</v>
      </c>
      <c r="W1596">
        <v>0.14357120000000001</v>
      </c>
      <c r="X1596">
        <v>0.98823839999999996</v>
      </c>
      <c r="Y1596">
        <v>0.15480569999999999</v>
      </c>
      <c r="Z1596">
        <v>-7.9886409999999995E-3</v>
      </c>
      <c r="AA1596">
        <v>0.98791269999999998</v>
      </c>
      <c r="AB1596">
        <v>31</v>
      </c>
      <c r="AC1596">
        <v>0.64969999999999495</v>
      </c>
      <c r="AD1596">
        <v>-7.6661000000000007E-2</v>
      </c>
      <c r="AE1596">
        <v>-0.13399999999998599</v>
      </c>
      <c r="AF1596">
        <v>0.14577223621541699</v>
      </c>
      <c r="AG1596">
        <v>-7.6661000000000007E-2</v>
      </c>
      <c r="AH1596">
        <v>0.63819593786260898</v>
      </c>
      <c r="AI1596">
        <v>96.679224588931405</v>
      </c>
      <c r="AJ1596">
        <v>77.133626400189399</v>
      </c>
      <c r="AK1596">
        <v>0.65910584042062503</v>
      </c>
      <c r="AL1596">
        <v>81.745450693355295</v>
      </c>
      <c r="AM1596">
        <v>93.049724283653205</v>
      </c>
      <c r="AN1596">
        <v>0.99999999836600795</v>
      </c>
    </row>
    <row r="1597" spans="1:40" x14ac:dyDescent="0.3">
      <c r="A1597" t="str">
        <f>"20200111150819687"</f>
        <v>20200111150819687</v>
      </c>
      <c r="B1597" t="str">
        <f>"1578726499684573"</f>
        <v>1578726499684573</v>
      </c>
      <c r="C1597" t="s">
        <v>40</v>
      </c>
      <c r="D1597">
        <v>5.2870400000000002</v>
      </c>
      <c r="E1597">
        <v>0.58182509999999998</v>
      </c>
      <c r="F1597" t="s">
        <v>41</v>
      </c>
      <c r="G1597">
        <v>-335.2971</v>
      </c>
      <c r="H1597">
        <v>1.0343979999999999</v>
      </c>
      <c r="I1597">
        <v>213.80340000000001</v>
      </c>
      <c r="J1597">
        <v>-335.92469999999997</v>
      </c>
      <c r="K1597">
        <v>1.110249</v>
      </c>
      <c r="L1597">
        <v>213.93709999999999</v>
      </c>
      <c r="M1597">
        <v>0.99970789999999998</v>
      </c>
      <c r="N1597">
        <v>0</v>
      </c>
      <c r="O1597">
        <v>2.1411690000000001E-2</v>
      </c>
      <c r="P1597">
        <v>0.98842759999999996</v>
      </c>
      <c r="Q1597">
        <v>0.1324745</v>
      </c>
      <c r="R1597">
        <v>7.3900549999999995E-2</v>
      </c>
      <c r="S1597">
        <v>3.1009220000000002</v>
      </c>
      <c r="T1597">
        <v>-0.25484099999999998</v>
      </c>
      <c r="U1597">
        <v>-0.42610170000000003</v>
      </c>
      <c r="V1597">
        <v>-5.2787460000000001E-2</v>
      </c>
      <c r="W1597">
        <v>0.14352870000000001</v>
      </c>
      <c r="X1597">
        <v>0.98823729999999999</v>
      </c>
      <c r="Y1597">
        <v>0.15672469999999999</v>
      </c>
      <c r="Z1597">
        <v>-8.1484269999999998E-3</v>
      </c>
      <c r="AA1597">
        <v>0.98760870000000001</v>
      </c>
      <c r="AB1597">
        <v>31</v>
      </c>
      <c r="AC1597">
        <v>0.62759999999997196</v>
      </c>
      <c r="AD1597">
        <v>-7.5851000000000099E-2</v>
      </c>
      <c r="AE1597">
        <v>-0.133699999999976</v>
      </c>
      <c r="AF1597">
        <v>0.14508098858195001</v>
      </c>
      <c r="AG1597">
        <v>-7.5851000000000099E-2</v>
      </c>
      <c r="AH1597">
        <v>0.61598617144732204</v>
      </c>
      <c r="AI1597">
        <v>96.8347500438243</v>
      </c>
      <c r="AJ1597">
        <v>76.746871589113596</v>
      </c>
      <c r="AK1597">
        <v>0.63737024629586003</v>
      </c>
      <c r="AL1597">
        <v>81.747911114967906</v>
      </c>
      <c r="AM1597">
        <v>93.057592582851996</v>
      </c>
      <c r="AN1597">
        <v>0.99999998238411503</v>
      </c>
    </row>
    <row r="1598" spans="1:40" x14ac:dyDescent="0.3">
      <c r="A1598" t="str">
        <f>"20200111150819710"</f>
        <v>20200111150819710</v>
      </c>
      <c r="B1598" t="str">
        <f>"1578726499704415"</f>
        <v>1578726499704415</v>
      </c>
      <c r="C1598" t="s">
        <v>40</v>
      </c>
      <c r="D1598">
        <v>5.25082</v>
      </c>
      <c r="E1598">
        <v>0.58216279999999998</v>
      </c>
      <c r="F1598" t="s">
        <v>41</v>
      </c>
      <c r="G1598">
        <v>-335.02249999999998</v>
      </c>
      <c r="H1598">
        <v>1.0368409999999999</v>
      </c>
      <c r="I1598">
        <v>213.81229999999999</v>
      </c>
      <c r="J1598">
        <v>-335.60950000000003</v>
      </c>
      <c r="K1598">
        <v>1.1102540000000001</v>
      </c>
      <c r="L1598">
        <v>213.94409999999999</v>
      </c>
      <c r="M1598">
        <v>0.99970230000000004</v>
      </c>
      <c r="N1598">
        <v>0</v>
      </c>
      <c r="O1598">
        <v>2.167935E-2</v>
      </c>
      <c r="P1598">
        <v>0.98837750000000002</v>
      </c>
      <c r="Q1598">
        <v>0.13255149999999999</v>
      </c>
      <c r="R1598">
        <v>7.4434559999999997E-2</v>
      </c>
      <c r="S1598">
        <v>3.1009519999999999</v>
      </c>
      <c r="T1598">
        <v>-0.25239919999999999</v>
      </c>
      <c r="U1598">
        <v>-0.42802430000000002</v>
      </c>
      <c r="V1598">
        <v>-5.3057340000000001E-2</v>
      </c>
      <c r="W1598">
        <v>0.14360699999999901</v>
      </c>
      <c r="X1598">
        <v>0.98821150000000002</v>
      </c>
      <c r="Y1598">
        <v>0.15759629999999999</v>
      </c>
      <c r="Z1598">
        <v>-8.1270990000000005E-3</v>
      </c>
      <c r="AA1598">
        <v>0.98747019999999996</v>
      </c>
      <c r="AB1598">
        <v>31</v>
      </c>
      <c r="AC1598">
        <v>0.58700000000004504</v>
      </c>
      <c r="AD1598">
        <v>-7.3413000000000103E-2</v>
      </c>
      <c r="AE1598">
        <v>-0.131799999999998</v>
      </c>
      <c r="AF1598">
        <v>0.14237555359440601</v>
      </c>
      <c r="AG1598">
        <v>-7.3413000000000103E-2</v>
      </c>
      <c r="AH1598">
        <v>0.57543598043587096</v>
      </c>
      <c r="AI1598">
        <v>97.059772048621497</v>
      </c>
      <c r="AJ1598">
        <v>76.102857376869594</v>
      </c>
      <c r="AK1598">
        <v>0.59731636040753699</v>
      </c>
      <c r="AL1598">
        <v>81.743378125055401</v>
      </c>
      <c r="AM1598">
        <v>93.073274954544203</v>
      </c>
      <c r="AN1598">
        <v>1.0000000102545601</v>
      </c>
    </row>
    <row r="1599" spans="1:40" x14ac:dyDescent="0.3">
      <c r="A1599" t="str">
        <f>"20200111150819733"</f>
        <v>20200111150819733</v>
      </c>
      <c r="B1599" t="str">
        <f>"1578726499723935"</f>
        <v>1578726499723935</v>
      </c>
      <c r="C1599" t="s">
        <v>40</v>
      </c>
      <c r="D1599">
        <v>5.2559620000000002</v>
      </c>
      <c r="E1599">
        <v>0.58280609999999999</v>
      </c>
      <c r="F1599" t="s">
        <v>41</v>
      </c>
      <c r="G1599">
        <v>-334.7475</v>
      </c>
      <c r="H1599">
        <v>1.040519</v>
      </c>
      <c r="I1599">
        <v>213.8246</v>
      </c>
      <c r="J1599">
        <v>-335.29090000000002</v>
      </c>
      <c r="K1599">
        <v>1.11025</v>
      </c>
      <c r="L1599">
        <v>213.9513</v>
      </c>
      <c r="M1599">
        <v>0.99969640000000004</v>
      </c>
      <c r="N1599">
        <v>0</v>
      </c>
      <c r="O1599">
        <v>2.1949759999999999E-2</v>
      </c>
      <c r="P1599">
        <v>0.98840930000000005</v>
      </c>
      <c r="Q1599">
        <v>0.132688</v>
      </c>
      <c r="R1599">
        <v>7.3764029999999994E-2</v>
      </c>
      <c r="S1599">
        <v>3.1012879999999998</v>
      </c>
      <c r="T1599">
        <v>-0.25110290000000002</v>
      </c>
      <c r="U1599">
        <v>-0.42901610000000001</v>
      </c>
      <c r="V1599">
        <v>-5.2118989999999997E-2</v>
      </c>
      <c r="W1599">
        <v>0.14374670000000001</v>
      </c>
      <c r="X1599">
        <v>0.98824109999999998</v>
      </c>
      <c r="Y1599">
        <v>0.1581622</v>
      </c>
      <c r="Z1599">
        <v>-8.1289880000000002E-3</v>
      </c>
      <c r="AA1599">
        <v>0.98737969999999997</v>
      </c>
      <c r="AB1599">
        <v>31</v>
      </c>
      <c r="AC1599">
        <v>0.54340000000001898</v>
      </c>
      <c r="AD1599">
        <v>-6.9730999999999904E-2</v>
      </c>
      <c r="AE1599">
        <v>-0.12669999999999901</v>
      </c>
      <c r="AF1599">
        <v>0.13646640336573501</v>
      </c>
      <c r="AG1599">
        <v>-6.9730999999999904E-2</v>
      </c>
      <c r="AH1599">
        <v>0.53217639406931805</v>
      </c>
      <c r="AI1599">
        <v>97.233490324316406</v>
      </c>
      <c r="AJ1599">
        <v>75.617502492714493</v>
      </c>
      <c r="AK1599">
        <v>0.55380249729772901</v>
      </c>
      <c r="AL1599">
        <v>81.735289796534104</v>
      </c>
      <c r="AM1599">
        <v>93.018933486597007</v>
      </c>
      <c r="AN1599">
        <v>0.99999998730436002</v>
      </c>
    </row>
    <row r="1600" spans="1:40" x14ac:dyDescent="0.3">
      <c r="A1600" t="str">
        <f>"20200111150819755"</f>
        <v>20200111150819755</v>
      </c>
      <c r="B1600" t="str">
        <f>"1578726499744431"</f>
        <v>1578726499744431</v>
      </c>
      <c r="C1600" t="s">
        <v>40</v>
      </c>
      <c r="D1600">
        <v>4.2221080000000004</v>
      </c>
      <c r="E1600">
        <v>0.51593670000000003</v>
      </c>
      <c r="F1600" t="s">
        <v>41</v>
      </c>
      <c r="G1600">
        <v>-334.47199999999998</v>
      </c>
      <c r="H1600">
        <v>1.0438459999999901</v>
      </c>
      <c r="I1600">
        <v>213.8364</v>
      </c>
      <c r="J1600">
        <v>-334.99930000000001</v>
      </c>
      <c r="K1600">
        <v>1.1102510000000001</v>
      </c>
      <c r="L1600">
        <v>213.958</v>
      </c>
      <c r="M1600">
        <v>0.99969090000000005</v>
      </c>
      <c r="N1600">
        <v>0</v>
      </c>
      <c r="O1600">
        <v>2.2197640000000001E-2</v>
      </c>
      <c r="P1600">
        <v>0.98835689999999998</v>
      </c>
      <c r="Q1600">
        <v>0.13311489999999901</v>
      </c>
      <c r="R1600">
        <v>7.3695499999999997E-2</v>
      </c>
      <c r="S1600">
        <v>3.1013790000000001</v>
      </c>
      <c r="T1600">
        <v>-0.25161420000000001</v>
      </c>
      <c r="U1600">
        <v>-0.43475340000000001</v>
      </c>
      <c r="V1600">
        <v>-5.1806140000000001E-2</v>
      </c>
      <c r="W1600">
        <v>0.14417469999999999</v>
      </c>
      <c r="X1600">
        <v>0.98819520000000005</v>
      </c>
      <c r="Y1600">
        <v>0.16018499999999999</v>
      </c>
      <c r="Z1600">
        <v>-8.2457499999999996E-3</v>
      </c>
      <c r="AA1600">
        <v>0.98705259999999995</v>
      </c>
      <c r="AB1600">
        <v>31</v>
      </c>
      <c r="AC1600">
        <v>0.52730000000002497</v>
      </c>
      <c r="AD1600">
        <v>-6.64050000000002E-2</v>
      </c>
      <c r="AE1600">
        <v>-0.1216</v>
      </c>
      <c r="AF1600">
        <v>0.13129841935509801</v>
      </c>
      <c r="AG1600">
        <v>-6.64050000000002E-2</v>
      </c>
      <c r="AH1600">
        <v>0.51669005113771205</v>
      </c>
      <c r="AI1600">
        <v>97.100259397176799</v>
      </c>
      <c r="AJ1600">
        <v>75.742097536924405</v>
      </c>
      <c r="AK1600">
        <v>0.53723133554814095</v>
      </c>
      <c r="AL1600">
        <v>81.710509067266599</v>
      </c>
      <c r="AM1600">
        <v>93.0009843548969</v>
      </c>
      <c r="AN1600">
        <v>0.99999998678241397</v>
      </c>
    </row>
    <row r="1601" spans="1:40" x14ac:dyDescent="0.3">
      <c r="A1601" t="str">
        <f>"20200111150819776"</f>
        <v>20200111150819776</v>
      </c>
      <c r="B1601" t="str">
        <f>"1578726499773712"</f>
        <v>1578726499773712</v>
      </c>
      <c r="C1601" t="s">
        <v>40</v>
      </c>
      <c r="D1601">
        <v>5.3429159999999998</v>
      </c>
      <c r="E1601">
        <v>0.51593670000000003</v>
      </c>
      <c r="F1601" t="s">
        <v>58</v>
      </c>
      <c r="G1601">
        <v>-318.55840000000001</v>
      </c>
      <c r="H1601" s="1">
        <v>4.7009519999999999E-6</v>
      </c>
      <c r="I1601">
        <v>214.47720000000001</v>
      </c>
      <c r="J1601">
        <v>-334.70490000000001</v>
      </c>
      <c r="K1601">
        <v>1.11026</v>
      </c>
      <c r="L1601">
        <v>213.9648</v>
      </c>
      <c r="M1601">
        <v>0.9996853</v>
      </c>
      <c r="N1601">
        <v>0</v>
      </c>
      <c r="O1601">
        <v>2.244749E-2</v>
      </c>
      <c r="P1601">
        <v>0.9883729</v>
      </c>
      <c r="Q1601">
        <v>0.13300329999999999</v>
      </c>
      <c r="R1601">
        <v>7.3682659999999997E-2</v>
      </c>
      <c r="S1601">
        <v>3.055939</v>
      </c>
      <c r="T1601">
        <v>-0.20636679999999999</v>
      </c>
      <c r="U1601">
        <v>9.6511840000000002E-2</v>
      </c>
      <c r="V1601">
        <v>-5.154591E-2</v>
      </c>
      <c r="W1601">
        <v>0.14406569999999999</v>
      </c>
      <c r="X1601">
        <v>0.98822469999999996</v>
      </c>
      <c r="Y1601">
        <v>-9.1505730000000004E-3</v>
      </c>
      <c r="Z1601">
        <v>-1.2050989999999901E-3</v>
      </c>
      <c r="AA1601">
        <v>0.9999574</v>
      </c>
      <c r="AB1601">
        <v>31</v>
      </c>
      <c r="AC1601">
        <v>16.1465</v>
      </c>
      <c r="AD1601">
        <v>-1.1102552990479999</v>
      </c>
      <c r="AE1601">
        <v>0.51240000000001296</v>
      </c>
      <c r="AF1601">
        <v>-0.14909551106619801</v>
      </c>
      <c r="AG1601">
        <v>-1.1102552990479999</v>
      </c>
      <c r="AH1601">
        <v>16.077991495789501</v>
      </c>
      <c r="AI1601">
        <v>93.950082714174599</v>
      </c>
      <c r="AJ1601">
        <v>90.531303843245198</v>
      </c>
      <c r="AK1601">
        <v>16.116969530254799</v>
      </c>
      <c r="AL1601">
        <v>81.716820156254698</v>
      </c>
      <c r="AM1601">
        <v>92.985848335273502</v>
      </c>
      <c r="AN1601">
        <v>0.99999998222215303</v>
      </c>
    </row>
    <row r="1602" spans="1:40" x14ac:dyDescent="0.3">
      <c r="A1602" t="str">
        <f>"20200111150819800"</f>
        <v>20200111150819800</v>
      </c>
      <c r="B1602" t="str">
        <f>"1578726499794209"</f>
        <v>1578726499794209</v>
      </c>
      <c r="C1602" t="s">
        <v>40</v>
      </c>
      <c r="D1602">
        <v>5.5358939999999999</v>
      </c>
      <c r="E1602">
        <v>0.58933990000000003</v>
      </c>
      <c r="F1602" t="s">
        <v>58</v>
      </c>
      <c r="G1602">
        <v>-318.28030000000001</v>
      </c>
      <c r="H1602" s="1">
        <v>4.5776360000000002E-6</v>
      </c>
      <c r="I1602">
        <v>214.47929999999999</v>
      </c>
      <c r="J1602">
        <v>-334.39479999999998</v>
      </c>
      <c r="K1602">
        <v>1.110258</v>
      </c>
      <c r="L1602">
        <v>213.97200000000001</v>
      </c>
      <c r="M1602">
        <v>0.9996794</v>
      </c>
      <c r="N1602">
        <v>0</v>
      </c>
      <c r="O1602">
        <v>2.271051E-2</v>
      </c>
      <c r="P1602">
        <v>0.98839030000000005</v>
      </c>
      <c r="Q1602">
        <v>0.1329342</v>
      </c>
      <c r="R1602">
        <v>7.3575749999999995E-2</v>
      </c>
      <c r="S1602">
        <v>3.0559690000000002</v>
      </c>
      <c r="T1602">
        <v>-0.20657529999999999</v>
      </c>
      <c r="U1602">
        <v>9.5733639999999995E-2</v>
      </c>
      <c r="V1602">
        <v>-5.117791E-2</v>
      </c>
      <c r="W1602">
        <v>0.14399870000000001</v>
      </c>
      <c r="X1602">
        <v>0.98825359999999995</v>
      </c>
      <c r="Y1602">
        <v>-8.6346180000000002E-3</v>
      </c>
      <c r="Z1602">
        <v>-1.241472E-3</v>
      </c>
      <c r="AA1602">
        <v>0.99996200000000002</v>
      </c>
      <c r="AB1602">
        <v>31</v>
      </c>
      <c r="AC1602">
        <v>16.1144999999999</v>
      </c>
      <c r="AD1602">
        <v>-1.1102534223639999</v>
      </c>
      <c r="AE1602">
        <v>0.50729999999998598</v>
      </c>
      <c r="AF1602">
        <v>-0.14051135964598799</v>
      </c>
      <c r="AG1602">
        <v>-1.1102534223639999</v>
      </c>
      <c r="AH1602">
        <v>16.0457726882773</v>
      </c>
      <c r="AI1602">
        <v>93.958000720233898</v>
      </c>
      <c r="AJ1602">
        <v>90.501721061484105</v>
      </c>
      <c r="AK1602">
        <v>16.0847513896836</v>
      </c>
      <c r="AL1602">
        <v>81.720699495786107</v>
      </c>
      <c r="AM1602">
        <v>92.964483189722301</v>
      </c>
      <c r="AN1602">
        <v>0.99999999099330805</v>
      </c>
    </row>
    <row r="1603" spans="1:40" x14ac:dyDescent="0.3">
      <c r="A1603" t="str">
        <f>"20200111150819822"</f>
        <v>20200111150819822</v>
      </c>
      <c r="B1603" t="str">
        <f>"1578726499813727"</f>
        <v>1578726499813727</v>
      </c>
      <c r="C1603" t="s">
        <v>40</v>
      </c>
      <c r="D1603">
        <v>5.2979760000000002</v>
      </c>
      <c r="E1603">
        <v>0.58952990000000005</v>
      </c>
      <c r="F1603" t="s">
        <v>58</v>
      </c>
      <c r="G1603">
        <v>-302.55700000000002</v>
      </c>
      <c r="H1603" s="1">
        <v>2.321825E-6</v>
      </c>
      <c r="I1603">
        <v>208.92779999999999</v>
      </c>
      <c r="J1603">
        <v>-334.07839999999999</v>
      </c>
      <c r="K1603">
        <v>1.110255</v>
      </c>
      <c r="L1603">
        <v>213.9795</v>
      </c>
      <c r="M1603">
        <v>0.99967309999999998</v>
      </c>
      <c r="N1603">
        <v>0</v>
      </c>
      <c r="O1603">
        <v>2.2979309999999999E-2</v>
      </c>
      <c r="P1603">
        <v>0.98847309999999999</v>
      </c>
      <c r="Q1603">
        <v>0.13234989999999999</v>
      </c>
      <c r="R1603">
        <v>7.3516120000000004E-2</v>
      </c>
      <c r="S1603">
        <v>3.0861209999999999</v>
      </c>
      <c r="T1603">
        <v>-0.10761999999999999</v>
      </c>
      <c r="U1603">
        <v>-0.48895260000000001</v>
      </c>
      <c r="V1603">
        <v>-5.0850029999999997E-2</v>
      </c>
      <c r="W1603">
        <v>0.14341779999999901</v>
      </c>
      <c r="X1603">
        <v>0.98835499999999998</v>
      </c>
      <c r="Y1603">
        <v>0.1790206</v>
      </c>
      <c r="Z1603">
        <v>-3.897649E-3</v>
      </c>
      <c r="AA1603">
        <v>0.98383759999999998</v>
      </c>
      <c r="AB1603">
        <v>31</v>
      </c>
      <c r="AC1603">
        <v>31.5213999999999</v>
      </c>
      <c r="AD1603">
        <v>-1.110252678175</v>
      </c>
      <c r="AE1603">
        <v>-5.0517000000000101</v>
      </c>
      <c r="AF1603">
        <v>5.7677750800672296</v>
      </c>
      <c r="AG1603">
        <v>-1.110252678175</v>
      </c>
      <c r="AH1603">
        <v>31.359053638471998</v>
      </c>
      <c r="AI1603">
        <v>91.994259652852804</v>
      </c>
      <c r="AJ1603">
        <v>79.578239939633093</v>
      </c>
      <c r="AK1603">
        <v>31.904390536166101</v>
      </c>
      <c r="AL1603">
        <v>81.754331776089899</v>
      </c>
      <c r="AM1603">
        <v>92.945222613182807</v>
      </c>
      <c r="AN1603">
        <v>0.99999999846641996</v>
      </c>
    </row>
    <row r="1604" spans="1:40" x14ac:dyDescent="0.3">
      <c r="A1604" t="str">
        <f>"20200111150819843"</f>
        <v>20200111150819843</v>
      </c>
      <c r="B1604" t="str">
        <f>"1578726499834228"</f>
        <v>1578726499834228</v>
      </c>
      <c r="C1604" t="s">
        <v>40</v>
      </c>
      <c r="D1604">
        <v>4.2734079999999999</v>
      </c>
      <c r="E1604">
        <v>0.58820919999999999</v>
      </c>
      <c r="F1604" t="s">
        <v>58</v>
      </c>
      <c r="G1604">
        <v>-310.5958</v>
      </c>
      <c r="H1604" s="1">
        <v>1.169853E-6</v>
      </c>
      <c r="I1604">
        <v>210.25559999999999</v>
      </c>
      <c r="J1604">
        <v>-333.77679999999998</v>
      </c>
      <c r="K1604">
        <v>1.110252</v>
      </c>
      <c r="L1604">
        <v>213.98670000000001</v>
      </c>
      <c r="M1604">
        <v>0.99966719999999998</v>
      </c>
      <c r="N1604">
        <v>0</v>
      </c>
      <c r="O1604">
        <v>2.3235059999999998E-2</v>
      </c>
      <c r="P1604">
        <v>0.98849719999999996</v>
      </c>
      <c r="Q1604">
        <v>0.1319776</v>
      </c>
      <c r="R1604">
        <v>7.385978E-2</v>
      </c>
      <c r="S1604">
        <v>3.090973</v>
      </c>
      <c r="T1604">
        <v>-0.14614079999999999</v>
      </c>
      <c r="U1604">
        <v>-0.49017329999999998</v>
      </c>
      <c r="V1604">
        <v>-5.0939489999999997E-2</v>
      </c>
      <c r="W1604">
        <v>0.143047799999999</v>
      </c>
      <c r="X1604">
        <v>0.98840399999999995</v>
      </c>
      <c r="Y1604">
        <v>0.17931159999999999</v>
      </c>
      <c r="Z1604">
        <v>-5.3019119999999998E-3</v>
      </c>
      <c r="AA1604">
        <v>0.98377809999999999</v>
      </c>
      <c r="AB1604">
        <v>31</v>
      </c>
      <c r="AC1604">
        <v>23.180999999999901</v>
      </c>
      <c r="AD1604">
        <v>-1.110250830147</v>
      </c>
      <c r="AE1604">
        <v>-3.7311000000000201</v>
      </c>
      <c r="AF1604">
        <v>4.2592147797354301</v>
      </c>
      <c r="AG1604">
        <v>-1.110250830147</v>
      </c>
      <c r="AH1604">
        <v>23.036533764988601</v>
      </c>
      <c r="AI1604">
        <v>92.713331401661804</v>
      </c>
      <c r="AJ1604">
        <v>79.524899870096107</v>
      </c>
      <c r="AK1604">
        <v>23.453261081376699</v>
      </c>
      <c r="AL1604">
        <v>81.775751975418004</v>
      </c>
      <c r="AM1604">
        <v>92.950248962977696</v>
      </c>
      <c r="AN1604">
        <v>0.99999998597114903</v>
      </c>
    </row>
    <row r="1605" spans="1:40" x14ac:dyDescent="0.3">
      <c r="A1605" t="str">
        <f>"20200111150819866"</f>
        <v>20200111150819866</v>
      </c>
      <c r="B1605" t="str">
        <f>"1578726499864480"</f>
        <v>1578726499864480</v>
      </c>
      <c r="C1605" t="s">
        <v>40</v>
      </c>
      <c r="D1605">
        <v>5.2236570000000002</v>
      </c>
      <c r="E1605">
        <v>0.58570459999999902</v>
      </c>
      <c r="F1605" t="s">
        <v>58</v>
      </c>
      <c r="G1605">
        <v>-297.46480000000003</v>
      </c>
      <c r="H1605" s="1">
        <v>2.5550699999999999E-6</v>
      </c>
      <c r="I1605">
        <v>208.35149999999999</v>
      </c>
      <c r="J1605">
        <v>-333.4744</v>
      </c>
      <c r="K1605">
        <v>1.11025</v>
      </c>
      <c r="L1605">
        <v>213.994</v>
      </c>
      <c r="M1605">
        <v>0.99966120000000003</v>
      </c>
      <c r="N1605">
        <v>0</v>
      </c>
      <c r="O1605">
        <v>2.349159E-2</v>
      </c>
      <c r="P1605">
        <v>0.98853990000000003</v>
      </c>
      <c r="Q1605">
        <v>0.13168099999999999</v>
      </c>
      <c r="R1605">
        <v>7.3819270000000006E-2</v>
      </c>
      <c r="S1605">
        <v>3.0832519999999999</v>
      </c>
      <c r="T1605">
        <v>-9.4271419999999995E-2</v>
      </c>
      <c r="U1605">
        <v>-0.4784851</v>
      </c>
      <c r="V1605">
        <v>-5.0644269999999998E-2</v>
      </c>
      <c r="W1605">
        <v>0.14275379999999999</v>
      </c>
      <c r="X1605">
        <v>0.9884617</v>
      </c>
      <c r="Y1605">
        <v>0.17643429999999999</v>
      </c>
      <c r="Z1605">
        <v>-3.3947500000000002E-3</v>
      </c>
      <c r="AA1605">
        <v>0.98430660000000003</v>
      </c>
      <c r="AB1605">
        <v>31</v>
      </c>
      <c r="AC1605">
        <v>36.009599999999899</v>
      </c>
      <c r="AD1605">
        <v>-1.1102474449299999</v>
      </c>
      <c r="AE1605">
        <v>-5.64250000000004</v>
      </c>
      <c r="AF1605">
        <v>6.4809053905971004</v>
      </c>
      <c r="AG1605">
        <v>-1.1102474449299999</v>
      </c>
      <c r="AH1605">
        <v>35.8338539900246</v>
      </c>
      <c r="AI1605">
        <v>91.746325242386405</v>
      </c>
      <c r="AJ1605">
        <v>79.7483138867657</v>
      </c>
      <c r="AK1605">
        <v>36.432126973994301</v>
      </c>
      <c r="AL1605">
        <v>81.792771813382103</v>
      </c>
      <c r="AM1605">
        <v>92.933009808173395</v>
      </c>
      <c r="AN1605">
        <v>1.00000001093258</v>
      </c>
    </row>
    <row r="1606" spans="1:40" x14ac:dyDescent="0.3">
      <c r="A1606" t="str">
        <f>"20200111150819888"</f>
        <v>20200111150819888</v>
      </c>
      <c r="B1606" t="str">
        <f>"1578726499884000"</f>
        <v>1578726499884000</v>
      </c>
      <c r="C1606" t="s">
        <v>40</v>
      </c>
      <c r="D1606">
        <v>5.352589</v>
      </c>
      <c r="E1606">
        <v>0.58763189999999998</v>
      </c>
      <c r="F1606" t="s">
        <v>55</v>
      </c>
      <c r="G1606">
        <v>-277.71010000000001</v>
      </c>
      <c r="H1606">
        <v>8.0001059999999999E-2</v>
      </c>
      <c r="I1606">
        <v>205.67679999999999</v>
      </c>
      <c r="J1606">
        <v>-333.16980000000001</v>
      </c>
      <c r="K1606">
        <v>1.110252</v>
      </c>
      <c r="L1606">
        <v>214.00149999999999</v>
      </c>
      <c r="M1606">
        <v>0.99965510000000002</v>
      </c>
      <c r="N1606">
        <v>0</v>
      </c>
      <c r="O1606">
        <v>2.3749780000000002E-2</v>
      </c>
      <c r="P1606">
        <v>0.98854489999999995</v>
      </c>
      <c r="Q1606">
        <v>0.13177630000000001</v>
      </c>
      <c r="R1606">
        <v>7.3580419999999994E-2</v>
      </c>
      <c r="S1606">
        <v>3.0766300000000002</v>
      </c>
      <c r="T1606">
        <v>-5.68409E-2</v>
      </c>
      <c r="U1606">
        <v>-0.4588776</v>
      </c>
      <c r="V1606">
        <v>-5.0149600000000003E-2</v>
      </c>
      <c r="W1606">
        <v>0.14285049999999999</v>
      </c>
      <c r="X1606">
        <v>0.98847289999999999</v>
      </c>
      <c r="Y1606">
        <v>0.1709349</v>
      </c>
      <c r="Z1606">
        <v>-2.006716E-3</v>
      </c>
      <c r="AA1606">
        <v>0.9852803</v>
      </c>
      <c r="AB1606">
        <v>31</v>
      </c>
      <c r="AC1606">
        <v>55.459699999999998</v>
      </c>
      <c r="AD1606">
        <v>-1.0302509399999999</v>
      </c>
      <c r="AE1606">
        <v>-8.3247</v>
      </c>
      <c r="AF1606">
        <v>9.6363378902716708</v>
      </c>
      <c r="AG1606">
        <v>-1.0302509399999999</v>
      </c>
      <c r="AH1606">
        <v>55.2276940166741</v>
      </c>
      <c r="AI1606">
        <v>91.052804025854101</v>
      </c>
      <c r="AJ1606">
        <v>80.1024542624329</v>
      </c>
      <c r="AK1606">
        <v>56.071549036336101</v>
      </c>
      <c r="AL1606">
        <v>81.787173526495593</v>
      </c>
      <c r="AM1606">
        <v>92.9043779543467</v>
      </c>
      <c r="AN1606">
        <v>0.99999996088240894</v>
      </c>
    </row>
    <row r="1607" spans="1:40" x14ac:dyDescent="0.3">
      <c r="A1607" t="str">
        <f>"20200111150819911"</f>
        <v>20200111150819911</v>
      </c>
      <c r="B1607" t="str">
        <f>"1578726499904028"</f>
        <v>1578726499904028</v>
      </c>
      <c r="C1607" t="s">
        <v>40</v>
      </c>
      <c r="D1607">
        <v>5.3198699999999999</v>
      </c>
      <c r="E1607">
        <v>0.59178549999999996</v>
      </c>
      <c r="F1607" t="s">
        <v>58</v>
      </c>
      <c r="G1607">
        <v>-286.94749999999999</v>
      </c>
      <c r="H1607">
        <v>7.9999399999999998E-2</v>
      </c>
      <c r="I1607">
        <v>206.87219999999999</v>
      </c>
      <c r="J1607">
        <v>-332.85570000000001</v>
      </c>
      <c r="K1607">
        <v>1.1102529999999999</v>
      </c>
      <c r="L1607">
        <v>214.00919999999999</v>
      </c>
      <c r="M1607">
        <v>0.99964869999999995</v>
      </c>
      <c r="N1607">
        <v>0</v>
      </c>
      <c r="O1607">
        <v>2.4016260000000001E-2</v>
      </c>
      <c r="P1607">
        <v>0.98860769999999998</v>
      </c>
      <c r="Q1607">
        <v>0.1314168</v>
      </c>
      <c r="R1607">
        <v>7.3380509999999996E-2</v>
      </c>
      <c r="S1607">
        <v>3.079285</v>
      </c>
      <c r="T1607">
        <v>-6.8634509999999996E-2</v>
      </c>
      <c r="U1607">
        <v>-0.47494510000000001</v>
      </c>
      <c r="V1607">
        <v>-4.968413E-2</v>
      </c>
      <c r="W1607">
        <v>0.14249419999999999</v>
      </c>
      <c r="X1607">
        <v>0.98854790000000003</v>
      </c>
      <c r="Y1607">
        <v>0.17608070000000001</v>
      </c>
      <c r="Z1607">
        <v>-2.4828989999999998E-3</v>
      </c>
      <c r="AA1607">
        <v>0.98437260000000004</v>
      </c>
      <c r="AB1607">
        <v>31</v>
      </c>
      <c r="AC1607">
        <v>45.908200000000001</v>
      </c>
      <c r="AD1607">
        <v>-1.0302536</v>
      </c>
      <c r="AE1607">
        <v>-7.1369999999999996</v>
      </c>
      <c r="AF1607">
        <v>8.2335050176756592</v>
      </c>
      <c r="AG1607">
        <v>-1.0302536</v>
      </c>
      <c r="AH1607">
        <v>45.701069037952699</v>
      </c>
      <c r="AI1607">
        <v>91.270963426887803</v>
      </c>
      <c r="AJ1607">
        <v>79.787146391405301</v>
      </c>
      <c r="AK1607">
        <v>46.448247960155904</v>
      </c>
      <c r="AL1607">
        <v>81.807799584713194</v>
      </c>
      <c r="AM1607">
        <v>92.877248167654898</v>
      </c>
      <c r="AN1607">
        <v>1.00000003020095</v>
      </c>
    </row>
    <row r="1608" spans="1:40" x14ac:dyDescent="0.3">
      <c r="A1608" t="str">
        <f>"20200111150819934"</f>
        <v>20200111150819934</v>
      </c>
      <c r="B1608" t="str">
        <f>"1578726499924521"</f>
        <v>1578726499924521</v>
      </c>
      <c r="C1608" t="s">
        <v>40</v>
      </c>
      <c r="D1608">
        <v>5.3533160000000004</v>
      </c>
      <c r="E1608">
        <v>0.59467530000000002</v>
      </c>
      <c r="F1608" t="s">
        <v>58</v>
      </c>
      <c r="G1608">
        <v>-297.57060000000001</v>
      </c>
      <c r="H1608" s="1">
        <v>2.6168329999999999E-6</v>
      </c>
      <c r="I1608">
        <v>208.19</v>
      </c>
      <c r="J1608">
        <v>-332.54390000000001</v>
      </c>
      <c r="K1608">
        <v>1.1102430000000001</v>
      </c>
      <c r="L1608">
        <v>214.017</v>
      </c>
      <c r="M1608">
        <v>0.99964229999999998</v>
      </c>
      <c r="N1608">
        <v>0</v>
      </c>
      <c r="O1608">
        <v>2.4280409999999999E-2</v>
      </c>
      <c r="P1608">
        <v>0.98864229999999997</v>
      </c>
      <c r="Q1608">
        <v>0.13109779999999999</v>
      </c>
      <c r="R1608">
        <v>7.3483950000000006E-2</v>
      </c>
      <c r="S1608">
        <v>3.0852360000000001</v>
      </c>
      <c r="T1608">
        <v>-9.7077609999999995E-2</v>
      </c>
      <c r="U1608">
        <v>-0.50881960000000004</v>
      </c>
      <c r="V1608">
        <v>-4.9525670000000001E-2</v>
      </c>
      <c r="W1608">
        <v>0.14217750000000001</v>
      </c>
      <c r="X1608">
        <v>0.98860139999999996</v>
      </c>
      <c r="Y1608">
        <v>0.18653140000000001</v>
      </c>
      <c r="Z1608">
        <v>-3.6732790000000002E-3</v>
      </c>
      <c r="AA1608">
        <v>0.98244209999999998</v>
      </c>
      <c r="AB1608">
        <v>31</v>
      </c>
      <c r="AC1608">
        <v>34.973299999999902</v>
      </c>
      <c r="AD1608">
        <v>-1.110240383167</v>
      </c>
      <c r="AE1608">
        <v>-5.8269999999999902</v>
      </c>
      <c r="AF1608">
        <v>6.6679631007186897</v>
      </c>
      <c r="AG1608">
        <v>-1.110240383167</v>
      </c>
      <c r="AH1608">
        <v>34.787386561770099</v>
      </c>
      <c r="AI1608">
        <v>91.795315129194094</v>
      </c>
      <c r="AJ1608">
        <v>79.149290603801902</v>
      </c>
      <c r="AK1608">
        <v>35.438067518122203</v>
      </c>
      <c r="AL1608">
        <v>81.826131401947805</v>
      </c>
      <c r="AM1608">
        <v>92.867932014370197</v>
      </c>
      <c r="AN1608">
        <v>0.99999998078857899</v>
      </c>
    </row>
    <row r="1609" spans="1:40" x14ac:dyDescent="0.3">
      <c r="A1609" t="str">
        <f>"20200111150819955"</f>
        <v>20200111150819955</v>
      </c>
      <c r="B1609" t="str">
        <f>"1578726499944041"</f>
        <v>1578726499944041</v>
      </c>
      <c r="C1609" t="s">
        <v>40</v>
      </c>
      <c r="D1609">
        <v>5.3146370000000003</v>
      </c>
      <c r="E1609">
        <v>0.59647799999999995</v>
      </c>
      <c r="F1609" t="s">
        <v>58</v>
      </c>
      <c r="G1609">
        <v>-303.072</v>
      </c>
      <c r="H1609" s="1">
        <v>2.227182E-6</v>
      </c>
      <c r="I1609">
        <v>208.94630000000001</v>
      </c>
      <c r="J1609">
        <v>-332.24939999999998</v>
      </c>
      <c r="K1609">
        <v>1.110249</v>
      </c>
      <c r="L1609">
        <v>214.02440000000001</v>
      </c>
      <c r="M1609">
        <v>0.99963619999999997</v>
      </c>
      <c r="N1609">
        <v>0</v>
      </c>
      <c r="O1609">
        <v>2.452996E-2</v>
      </c>
      <c r="P1609">
        <v>0.98865000000000003</v>
      </c>
      <c r="Q1609">
        <v>0.1308667</v>
      </c>
      <c r="R1609">
        <v>7.3791270000000006E-2</v>
      </c>
      <c r="S1609">
        <v>3.0894469999999998</v>
      </c>
      <c r="T1609">
        <v>-0.1163831</v>
      </c>
      <c r="U1609">
        <v>-0.53153989999999995</v>
      </c>
      <c r="V1609">
        <v>-4.9585299999999999E-2</v>
      </c>
      <c r="W1609">
        <v>0.14194809999999999</v>
      </c>
      <c r="X1609">
        <v>0.98863140000000005</v>
      </c>
      <c r="Y1609">
        <v>0.19353380000000001</v>
      </c>
      <c r="Z1609">
        <v>-4.5349689999999998E-3</v>
      </c>
      <c r="AA1609">
        <v>0.98108320000000004</v>
      </c>
      <c r="AB1609">
        <v>31</v>
      </c>
      <c r="AC1609">
        <v>29.177399999999899</v>
      </c>
      <c r="AD1609">
        <v>-1.1102467728180001</v>
      </c>
      <c r="AE1609">
        <v>-5.0781000000000001</v>
      </c>
      <c r="AF1609">
        <v>5.7842083761865304</v>
      </c>
      <c r="AG1609">
        <v>-1.1102467728180001</v>
      </c>
      <c r="AH1609">
        <v>29.003285938681</v>
      </c>
      <c r="AI1609">
        <v>92.149916973313907</v>
      </c>
      <c r="AJ1609">
        <v>78.721315649277699</v>
      </c>
      <c r="AK1609">
        <v>29.595275124191499</v>
      </c>
      <c r="AL1609">
        <v>81.8394099270092</v>
      </c>
      <c r="AM1609">
        <v>92.871292306460006</v>
      </c>
      <c r="AN1609">
        <v>1.0000000050678299</v>
      </c>
    </row>
    <row r="1610" spans="1:40" x14ac:dyDescent="0.3">
      <c r="A1610" t="str">
        <f>"20200111150819978"</f>
        <v>20200111150819978</v>
      </c>
      <c r="B1610" t="str">
        <f>"1578726499974297"</f>
        <v>1578726499974297</v>
      </c>
      <c r="C1610" t="s">
        <v>40</v>
      </c>
      <c r="D1610">
        <v>5.3151349999999997</v>
      </c>
      <c r="E1610">
        <v>0.59913490000000003</v>
      </c>
      <c r="F1610" t="s">
        <v>58</v>
      </c>
      <c r="G1610">
        <v>-304.97840000000002</v>
      </c>
      <c r="H1610" s="1">
        <v>1.8408419999999999E-6</v>
      </c>
      <c r="I1610">
        <v>209.21789999999999</v>
      </c>
      <c r="J1610">
        <v>-331.94799999999998</v>
      </c>
      <c r="K1610">
        <v>1.110249</v>
      </c>
      <c r="L1610">
        <v>214.03210000000001</v>
      </c>
      <c r="M1610">
        <v>0.99962989999999996</v>
      </c>
      <c r="N1610">
        <v>0</v>
      </c>
      <c r="O1610">
        <v>2.4785350000000001E-2</v>
      </c>
      <c r="P1610">
        <v>0.98853489999999999</v>
      </c>
      <c r="Q1610">
        <v>0.13124089999999999</v>
      </c>
      <c r="R1610">
        <v>7.4664480000000005E-2</v>
      </c>
      <c r="S1610">
        <v>3.0917659999999998</v>
      </c>
      <c r="T1610">
        <v>-0.12587089999999901</v>
      </c>
      <c r="U1610">
        <v>-0.54492189999999996</v>
      </c>
      <c r="V1610">
        <v>-5.0208129999999997E-2</v>
      </c>
      <c r="W1610">
        <v>0.1423229</v>
      </c>
      <c r="X1610">
        <v>0.98854609999999998</v>
      </c>
      <c r="Y1610">
        <v>0.19775239999999999</v>
      </c>
      <c r="Z1610">
        <v>-4.9944730000000001E-3</v>
      </c>
      <c r="AA1610">
        <v>0.98023930000000004</v>
      </c>
      <c r="AB1610">
        <v>31</v>
      </c>
      <c r="AC1610">
        <v>26.9696</v>
      </c>
      <c r="AD1610">
        <v>-1.1102471591580001</v>
      </c>
      <c r="AE1610">
        <v>-4.81420000000002</v>
      </c>
      <c r="AF1610">
        <v>5.4722265240986596</v>
      </c>
      <c r="AG1610">
        <v>-1.1102471591580001</v>
      </c>
      <c r="AH1610">
        <v>26.7979727822927</v>
      </c>
      <c r="AI1610">
        <v>92.324507214082601</v>
      </c>
      <c r="AJ1610">
        <v>78.458703529932606</v>
      </c>
      <c r="AK1610">
        <v>27.373513788440999</v>
      </c>
      <c r="AL1610">
        <v>81.817715395845894</v>
      </c>
      <c r="AM1610">
        <v>92.907546918324002</v>
      </c>
      <c r="AN1610">
        <v>1.0000000280038499</v>
      </c>
    </row>
    <row r="1611" spans="1:40" x14ac:dyDescent="0.3">
      <c r="A1611" t="str">
        <f>"20200111150820001"</f>
        <v>20200111150820001</v>
      </c>
      <c r="B1611" t="str">
        <f>"1578726499993818"</f>
        <v>1578726499993818</v>
      </c>
      <c r="C1611" t="s">
        <v>40</v>
      </c>
      <c r="D1611">
        <v>5.3178510000000001</v>
      </c>
      <c r="E1611">
        <v>0.60029290000000002</v>
      </c>
      <c r="F1611" t="s">
        <v>58</v>
      </c>
      <c r="G1611">
        <v>-307.54880000000003</v>
      </c>
      <c r="H1611" s="1">
        <v>1.3183810000000001E-6</v>
      </c>
      <c r="I1611">
        <v>209.59289999999999</v>
      </c>
      <c r="J1611">
        <v>-331.62699999999899</v>
      </c>
      <c r="K1611">
        <v>1.110247</v>
      </c>
      <c r="L1611">
        <v>214.0403</v>
      </c>
      <c r="M1611">
        <v>0.99962300000000004</v>
      </c>
      <c r="N1611">
        <v>0</v>
      </c>
      <c r="O1611">
        <v>2.5057670000000001E-2</v>
      </c>
      <c r="P1611">
        <v>0.98844370000000004</v>
      </c>
      <c r="Q1611">
        <v>0.13157140000000001</v>
      </c>
      <c r="R1611">
        <v>7.5285640000000001E-2</v>
      </c>
      <c r="S1611">
        <v>3.0960390000000002</v>
      </c>
      <c r="T1611">
        <v>-0.1408807</v>
      </c>
      <c r="U1611">
        <v>-0.5632935</v>
      </c>
      <c r="V1611">
        <v>-5.0562049999999997E-2</v>
      </c>
      <c r="W1611">
        <v>0.14265420000000001</v>
      </c>
      <c r="X1611">
        <v>0.98848029999999998</v>
      </c>
      <c r="Y1611">
        <v>0.20337079999999999</v>
      </c>
      <c r="Z1611">
        <v>-5.7180390000000003E-3</v>
      </c>
      <c r="AA1611">
        <v>0.97908510000000004</v>
      </c>
      <c r="AB1611">
        <v>31</v>
      </c>
      <c r="AC1611">
        <v>24.078199999999899</v>
      </c>
      <c r="AD1611">
        <v>-1.1102456816190001</v>
      </c>
      <c r="AE1611">
        <v>-4.4474000000000098</v>
      </c>
      <c r="AF1611">
        <v>5.0390247910083401</v>
      </c>
      <c r="AG1611">
        <v>-1.1102456816190001</v>
      </c>
      <c r="AH1611">
        <v>23.910031416431998</v>
      </c>
      <c r="AI1611">
        <v>92.601515217513594</v>
      </c>
      <c r="AJ1611">
        <v>78.099103153447004</v>
      </c>
      <c r="AK1611">
        <v>24.460458267430599</v>
      </c>
      <c r="AL1611">
        <v>81.798537578420706</v>
      </c>
      <c r="AM1611">
        <v>92.928201412714401</v>
      </c>
      <c r="AN1611">
        <v>1.0000000225829599</v>
      </c>
    </row>
    <row r="1612" spans="1:40" x14ac:dyDescent="0.3">
      <c r="A1612" t="str">
        <f>"20200111150820023"</f>
        <v>20200111150820023</v>
      </c>
      <c r="B1612" t="str">
        <f>"1578726500013844"</f>
        <v>1578726500013844</v>
      </c>
      <c r="C1612" t="s">
        <v>40</v>
      </c>
      <c r="D1612">
        <v>5.2428699999999999</v>
      </c>
      <c r="E1612">
        <v>0.60132649999999999</v>
      </c>
      <c r="F1612" t="s">
        <v>58</v>
      </c>
      <c r="G1612">
        <v>-307.8091</v>
      </c>
      <c r="H1612" s="1">
        <v>1.2680490000000001E-6</v>
      </c>
      <c r="I1612">
        <v>209.65289999999999</v>
      </c>
      <c r="J1612">
        <v>-331.3107</v>
      </c>
      <c r="K1612">
        <v>1.110252</v>
      </c>
      <c r="L1612">
        <v>214.04849999999999</v>
      </c>
      <c r="M1612">
        <v>0.99961610000000001</v>
      </c>
      <c r="N1612">
        <v>0</v>
      </c>
      <c r="O1612">
        <v>2.5325520000000001E-2</v>
      </c>
      <c r="P1612">
        <v>0.98841509999999999</v>
      </c>
      <c r="Q1612">
        <v>0.13133499999999901</v>
      </c>
      <c r="R1612">
        <v>7.6070200000000004E-2</v>
      </c>
      <c r="S1612">
        <v>3.0977480000000002</v>
      </c>
      <c r="T1612">
        <v>-0.14439859999999999</v>
      </c>
      <c r="U1612">
        <v>-0.5706329</v>
      </c>
      <c r="V1612">
        <v>-5.1081799999999997E-2</v>
      </c>
      <c r="W1612">
        <v>0.1424192</v>
      </c>
      <c r="X1612">
        <v>0.98848740000000002</v>
      </c>
      <c r="Y1612">
        <v>0.2057679</v>
      </c>
      <c r="Z1612">
        <v>-5.9240289999999999E-3</v>
      </c>
      <c r="AA1612">
        <v>0.97858290000000003</v>
      </c>
      <c r="AB1612">
        <v>31</v>
      </c>
      <c r="AC1612">
        <v>23.5016</v>
      </c>
      <c r="AD1612">
        <v>-1.110250731951</v>
      </c>
      <c r="AE1612">
        <v>-4.3956</v>
      </c>
      <c r="AF1612">
        <v>4.9786821226436597</v>
      </c>
      <c r="AG1612">
        <v>-1.110250731951</v>
      </c>
      <c r="AH1612">
        <v>23.332420878117201</v>
      </c>
      <c r="AI1612">
        <v>92.664416926038399</v>
      </c>
      <c r="AJ1612">
        <v>77.954843616570798</v>
      </c>
      <c r="AK1612">
        <v>23.883504692564099</v>
      </c>
      <c r="AL1612">
        <v>81.812140462687296</v>
      </c>
      <c r="AM1612">
        <v>92.958227304460607</v>
      </c>
      <c r="AN1612">
        <v>0.99999995938931896</v>
      </c>
    </row>
    <row r="1613" spans="1:40" x14ac:dyDescent="0.3">
      <c r="A1613" t="str">
        <f>"20200111150820045"</f>
        <v>20200111150820045</v>
      </c>
      <c r="B1613" t="str">
        <f>"1578726500034340"</f>
        <v>1578726500034340</v>
      </c>
      <c r="C1613" t="s">
        <v>40</v>
      </c>
      <c r="D1613">
        <v>5.2988119999999999</v>
      </c>
      <c r="E1613">
        <v>0.60174479999999997</v>
      </c>
      <c r="F1613" t="s">
        <v>58</v>
      </c>
      <c r="G1613">
        <v>-308.16039999999998</v>
      </c>
      <c r="H1613" s="1">
        <v>1.205732E-6</v>
      </c>
      <c r="I1613">
        <v>209.7424</v>
      </c>
      <c r="J1613">
        <v>-331.01830000000001</v>
      </c>
      <c r="K1613">
        <v>1.1102540000000001</v>
      </c>
      <c r="L1613">
        <v>214.05619999999999</v>
      </c>
      <c r="M1613">
        <v>0.99960990000000005</v>
      </c>
      <c r="N1613">
        <v>0</v>
      </c>
      <c r="O1613">
        <v>2.5573100000000001E-2</v>
      </c>
      <c r="P1613">
        <v>0.98846480000000003</v>
      </c>
      <c r="Q1613">
        <v>0.1307065</v>
      </c>
      <c r="R1613">
        <v>7.6506530000000003E-2</v>
      </c>
      <c r="S1613">
        <v>3.0992739999999999</v>
      </c>
      <c r="T1613">
        <v>-0.1486362</v>
      </c>
      <c r="U1613">
        <v>-0.57649229999999996</v>
      </c>
      <c r="V1613">
        <v>-5.1271219999999999E-2</v>
      </c>
      <c r="W1613">
        <v>0.1417928</v>
      </c>
      <c r="X1613">
        <v>0.98856770000000005</v>
      </c>
      <c r="Y1613">
        <v>0.2076963</v>
      </c>
      <c r="Z1613">
        <v>-6.1513059999999996E-3</v>
      </c>
      <c r="AA1613">
        <v>0.97817399999999999</v>
      </c>
      <c r="AB1613">
        <v>31</v>
      </c>
      <c r="AC1613">
        <v>22.857900000000001</v>
      </c>
      <c r="AD1613">
        <v>-1.1102527942680001</v>
      </c>
      <c r="AE1613">
        <v>-4.3137999999999801</v>
      </c>
      <c r="AF1613">
        <v>4.8858428005928802</v>
      </c>
      <c r="AG1613">
        <v>-1.1102527942680001</v>
      </c>
      <c r="AH1613">
        <v>22.6884128861923</v>
      </c>
      <c r="AI1613">
        <v>92.738836079509895</v>
      </c>
      <c r="AJ1613">
        <v>77.847211732222604</v>
      </c>
      <c r="AK1613">
        <v>23.2350640290407</v>
      </c>
      <c r="AL1613">
        <v>81.848398979069501</v>
      </c>
      <c r="AM1613">
        <v>92.968936570969603</v>
      </c>
      <c r="AN1613">
        <v>1.0000000168076999</v>
      </c>
    </row>
    <row r="1614" spans="1:40" x14ac:dyDescent="0.3">
      <c r="A1614" t="str">
        <f>"20200111150820066"</f>
        <v>20200111150820066</v>
      </c>
      <c r="B1614" t="str">
        <f>"1578726500064598"</f>
        <v>1578726500064598</v>
      </c>
      <c r="C1614" t="s">
        <v>40</v>
      </c>
      <c r="D1614">
        <v>5.26891</v>
      </c>
      <c r="E1614">
        <v>0.60296450000000001</v>
      </c>
      <c r="F1614" t="s">
        <v>58</v>
      </c>
      <c r="G1614">
        <v>-307.98020000000002</v>
      </c>
      <c r="H1614" s="1">
        <v>1.237706E-6</v>
      </c>
      <c r="I1614">
        <v>209.75470000000001</v>
      </c>
      <c r="J1614">
        <v>-330.71589999999998</v>
      </c>
      <c r="K1614">
        <v>1.110255</v>
      </c>
      <c r="L1614">
        <v>214.0642</v>
      </c>
      <c r="M1614">
        <v>0.99960329999999997</v>
      </c>
      <c r="N1614">
        <v>0</v>
      </c>
      <c r="O1614">
        <v>2.5829390000000001E-2</v>
      </c>
      <c r="P1614">
        <v>0.98847189999999996</v>
      </c>
      <c r="Q1614">
        <v>0.1305057</v>
      </c>
      <c r="R1614">
        <v>7.6758350000000003E-2</v>
      </c>
      <c r="S1614">
        <v>3.0995180000000002</v>
      </c>
      <c r="T1614">
        <v>-0.1493717</v>
      </c>
      <c r="U1614">
        <v>-0.57872009999999996</v>
      </c>
      <c r="V1614">
        <v>-5.1268920000000003E-2</v>
      </c>
      <c r="W1614">
        <v>0.1415941</v>
      </c>
      <c r="X1614">
        <v>0.98859629999999998</v>
      </c>
      <c r="Y1614">
        <v>0.20860880000000001</v>
      </c>
      <c r="Z1614">
        <v>-6.2148699999999999E-3</v>
      </c>
      <c r="AA1614">
        <v>0.97797940000000005</v>
      </c>
      <c r="AB1614">
        <v>31</v>
      </c>
      <c r="AC1614">
        <v>22.735699999999898</v>
      </c>
      <c r="AD1614">
        <v>-1.1102537622939901</v>
      </c>
      <c r="AE1614">
        <v>-4.3094999999999803</v>
      </c>
      <c r="AF1614">
        <v>4.8841052845341997</v>
      </c>
      <c r="AG1614">
        <v>-1.1102537622939901</v>
      </c>
      <c r="AH1614">
        <v>22.564851429961202</v>
      </c>
      <c r="AI1614">
        <v>92.753187796186495</v>
      </c>
      <c r="AJ1614">
        <v>77.786873088159595</v>
      </c>
      <c r="AK1614">
        <v>23.114057798303701</v>
      </c>
      <c r="AL1614">
        <v>81.859899694172498</v>
      </c>
      <c r="AM1614">
        <v>92.968717890722004</v>
      </c>
      <c r="AN1614">
        <v>1.00000001784323</v>
      </c>
    </row>
    <row r="1615" spans="1:40" x14ac:dyDescent="0.3">
      <c r="A1615" t="str">
        <f>"20200111150820089"</f>
        <v>20200111150820089</v>
      </c>
      <c r="B1615" t="str">
        <f>"1578726500084116"</f>
        <v>1578726500084116</v>
      </c>
      <c r="C1615" t="s">
        <v>40</v>
      </c>
      <c r="D1615">
        <v>5.2864279999999999</v>
      </c>
      <c r="E1615">
        <v>0.6033887</v>
      </c>
      <c r="F1615" t="s">
        <v>58</v>
      </c>
      <c r="G1615">
        <v>-308.5573</v>
      </c>
      <c r="H1615" s="1">
        <v>1.135339E-6</v>
      </c>
      <c r="I1615">
        <v>209.864</v>
      </c>
      <c r="J1615">
        <v>-330.40249999999997</v>
      </c>
      <c r="K1615">
        <v>1.1102529999999999</v>
      </c>
      <c r="L1615">
        <v>214.07259999999999</v>
      </c>
      <c r="M1615">
        <v>0.99959640000000005</v>
      </c>
      <c r="N1615">
        <v>0</v>
      </c>
      <c r="O1615">
        <v>2.6095090000000001E-2</v>
      </c>
      <c r="P1615">
        <v>0.98846599999999996</v>
      </c>
      <c r="Q1615">
        <v>0.13039890000000001</v>
      </c>
      <c r="R1615">
        <v>7.7013269999999995E-2</v>
      </c>
      <c r="S1615">
        <v>3.1011660000000001</v>
      </c>
      <c r="T1615">
        <v>-0.15538370000000001</v>
      </c>
      <c r="U1615">
        <v>-0.58784479999999995</v>
      </c>
      <c r="V1615">
        <v>-5.1260269999999997E-2</v>
      </c>
      <c r="W1615">
        <v>0.14148929999999901</v>
      </c>
      <c r="X1615">
        <v>0.98861180000000004</v>
      </c>
      <c r="Y1615">
        <v>0.2115283</v>
      </c>
      <c r="Z1615">
        <v>-6.5452610000000001E-3</v>
      </c>
      <c r="AA1615">
        <v>0.97734989999999999</v>
      </c>
      <c r="AB1615">
        <v>31</v>
      </c>
      <c r="AC1615">
        <v>21.845199999999899</v>
      </c>
      <c r="AD1615">
        <v>-1.110251864661</v>
      </c>
      <c r="AE1615">
        <v>-4.2085999999999899</v>
      </c>
      <c r="AF1615">
        <v>4.7653863850088998</v>
      </c>
      <c r="AG1615">
        <v>-1.110251864661</v>
      </c>
      <c r="AH1615">
        <v>21.6739482069957</v>
      </c>
      <c r="AI1615">
        <v>92.864130257403701</v>
      </c>
      <c r="AJ1615">
        <v>77.599849171280496</v>
      </c>
      <c r="AK1615">
        <v>22.219396874824199</v>
      </c>
      <c r="AL1615">
        <v>81.865965738686299</v>
      </c>
      <c r="AM1615">
        <v>92.968171455595495</v>
      </c>
      <c r="AN1615">
        <v>1.0000000641970901</v>
      </c>
    </row>
    <row r="1616" spans="1:40" x14ac:dyDescent="0.3">
      <c r="A1616" t="str">
        <f>"20200111150820113"</f>
        <v>20200111150820113</v>
      </c>
      <c r="B1616" t="str">
        <f>"1578726500103636"</f>
        <v>1578726500103636</v>
      </c>
      <c r="C1616" t="s">
        <v>40</v>
      </c>
      <c r="D1616">
        <v>5.2884479999999998</v>
      </c>
      <c r="E1616">
        <v>0.60417609999999999</v>
      </c>
      <c r="F1616" t="s">
        <v>58</v>
      </c>
      <c r="G1616">
        <v>-308.34100000000001</v>
      </c>
      <c r="H1616" s="1">
        <v>1.1737099999999999E-6</v>
      </c>
      <c r="I1616">
        <v>209.87209999999999</v>
      </c>
      <c r="J1616">
        <v>-330.08300000000003</v>
      </c>
      <c r="K1616">
        <v>1.110247</v>
      </c>
      <c r="L1616">
        <v>214.0812</v>
      </c>
      <c r="M1616">
        <v>0.99958910000000001</v>
      </c>
      <c r="N1616">
        <v>0</v>
      </c>
      <c r="O1616">
        <v>2.636604E-2</v>
      </c>
      <c r="P1616">
        <v>0.98841670000000004</v>
      </c>
      <c r="Q1616">
        <v>0.13049340000000001</v>
      </c>
      <c r="R1616">
        <v>7.7484300000000006E-2</v>
      </c>
      <c r="S1616">
        <v>3.1016240000000002</v>
      </c>
      <c r="T1616">
        <v>-0.15609010000000001</v>
      </c>
      <c r="U1616">
        <v>-0.59054569999999995</v>
      </c>
      <c r="V1616">
        <v>-5.1464620000000003E-2</v>
      </c>
      <c r="W1616">
        <v>0.14158470000000001</v>
      </c>
      <c r="X1616">
        <v>0.98858740000000001</v>
      </c>
      <c r="Y1616">
        <v>0.212584</v>
      </c>
      <c r="Z1616">
        <v>-6.6133370000000004E-3</v>
      </c>
      <c r="AA1616">
        <v>0.9771204</v>
      </c>
      <c r="AB1616">
        <v>31</v>
      </c>
      <c r="AC1616">
        <v>21.742000000000001</v>
      </c>
      <c r="AD1616">
        <v>-1.1102458262899999</v>
      </c>
      <c r="AE1616">
        <v>-4.2091000000000003</v>
      </c>
      <c r="AF1616">
        <v>4.7689370268687901</v>
      </c>
      <c r="AG1616">
        <v>-1.1102458262899999</v>
      </c>
      <c r="AH1616">
        <v>21.569244265214099</v>
      </c>
      <c r="AI1616">
        <v>92.877250583105905</v>
      </c>
      <c r="AJ1616">
        <v>77.532537558326695</v>
      </c>
      <c r="AK1616">
        <v>22.118040246222201</v>
      </c>
      <c r="AL1616">
        <v>81.860443125221707</v>
      </c>
      <c r="AM1616">
        <v>92.980056258358005</v>
      </c>
      <c r="AN1616">
        <v>0.99999994091229505</v>
      </c>
    </row>
    <row r="1617" spans="1:40" x14ac:dyDescent="0.3">
      <c r="A1617" t="str">
        <f>"20200111150820134"</f>
        <v>20200111150820134</v>
      </c>
      <c r="B1617" t="str">
        <f>"1578726500124133"</f>
        <v>1578726500124133</v>
      </c>
      <c r="C1617" t="s">
        <v>40</v>
      </c>
      <c r="D1617">
        <v>5.2373500000000002</v>
      </c>
      <c r="E1617">
        <v>0.60456929999999998</v>
      </c>
      <c r="F1617" t="s">
        <v>58</v>
      </c>
      <c r="G1617">
        <v>-308.29399999999998</v>
      </c>
      <c r="H1617" s="1">
        <v>1.1820390000000001E-6</v>
      </c>
      <c r="I1617">
        <v>209.89959999999999</v>
      </c>
      <c r="J1617">
        <v>-329.77530000000002</v>
      </c>
      <c r="K1617">
        <v>1.110247</v>
      </c>
      <c r="L1617">
        <v>214.08959999999999</v>
      </c>
      <c r="M1617">
        <v>0.99958239999999998</v>
      </c>
      <c r="N1617">
        <v>0</v>
      </c>
      <c r="O1617">
        <v>2.6626500000000001E-2</v>
      </c>
      <c r="P1617">
        <v>0.98836829999999998</v>
      </c>
      <c r="Q1617">
        <v>0.1304022</v>
      </c>
      <c r="R1617">
        <v>7.825356E-2</v>
      </c>
      <c r="S1617">
        <v>3.102722</v>
      </c>
      <c r="T1617">
        <v>-0.1580974</v>
      </c>
      <c r="U1617">
        <v>-0.59545899999999996</v>
      </c>
      <c r="V1617">
        <v>-5.1976759999999997E-2</v>
      </c>
      <c r="W1617">
        <v>0.1414945</v>
      </c>
      <c r="X1617">
        <v>0.98857360000000005</v>
      </c>
      <c r="Y1617">
        <v>0.2142578</v>
      </c>
      <c r="Z1617">
        <v>-6.7503619999999898E-3</v>
      </c>
      <c r="AA1617">
        <v>0.97675380000000001</v>
      </c>
      <c r="AB1617">
        <v>31</v>
      </c>
      <c r="AC1617">
        <v>21.481299999999901</v>
      </c>
      <c r="AD1617">
        <v>-1.110245817961</v>
      </c>
      <c r="AE1617">
        <v>-4.1899999999999897</v>
      </c>
      <c r="AF1617">
        <v>4.74830304796928</v>
      </c>
      <c r="AG1617">
        <v>-1.110245817961</v>
      </c>
      <c r="AH1617">
        <v>21.307279504473499</v>
      </c>
      <c r="AI1617">
        <v>92.911488536012499</v>
      </c>
      <c r="AJ1617">
        <v>77.436982462482902</v>
      </c>
      <c r="AK1617">
        <v>21.858160661258999</v>
      </c>
      <c r="AL1617">
        <v>81.865664409692897</v>
      </c>
      <c r="AM1617">
        <v>93.009699382654503</v>
      </c>
      <c r="AN1617">
        <v>1.0000000198636501</v>
      </c>
    </row>
    <row r="1618" spans="1:40" x14ac:dyDescent="0.3">
      <c r="A1618" t="str">
        <f>"20200111150820156"</f>
        <v>20200111150820156</v>
      </c>
      <c r="B1618" t="str">
        <f>"1578726500154388"</f>
        <v>1578726500154388</v>
      </c>
      <c r="C1618" t="s">
        <v>40</v>
      </c>
      <c r="D1618">
        <v>3.7550690000000002</v>
      </c>
      <c r="E1618">
        <v>0.58343829999999997</v>
      </c>
      <c r="F1618" t="s">
        <v>58</v>
      </c>
      <c r="G1618">
        <v>-308.09570000000002</v>
      </c>
      <c r="H1618" s="1">
        <v>1.2172120000000001E-6</v>
      </c>
      <c r="I1618">
        <v>209.92080000000001</v>
      </c>
      <c r="J1618">
        <v>-329.48570000000001</v>
      </c>
      <c r="K1618">
        <v>1.1102479999999999</v>
      </c>
      <c r="L1618">
        <v>214.0976</v>
      </c>
      <c r="M1618">
        <v>0.99957589999999996</v>
      </c>
      <c r="N1618">
        <v>0</v>
      </c>
      <c r="O1618">
        <v>2.6871820000000001E-2</v>
      </c>
      <c r="P1618">
        <v>0.98838800000000004</v>
      </c>
      <c r="Q1618">
        <v>0.13025929999999999</v>
      </c>
      <c r="R1618">
        <v>7.8243770000000004E-2</v>
      </c>
      <c r="S1618">
        <v>3.1035159999999999</v>
      </c>
      <c r="T1618">
        <v>-0.15893570000000001</v>
      </c>
      <c r="U1618">
        <v>-0.5967865</v>
      </c>
      <c r="V1618">
        <v>-5.1723730000000002E-2</v>
      </c>
      <c r="W1618">
        <v>0.14135339999999999</v>
      </c>
      <c r="X1618">
        <v>0.98860700000000001</v>
      </c>
      <c r="Y1618">
        <v>0.21485009999999999</v>
      </c>
      <c r="Z1618">
        <v>-6.8116100000000001E-3</v>
      </c>
      <c r="AA1618">
        <v>0.97662329999999997</v>
      </c>
      <c r="AB1618">
        <v>31</v>
      </c>
      <c r="AC1618">
        <v>21.389999999999901</v>
      </c>
      <c r="AD1618">
        <v>-1.11024678278799</v>
      </c>
      <c r="AE1618">
        <v>-4.1767999999999796</v>
      </c>
      <c r="AF1618">
        <v>4.7378204900276204</v>
      </c>
      <c r="AG1618">
        <v>-1.11024678278799</v>
      </c>
      <c r="AH1618">
        <v>21.214973087398601</v>
      </c>
      <c r="AI1618">
        <v>92.923842075159897</v>
      </c>
      <c r="AJ1618">
        <v>77.411029652669896</v>
      </c>
      <c r="AK1618">
        <v>21.765906230007101</v>
      </c>
      <c r="AL1618">
        <v>81.873830469213601</v>
      </c>
      <c r="AM1618">
        <v>92.994973490428293</v>
      </c>
      <c r="AN1618">
        <v>0.99999996419283499</v>
      </c>
    </row>
    <row r="1619" spans="1:40" x14ac:dyDescent="0.3">
      <c r="A1619" t="str">
        <f>"20200111150820179"</f>
        <v>20200111150820179</v>
      </c>
      <c r="B1619" t="str">
        <f>"1578726500173910"</f>
        <v>1578726500173910</v>
      </c>
      <c r="C1619" t="s">
        <v>40</v>
      </c>
      <c r="D1619">
        <v>6.2157339999999897</v>
      </c>
      <c r="E1619">
        <v>0.58708919999999998</v>
      </c>
      <c r="F1619" t="s">
        <v>73</v>
      </c>
      <c r="G1619">
        <v>-168.42420000000001</v>
      </c>
      <c r="H1619">
        <v>26.065069999999999</v>
      </c>
      <c r="I1619">
        <v>191.1447</v>
      </c>
      <c r="J1619">
        <v>-329.17079999999999</v>
      </c>
      <c r="K1619">
        <v>1.110255</v>
      </c>
      <c r="L1619">
        <v>214.10640000000001</v>
      </c>
      <c r="M1619">
        <v>0.99956860000000003</v>
      </c>
      <c r="N1619">
        <v>0</v>
      </c>
      <c r="O1619">
        <v>2.7138530000000001E-2</v>
      </c>
      <c r="P1619">
        <v>0.98848590000000003</v>
      </c>
      <c r="Q1619">
        <v>0.1297905</v>
      </c>
      <c r="R1619">
        <v>7.7782299999999999E-2</v>
      </c>
      <c r="S1619">
        <v>3.0077509999999998</v>
      </c>
      <c r="T1619">
        <v>0.46602090000000002</v>
      </c>
      <c r="U1619">
        <v>-0.42863459999999998</v>
      </c>
      <c r="V1619">
        <v>-5.0995039999999998E-2</v>
      </c>
      <c r="W1619">
        <v>0.14088789999999901</v>
      </c>
      <c r="X1619">
        <v>0.98871140000000002</v>
      </c>
      <c r="Y1619">
        <v>0.1656444</v>
      </c>
      <c r="Z1619">
        <v>1.6854499999999901E-2</v>
      </c>
      <c r="AA1619">
        <v>0.98604150000000002</v>
      </c>
      <c r="AB1619">
        <v>31</v>
      </c>
      <c r="AC1619">
        <v>160.74659999999901</v>
      </c>
      <c r="AD1619">
        <v>24.954815</v>
      </c>
      <c r="AE1619">
        <v>-22.9617</v>
      </c>
      <c r="AF1619">
        <v>26.685667154846101</v>
      </c>
      <c r="AG1619">
        <v>24.954815</v>
      </c>
      <c r="AH1619">
        <v>156.37094936493099</v>
      </c>
      <c r="AI1619">
        <v>81.059898330480394</v>
      </c>
      <c r="AJ1619">
        <v>80.315418935730904</v>
      </c>
      <c r="AK1619">
        <v>160.58250660789</v>
      </c>
      <c r="AL1619">
        <v>81.900772077969705</v>
      </c>
      <c r="AM1619">
        <v>92.952543909930796</v>
      </c>
      <c r="AN1619">
        <v>1.00000006348048</v>
      </c>
    </row>
    <row r="1620" spans="1:40" x14ac:dyDescent="0.3">
      <c r="A1620" t="str">
        <f>"20200111150820203"</f>
        <v>20200111150820203</v>
      </c>
      <c r="B1620" t="str">
        <f>"1578726500194404"</f>
        <v>1578726500194404</v>
      </c>
      <c r="C1620" t="s">
        <v>40</v>
      </c>
      <c r="D1620">
        <v>5.2730139999999999</v>
      </c>
      <c r="E1620">
        <v>0.59784289999999995</v>
      </c>
      <c r="F1620" t="s">
        <v>73</v>
      </c>
      <c r="G1620">
        <v>-168.423</v>
      </c>
      <c r="H1620">
        <v>21.100580000000001</v>
      </c>
      <c r="I1620">
        <v>189.6823</v>
      </c>
      <c r="J1620">
        <v>-328.84410000000003</v>
      </c>
      <c r="K1620">
        <v>1.11026</v>
      </c>
      <c r="L1620">
        <v>214.1155</v>
      </c>
      <c r="M1620">
        <v>0.99956100000000003</v>
      </c>
      <c r="N1620">
        <v>0</v>
      </c>
      <c r="O1620">
        <v>2.7415559999999999E-2</v>
      </c>
      <c r="P1620">
        <v>0.98843449999999999</v>
      </c>
      <c r="Q1620">
        <v>0.1302248</v>
      </c>
      <c r="R1620">
        <v>7.7709570000000006E-2</v>
      </c>
      <c r="S1620">
        <v>3.0217290000000001</v>
      </c>
      <c r="T1620">
        <v>0.3757778</v>
      </c>
      <c r="U1620">
        <v>-0.45912170000000002</v>
      </c>
      <c r="V1620">
        <v>-5.0649590000000001E-2</v>
      </c>
      <c r="W1620">
        <v>0.1413227</v>
      </c>
      <c r="X1620">
        <v>0.98866710000000002</v>
      </c>
      <c r="Y1620">
        <v>0.17573449999999999</v>
      </c>
      <c r="Z1620">
        <v>1.420248E-2</v>
      </c>
      <c r="AA1620">
        <v>0.98433510000000002</v>
      </c>
      <c r="AB1620">
        <v>31</v>
      </c>
      <c r="AC1620">
        <v>160.4211</v>
      </c>
      <c r="AD1620">
        <v>19.990320000000001</v>
      </c>
      <c r="AE1620">
        <v>-24.433199999999999</v>
      </c>
      <c r="AF1620">
        <v>28.391458208068101</v>
      </c>
      <c r="AG1620">
        <v>19.990320000000001</v>
      </c>
      <c r="AH1620">
        <v>157.30366234287399</v>
      </c>
      <c r="AI1620">
        <v>82.871574855690895</v>
      </c>
      <c r="AJ1620">
        <v>79.768933453271103</v>
      </c>
      <c r="AK1620">
        <v>161.09044037236899</v>
      </c>
      <c r="AL1620">
        <v>81.875608074717306</v>
      </c>
      <c r="AM1620">
        <v>92.932709026541502</v>
      </c>
      <c r="AN1620">
        <v>1.00000006056243</v>
      </c>
    </row>
    <row r="1621" spans="1:40" x14ac:dyDescent="0.3">
      <c r="A1621" t="str">
        <f>"20200111150820224"</f>
        <v>20200111150820224</v>
      </c>
      <c r="B1621" t="str">
        <f>"1578726500213926"</f>
        <v>1578726500213926</v>
      </c>
      <c r="C1621" t="s">
        <v>40</v>
      </c>
      <c r="D1621">
        <v>5.2201899999999997</v>
      </c>
      <c r="E1621">
        <v>0.60405410000000004</v>
      </c>
      <c r="F1621" t="s">
        <v>74</v>
      </c>
      <c r="G1621">
        <v>-237.19460000000001</v>
      </c>
      <c r="H1621">
        <v>5.7317600000000004</v>
      </c>
      <c r="I1621">
        <v>197.7878</v>
      </c>
      <c r="J1621">
        <v>-328.54340000000002</v>
      </c>
      <c r="K1621">
        <v>1.11025</v>
      </c>
      <c r="L1621">
        <v>214.124</v>
      </c>
      <c r="M1621">
        <v>0.9995539</v>
      </c>
      <c r="N1621">
        <v>0</v>
      </c>
      <c r="O1621">
        <v>2.7670360000000001E-2</v>
      </c>
      <c r="P1621">
        <v>0.98845229999999995</v>
      </c>
      <c r="Q1621">
        <v>0.1300945</v>
      </c>
      <c r="R1621">
        <v>7.7701699999999999E-2</v>
      </c>
      <c r="S1621">
        <v>3.057617</v>
      </c>
      <c r="T1621">
        <v>0.15418579999999901</v>
      </c>
      <c r="U1621">
        <v>-0.54472349999999903</v>
      </c>
      <c r="V1621">
        <v>-5.0388870000000002E-2</v>
      </c>
      <c r="W1621">
        <v>0.14119470000000001</v>
      </c>
      <c r="X1621">
        <v>0.98869870000000004</v>
      </c>
      <c r="Y1621">
        <v>0.20228389999999999</v>
      </c>
      <c r="Z1621">
        <v>6.4416559999999996E-3</v>
      </c>
      <c r="AA1621">
        <v>0.97930569999999895</v>
      </c>
      <c r="AB1621">
        <v>31</v>
      </c>
      <c r="AC1621">
        <v>91.348799999999997</v>
      </c>
      <c r="AD1621">
        <v>4.6215099999999998</v>
      </c>
      <c r="AE1621">
        <v>-16.336200000000002</v>
      </c>
      <c r="AF1621">
        <v>18.811102321149601</v>
      </c>
      <c r="AG1621">
        <v>4.6215099999999998</v>
      </c>
      <c r="AH1621">
        <v>90.636961601443303</v>
      </c>
      <c r="AI1621">
        <v>87.141862392967099</v>
      </c>
      <c r="AJ1621">
        <v>78.275095577705102</v>
      </c>
      <c r="AK1621">
        <v>92.683735000043995</v>
      </c>
      <c r="AL1621">
        <v>81.883016134998499</v>
      </c>
      <c r="AM1621">
        <v>92.917545896118796</v>
      </c>
      <c r="AN1621">
        <v>1.0000000504548201</v>
      </c>
    </row>
    <row r="1622" spans="1:40" x14ac:dyDescent="0.3">
      <c r="A1622" t="str">
        <f>"20200111150820247"</f>
        <v>20200111150820247</v>
      </c>
      <c r="B1622" t="str">
        <f>"1578726500244180"</f>
        <v>1578726500244180</v>
      </c>
      <c r="C1622" t="s">
        <v>40</v>
      </c>
      <c r="D1622">
        <v>5.2109540000000001</v>
      </c>
      <c r="E1622">
        <v>0.60757850000000002</v>
      </c>
      <c r="F1622" t="s">
        <v>45</v>
      </c>
      <c r="G1622">
        <v>-285.49790000000002</v>
      </c>
      <c r="H1622">
        <v>1.828595</v>
      </c>
      <c r="I1622">
        <v>205.8073</v>
      </c>
      <c r="J1622">
        <v>-328.23039999999997</v>
      </c>
      <c r="K1622">
        <v>1.11025</v>
      </c>
      <c r="L1622">
        <v>214.13300000000001</v>
      </c>
      <c r="M1622">
        <v>0.99954659999999995</v>
      </c>
      <c r="N1622">
        <v>0</v>
      </c>
      <c r="O1622">
        <v>2.7935339999999999E-2</v>
      </c>
      <c r="P1622">
        <v>0.98848990000000003</v>
      </c>
      <c r="Q1622">
        <v>0.1300288</v>
      </c>
      <c r="R1622">
        <v>7.7331620000000004E-2</v>
      </c>
      <c r="S1622">
        <v>3.0750120000000001</v>
      </c>
      <c r="T1622">
        <v>5.1315779999999998E-2</v>
      </c>
      <c r="U1622">
        <v>-0.59411619999999998</v>
      </c>
      <c r="V1622">
        <v>-4.9755220000000003E-2</v>
      </c>
      <c r="W1622">
        <v>0.14113149999999999</v>
      </c>
      <c r="X1622">
        <v>0.98873979999999995</v>
      </c>
      <c r="Y1622">
        <v>0.2170224</v>
      </c>
      <c r="Z1622">
        <v>2.2562979999999999E-3</v>
      </c>
      <c r="AA1622">
        <v>0.97616400000000003</v>
      </c>
      <c r="AB1622">
        <v>31</v>
      </c>
      <c r="AC1622">
        <v>42.732499999999902</v>
      </c>
      <c r="AD1622">
        <v>0.71834500000000001</v>
      </c>
      <c r="AE1622">
        <v>-8.3256999999999799</v>
      </c>
      <c r="AF1622">
        <v>9.5136824867177605</v>
      </c>
      <c r="AG1622">
        <v>0.71834500000000001</v>
      </c>
      <c r="AH1622">
        <v>42.471661899564701</v>
      </c>
      <c r="AI1622">
        <v>89.054446925715894</v>
      </c>
      <c r="AJ1622">
        <v>77.374124299518002</v>
      </c>
      <c r="AK1622">
        <v>43.530084292452699</v>
      </c>
      <c r="AL1622">
        <v>81.886673746578197</v>
      </c>
      <c r="AM1622">
        <v>92.880799826913204</v>
      </c>
      <c r="AN1622">
        <v>1.0000000371567599</v>
      </c>
    </row>
    <row r="1623" spans="1:40" x14ac:dyDescent="0.3">
      <c r="A1623" t="str">
        <f>"20200111150820269"</f>
        <v>20200111150820269</v>
      </c>
      <c r="B1623" t="str">
        <f>"1578726500263700"</f>
        <v>1578726500263700</v>
      </c>
      <c r="C1623" t="s">
        <v>40</v>
      </c>
      <c r="D1623">
        <v>5.1675570000000004</v>
      </c>
      <c r="E1623">
        <v>0.60977230000000004</v>
      </c>
      <c r="F1623" t="s">
        <v>45</v>
      </c>
      <c r="G1623">
        <v>-285.67590000000001</v>
      </c>
      <c r="H1623">
        <v>0.95522589999999996</v>
      </c>
      <c r="I1623">
        <v>205.54060000000001</v>
      </c>
      <c r="J1623">
        <v>-327.92869999999999</v>
      </c>
      <c r="K1623">
        <v>1.110249</v>
      </c>
      <c r="L1623">
        <v>214.14169999999999</v>
      </c>
      <c r="M1623">
        <v>0.99953939999999997</v>
      </c>
      <c r="N1623">
        <v>0</v>
      </c>
      <c r="O1623">
        <v>2.819062E-2</v>
      </c>
      <c r="P1623">
        <v>0.9884773</v>
      </c>
      <c r="Q1623">
        <v>0.12982750000000001</v>
      </c>
      <c r="R1623">
        <v>7.7832139999999994E-2</v>
      </c>
      <c r="S1623">
        <v>3.085175</v>
      </c>
      <c r="T1623">
        <v>-1.123917E-2</v>
      </c>
      <c r="U1623">
        <v>-0.6229401</v>
      </c>
      <c r="V1623">
        <v>-5.0003230000000003E-2</v>
      </c>
      <c r="W1623">
        <v>0.14093129999999901</v>
      </c>
      <c r="X1623">
        <v>0.98875579999999996</v>
      </c>
      <c r="Y1623">
        <v>0.22547420000000001</v>
      </c>
      <c r="Z1623">
        <v>-5.0833200000000001E-4</v>
      </c>
      <c r="AA1623">
        <v>0.97424900000000003</v>
      </c>
      <c r="AB1623">
        <v>31</v>
      </c>
      <c r="AC1623">
        <v>42.252799999999901</v>
      </c>
      <c r="AD1623">
        <v>-0.1550231</v>
      </c>
      <c r="AE1623">
        <v>-8.6010999999999704</v>
      </c>
      <c r="AF1623">
        <v>9.7887625113559196</v>
      </c>
      <c r="AG1623">
        <v>-0.1550231</v>
      </c>
      <c r="AH1623">
        <v>41.9929767241508</v>
      </c>
      <c r="AI1623">
        <v>90.205992127594897</v>
      </c>
      <c r="AJ1623">
        <v>76.878398727472302</v>
      </c>
      <c r="AK1623">
        <v>43.1190676826428</v>
      </c>
      <c r="AL1623">
        <v>81.898259807389607</v>
      </c>
      <c r="AM1623">
        <v>92.895088330488704</v>
      </c>
      <c r="AN1623">
        <v>0.99999999318188104</v>
      </c>
    </row>
    <row r="1624" spans="1:40" x14ac:dyDescent="0.3">
      <c r="A1624" t="str">
        <f>"20200111150820291"</f>
        <v>20200111150820291</v>
      </c>
      <c r="B1624" t="str">
        <f>"1578726500284196"</f>
        <v>1578726500284196</v>
      </c>
      <c r="C1624" t="s">
        <v>40</v>
      </c>
      <c r="D1624">
        <v>5.1786029999999998</v>
      </c>
      <c r="E1624">
        <v>0.61122940000000003</v>
      </c>
      <c r="F1624" t="s">
        <v>45</v>
      </c>
      <c r="G1624">
        <v>-285.80540000000002</v>
      </c>
      <c r="H1624">
        <v>0.37649270000000001</v>
      </c>
      <c r="I1624">
        <v>205.4384</v>
      </c>
      <c r="J1624">
        <v>-327.62369999999999</v>
      </c>
      <c r="K1624">
        <v>1.11025</v>
      </c>
      <c r="L1624">
        <v>214.1506</v>
      </c>
      <c r="M1624">
        <v>0.99953199999999998</v>
      </c>
      <c r="N1624">
        <v>0</v>
      </c>
      <c r="O1624">
        <v>2.8448810000000001E-2</v>
      </c>
      <c r="P1624">
        <v>0.98838000000000004</v>
      </c>
      <c r="Q1624">
        <v>0.13000320000000001</v>
      </c>
      <c r="R1624">
        <v>7.8767829999999997E-2</v>
      </c>
      <c r="S1624">
        <v>3.0923159999999998</v>
      </c>
      <c r="T1624">
        <v>-5.3865910000000003E-2</v>
      </c>
      <c r="U1624">
        <v>-0.63891600000000004</v>
      </c>
      <c r="V1624">
        <v>-5.0685569999999999E-2</v>
      </c>
      <c r="W1624">
        <v>0.14110739999999999</v>
      </c>
      <c r="X1624">
        <v>0.98869589999999996</v>
      </c>
      <c r="Y1624">
        <v>0.23008290000000001</v>
      </c>
      <c r="Z1624">
        <v>-2.473533E-3</v>
      </c>
      <c r="AA1624">
        <v>0.97316789999999997</v>
      </c>
      <c r="AB1624">
        <v>31</v>
      </c>
      <c r="AC1624">
        <v>41.818299999999901</v>
      </c>
      <c r="AD1624">
        <v>-0.73375729999999995</v>
      </c>
      <c r="AE1624">
        <v>-8.7121999999999904</v>
      </c>
      <c r="AF1624">
        <v>9.8955095573307705</v>
      </c>
      <c r="AG1624">
        <v>-0.73375729999999995</v>
      </c>
      <c r="AH1624">
        <v>41.5412471067486</v>
      </c>
      <c r="AI1624">
        <v>90.984391780501298</v>
      </c>
      <c r="AJ1624">
        <v>76.601320141614195</v>
      </c>
      <c r="AK1624">
        <v>42.709890193706599</v>
      </c>
      <c r="AL1624">
        <v>81.888067853998393</v>
      </c>
      <c r="AM1624">
        <v>92.934703358411696</v>
      </c>
      <c r="AN1624">
        <v>0.99999995400889596</v>
      </c>
    </row>
    <row r="1625" spans="1:40" x14ac:dyDescent="0.3">
      <c r="A1625" t="str">
        <f>"20200111150820314"</f>
        <v>20200111150820314</v>
      </c>
      <c r="B1625" t="str">
        <f>"1578726500303716"</f>
        <v>1578726500303716</v>
      </c>
      <c r="C1625" t="s">
        <v>40</v>
      </c>
      <c r="D1625">
        <v>5.1903090000000001</v>
      </c>
      <c r="E1625">
        <v>0.61216429999999999</v>
      </c>
      <c r="F1625" t="s">
        <v>45</v>
      </c>
      <c r="G1625">
        <v>-286.0575</v>
      </c>
      <c r="H1625">
        <v>8.1788479999999997E-2</v>
      </c>
      <c r="I1625">
        <v>205.45750000000001</v>
      </c>
      <c r="J1625">
        <v>-327.29930000000002</v>
      </c>
      <c r="K1625">
        <v>1.1102459999999901</v>
      </c>
      <c r="L1625">
        <v>214.1601</v>
      </c>
      <c r="M1625">
        <v>0.99952419999999997</v>
      </c>
      <c r="N1625">
        <v>0</v>
      </c>
      <c r="O1625">
        <v>2.872328E-2</v>
      </c>
      <c r="P1625">
        <v>0.98829979999999995</v>
      </c>
      <c r="Q1625">
        <v>0.12997069999999999</v>
      </c>
      <c r="R1625">
        <v>7.9819710000000002E-2</v>
      </c>
      <c r="S1625">
        <v>3.0969540000000002</v>
      </c>
      <c r="T1625">
        <v>-7.6627249999999994E-2</v>
      </c>
      <c r="U1625">
        <v>-0.64768979999999998</v>
      </c>
      <c r="V1625">
        <v>-5.146746E-2</v>
      </c>
      <c r="W1625">
        <v>0.141075799999999</v>
      </c>
      <c r="X1625">
        <v>0.98865999999999998</v>
      </c>
      <c r="Y1625">
        <v>0.23266429999999999</v>
      </c>
      <c r="Z1625">
        <v>-3.5506330000000001E-3</v>
      </c>
      <c r="AA1625">
        <v>0.97255060000000004</v>
      </c>
      <c r="AB1625">
        <v>31</v>
      </c>
      <c r="AC1625">
        <v>41.241799999999998</v>
      </c>
      <c r="AD1625">
        <v>-1.0284575199999999</v>
      </c>
      <c r="AE1625">
        <v>-8.7025999999999897</v>
      </c>
      <c r="AF1625">
        <v>9.8778026534875298</v>
      </c>
      <c r="AG1625">
        <v>-1.0284575199999999</v>
      </c>
      <c r="AH1625">
        <v>40.950418394354898</v>
      </c>
      <c r="AI1625">
        <v>91.3985685979614</v>
      </c>
      <c r="AJ1625">
        <v>76.438531364882493</v>
      </c>
      <c r="AK1625">
        <v>42.1374593064699</v>
      </c>
      <c r="AL1625">
        <v>81.889896566309702</v>
      </c>
      <c r="AM1625">
        <v>92.9800019607286</v>
      </c>
      <c r="AN1625">
        <v>0.99999993819224298</v>
      </c>
    </row>
    <row r="1626" spans="1:40" x14ac:dyDescent="0.3">
      <c r="A1626" t="str">
        <f>"20200111150820335"</f>
        <v>20200111150820335</v>
      </c>
      <c r="B1626" t="str">
        <f>"1578726500324212"</f>
        <v>1578726500324212</v>
      </c>
      <c r="C1626" t="s">
        <v>40</v>
      </c>
      <c r="D1626">
        <v>5.1560540000000001</v>
      </c>
      <c r="E1626">
        <v>0.61367479999999996</v>
      </c>
      <c r="F1626" t="s">
        <v>58</v>
      </c>
      <c r="G1626">
        <v>-291.14240000000001</v>
      </c>
      <c r="H1626" s="1">
        <v>1.6919559999999999E-6</v>
      </c>
      <c r="I1626">
        <v>206.55869999999999</v>
      </c>
      <c r="J1626">
        <v>-327.0025</v>
      </c>
      <c r="K1626">
        <v>1.1102510000000001</v>
      </c>
      <c r="L1626">
        <v>214.16890000000001</v>
      </c>
      <c r="M1626">
        <v>0.99951679999999998</v>
      </c>
      <c r="N1626">
        <v>0</v>
      </c>
      <c r="O1626">
        <v>2.8974320000000001E-2</v>
      </c>
      <c r="P1626">
        <v>0.98838999999999999</v>
      </c>
      <c r="Q1626">
        <v>0.12907169999999901</v>
      </c>
      <c r="R1626">
        <v>8.0161060000000006E-2</v>
      </c>
      <c r="S1626">
        <v>3.1006770000000001</v>
      </c>
      <c r="T1626">
        <v>-9.5210310000000006E-2</v>
      </c>
      <c r="U1626">
        <v>-0.65187069999999903</v>
      </c>
      <c r="V1626">
        <v>-5.1557060000000002E-2</v>
      </c>
      <c r="W1626">
        <v>0.14017929999999901</v>
      </c>
      <c r="X1626">
        <v>0.98878290000000002</v>
      </c>
      <c r="Y1626">
        <v>0.2338885</v>
      </c>
      <c r="Z1626">
        <v>-4.4317899999999997E-3</v>
      </c>
      <c r="AA1626">
        <v>0.97225329999999999</v>
      </c>
      <c r="AB1626">
        <v>31</v>
      </c>
      <c r="AC1626">
        <v>35.860099999999903</v>
      </c>
      <c r="AD1626">
        <v>-1.1102493080439999</v>
      </c>
      <c r="AE1626">
        <v>-7.6102000000000096</v>
      </c>
      <c r="AF1626">
        <v>8.6381689820641103</v>
      </c>
      <c r="AG1626">
        <v>-1.1102493080439999</v>
      </c>
      <c r="AH1626">
        <v>35.591881566384401</v>
      </c>
      <c r="AI1626">
        <v>91.736324995398206</v>
      </c>
      <c r="AJ1626">
        <v>76.358053959456797</v>
      </c>
      <c r="AK1626">
        <v>36.641952053953702</v>
      </c>
      <c r="AL1626">
        <v>81.941778264393093</v>
      </c>
      <c r="AM1626">
        <v>92.984810118465205</v>
      </c>
      <c r="AN1626">
        <v>0.999999994958371</v>
      </c>
    </row>
    <row r="1627" spans="1:40" x14ac:dyDescent="0.3">
      <c r="A1627" t="str">
        <f>"20200111150820358"</f>
        <v>20200111150820358</v>
      </c>
      <c r="B1627" t="str">
        <f>"1578726500354468"</f>
        <v>1578726500354468</v>
      </c>
      <c r="C1627" t="s">
        <v>40</v>
      </c>
      <c r="D1627">
        <v>5.2213440000000002</v>
      </c>
      <c r="E1627">
        <v>0.61491319999999905</v>
      </c>
      <c r="F1627" t="s">
        <v>58</v>
      </c>
      <c r="G1627">
        <v>-296.9049</v>
      </c>
      <c r="H1627" s="1">
        <v>2.618415E-6</v>
      </c>
      <c r="I1627">
        <v>207.74019999999999</v>
      </c>
      <c r="J1627">
        <v>-326.69189999999998</v>
      </c>
      <c r="K1627">
        <v>1.110255</v>
      </c>
      <c r="L1627">
        <v>214.1781</v>
      </c>
      <c r="M1627">
        <v>0.99950930000000004</v>
      </c>
      <c r="N1627">
        <v>0</v>
      </c>
      <c r="O1627">
        <v>2.9237099999999999E-2</v>
      </c>
      <c r="P1627">
        <v>0.98832439999999999</v>
      </c>
      <c r="Q1627">
        <v>0.1292189</v>
      </c>
      <c r="R1627">
        <v>8.0733600000000003E-2</v>
      </c>
      <c r="S1627">
        <v>3.1039729999999999</v>
      </c>
      <c r="T1627">
        <v>-0.11450009999999999</v>
      </c>
      <c r="U1627">
        <v>-0.66299439999999998</v>
      </c>
      <c r="V1627">
        <v>-5.1871390000000003E-2</v>
      </c>
      <c r="W1627">
        <v>0.14032749999999999</v>
      </c>
      <c r="X1627">
        <v>0.98874550000000005</v>
      </c>
      <c r="Y1627">
        <v>0.2372146</v>
      </c>
      <c r="Z1627">
        <v>-5.3918999999999998E-3</v>
      </c>
      <c r="AA1627">
        <v>0.97144229999999998</v>
      </c>
      <c r="AB1627">
        <v>31</v>
      </c>
      <c r="AC1627">
        <v>29.7869999999999</v>
      </c>
      <c r="AD1627">
        <v>-1.1102523815850001</v>
      </c>
      <c r="AE1627">
        <v>-6.4379000000000097</v>
      </c>
      <c r="AF1627">
        <v>7.2964036338671701</v>
      </c>
      <c r="AG1627">
        <v>-1.1102523815850001</v>
      </c>
      <c r="AH1627">
        <v>29.546810289825199</v>
      </c>
      <c r="AI1627">
        <v>92.089235226849198</v>
      </c>
      <c r="AJ1627">
        <v>76.128677906344706</v>
      </c>
      <c r="AK1627">
        <v>30.4546246839794</v>
      </c>
      <c r="AL1627">
        <v>81.933202757737206</v>
      </c>
      <c r="AM1627">
        <v>93.0030879050951</v>
      </c>
      <c r="AN1627">
        <v>1.0000000560635101</v>
      </c>
    </row>
    <row r="1628" spans="1:40" x14ac:dyDescent="0.3">
      <c r="A1628" t="str">
        <f>"20200111150820381"</f>
        <v>20200111150820381</v>
      </c>
      <c r="B1628" t="str">
        <f>"1578726500373988"</f>
        <v>1578726500373988</v>
      </c>
      <c r="C1628" t="s">
        <v>40</v>
      </c>
      <c r="D1628">
        <v>5.2344600000000003</v>
      </c>
      <c r="E1628">
        <v>0.61566460000000001</v>
      </c>
      <c r="F1628" t="s">
        <v>58</v>
      </c>
      <c r="G1628">
        <v>-300.12650000000002</v>
      </c>
      <c r="H1628" s="1">
        <v>2.9367479999999998E-6</v>
      </c>
      <c r="I1628">
        <v>208.4384</v>
      </c>
      <c r="J1628">
        <v>-326.3818</v>
      </c>
      <c r="K1628">
        <v>1.1102609999999999</v>
      </c>
      <c r="L1628">
        <v>214.1875</v>
      </c>
      <c r="M1628">
        <v>0.99950150000000004</v>
      </c>
      <c r="N1628">
        <v>0</v>
      </c>
      <c r="O1628">
        <v>2.94997E-2</v>
      </c>
      <c r="P1628">
        <v>0.98818479999999997</v>
      </c>
      <c r="Q1628">
        <v>0.12960940000000001</v>
      </c>
      <c r="R1628">
        <v>8.1805790000000003E-2</v>
      </c>
      <c r="S1628">
        <v>3.1072690000000001</v>
      </c>
      <c r="T1628">
        <v>-0.12986239999999999</v>
      </c>
      <c r="U1628">
        <v>-0.67135619999999996</v>
      </c>
      <c r="V1628">
        <v>-5.2687350000000001E-2</v>
      </c>
      <c r="W1628">
        <v>0.14071839999999999</v>
      </c>
      <c r="X1628">
        <v>0.98864669999999999</v>
      </c>
      <c r="Y1628">
        <v>0.23970620000000001</v>
      </c>
      <c r="Z1628">
        <v>-6.1690269999999997E-3</v>
      </c>
      <c r="AA1628">
        <v>0.97082590000000002</v>
      </c>
      <c r="AB1628">
        <v>31</v>
      </c>
      <c r="AC1628">
        <v>26.255299999999899</v>
      </c>
      <c r="AD1628">
        <v>-1.110258063252</v>
      </c>
      <c r="AE1628">
        <v>-5.7490999999999897</v>
      </c>
      <c r="AF1628">
        <v>6.5100614829560302</v>
      </c>
      <c r="AG1628">
        <v>-1.110258063252</v>
      </c>
      <c r="AH1628">
        <v>26.029847835389401</v>
      </c>
      <c r="AI1628">
        <v>92.369477448577896</v>
      </c>
      <c r="AJ1628">
        <v>75.958371284079206</v>
      </c>
      <c r="AK1628">
        <v>26.8545443419249</v>
      </c>
      <c r="AL1628">
        <v>81.910580603562906</v>
      </c>
      <c r="AM1628">
        <v>93.050543542856005</v>
      </c>
      <c r="AN1628">
        <v>0.999999961184735</v>
      </c>
    </row>
    <row r="1629" spans="1:40" x14ac:dyDescent="0.3">
      <c r="A1629" t="str">
        <f>"20200111150820403"</f>
        <v>20200111150820403</v>
      </c>
      <c r="B1629" t="str">
        <f>"1578726500394484"</f>
        <v>1578726500394484</v>
      </c>
      <c r="C1629" t="s">
        <v>40</v>
      </c>
      <c r="D1629">
        <v>5.1748459999999996</v>
      </c>
      <c r="E1629">
        <v>0.61666129999999997</v>
      </c>
      <c r="F1629" t="s">
        <v>58</v>
      </c>
      <c r="G1629">
        <v>-300.9051</v>
      </c>
      <c r="H1629" s="1">
        <v>2.7040240000000001E-6</v>
      </c>
      <c r="I1629">
        <v>208.66419999999999</v>
      </c>
      <c r="J1629">
        <v>-326.06270000000001</v>
      </c>
      <c r="K1629">
        <v>1.110263</v>
      </c>
      <c r="L1629">
        <v>214.19720000000001</v>
      </c>
      <c r="M1629">
        <v>0.99949350000000003</v>
      </c>
      <c r="N1629">
        <v>0</v>
      </c>
      <c r="O1629">
        <v>2.9769520000000001E-2</v>
      </c>
      <c r="P1629">
        <v>0.98805679999999996</v>
      </c>
      <c r="Q1629">
        <v>0.13033800000000001</v>
      </c>
      <c r="R1629">
        <v>8.2193719999999998E-2</v>
      </c>
      <c r="S1629">
        <v>3.1094970000000002</v>
      </c>
      <c r="T1629">
        <v>-0.13551009999999999</v>
      </c>
      <c r="U1629">
        <v>-0.67413330000000005</v>
      </c>
      <c r="V1629">
        <v>-5.281193E-2</v>
      </c>
      <c r="W1629">
        <v>0.1414473</v>
      </c>
      <c r="X1629">
        <v>0.98853610000000003</v>
      </c>
      <c r="Y1629">
        <v>0.24063219999999999</v>
      </c>
      <c r="Z1629">
        <v>-6.4635469999999896E-3</v>
      </c>
      <c r="AA1629">
        <v>0.97059490000000004</v>
      </c>
      <c r="AB1629">
        <v>31</v>
      </c>
      <c r="AC1629">
        <v>25.157599999999999</v>
      </c>
      <c r="AD1629">
        <v>-1.110260295976</v>
      </c>
      <c r="AE1629">
        <v>-5.5330000000000101</v>
      </c>
      <c r="AF1629">
        <v>6.2678800680347999</v>
      </c>
      <c r="AG1629">
        <v>-1.110260295976</v>
      </c>
      <c r="AH1629">
        <v>24.935398604191299</v>
      </c>
      <c r="AI1629">
        <v>92.472618634781995</v>
      </c>
      <c r="AJ1629">
        <v>75.890185817519907</v>
      </c>
      <c r="AK1629">
        <v>25.735055897005399</v>
      </c>
      <c r="AL1629">
        <v>81.868396327580598</v>
      </c>
      <c r="AM1629">
        <v>93.058084384251799</v>
      </c>
      <c r="AN1629">
        <v>1.0000000298154099</v>
      </c>
    </row>
    <row r="1630" spans="1:40" x14ac:dyDescent="0.3">
      <c r="A1630" t="str">
        <f>"20200111150820424"</f>
        <v>20200111150820424</v>
      </c>
      <c r="B1630" t="str">
        <f>"1578726500414007"</f>
        <v>1578726500414007</v>
      </c>
      <c r="C1630" t="s">
        <v>40</v>
      </c>
      <c r="D1630">
        <v>5.2323550000000001</v>
      </c>
      <c r="E1630">
        <v>0.61711389999999999</v>
      </c>
      <c r="F1630" t="s">
        <v>58</v>
      </c>
      <c r="G1630">
        <v>-301.601</v>
      </c>
      <c r="H1630" s="1">
        <v>2.5053700000000002E-6</v>
      </c>
      <c r="I1630">
        <v>208.84899999999999</v>
      </c>
      <c r="J1630">
        <v>-325.76569999999998</v>
      </c>
      <c r="K1630">
        <v>1.110266</v>
      </c>
      <c r="L1630">
        <v>214.2063</v>
      </c>
      <c r="M1630">
        <v>0.99948590000000004</v>
      </c>
      <c r="N1630">
        <v>0</v>
      </c>
      <c r="O1630">
        <v>3.002092E-2</v>
      </c>
      <c r="P1630">
        <v>0.98796759999999995</v>
      </c>
      <c r="Q1630">
        <v>0.13101019999999999</v>
      </c>
      <c r="R1630">
        <v>8.2199339999999996E-2</v>
      </c>
      <c r="S1630">
        <v>3.1114809999999999</v>
      </c>
      <c r="T1630">
        <v>-0.14122309999999999</v>
      </c>
      <c r="U1630">
        <v>-0.68028259999999996</v>
      </c>
      <c r="V1630">
        <v>-5.2571130000000001E-2</v>
      </c>
      <c r="W1630">
        <v>0.14212040000000001</v>
      </c>
      <c r="X1630">
        <v>0.98845240000000001</v>
      </c>
      <c r="Y1630">
        <v>0.2425563</v>
      </c>
      <c r="Z1630">
        <v>-6.7846169999999997E-3</v>
      </c>
      <c r="AA1630">
        <v>0.97011360000000002</v>
      </c>
      <c r="AB1630">
        <v>31</v>
      </c>
      <c r="AC1630">
        <v>24.1646999999999</v>
      </c>
      <c r="AD1630">
        <v>-1.1102634946300001</v>
      </c>
      <c r="AE1630">
        <v>-5.35729999999998</v>
      </c>
      <c r="AF1630">
        <v>6.0681676675946203</v>
      </c>
      <c r="AG1630">
        <v>-1.1102634946300001</v>
      </c>
      <c r="AH1630">
        <v>23.944786101772898</v>
      </c>
      <c r="AI1630">
        <v>92.573529382554099</v>
      </c>
      <c r="AJ1630">
        <v>75.779300637624999</v>
      </c>
      <c r="AK1630">
        <v>24.7266683022442</v>
      </c>
      <c r="AL1630">
        <v>81.829437036374102</v>
      </c>
      <c r="AM1630">
        <v>93.044424390844497</v>
      </c>
      <c r="AN1630">
        <v>1.00000003943569</v>
      </c>
    </row>
    <row r="1631" spans="1:40" x14ac:dyDescent="0.3">
      <c r="A1631" t="str">
        <f>"20200111150820447"</f>
        <v>20200111150820447</v>
      </c>
      <c r="B1631" t="str">
        <f>"1578726500444261"</f>
        <v>1578726500444261</v>
      </c>
      <c r="C1631" t="s">
        <v>40</v>
      </c>
      <c r="D1631">
        <v>5.2623170000000004</v>
      </c>
      <c r="E1631">
        <v>0.61377329999999997</v>
      </c>
      <c r="F1631" t="s">
        <v>58</v>
      </c>
      <c r="G1631">
        <v>-302.12849999999997</v>
      </c>
      <c r="H1631" s="1">
        <v>2.382192E-6</v>
      </c>
      <c r="I1631">
        <v>209.01589999999999</v>
      </c>
      <c r="J1631">
        <v>-325.45819999999998</v>
      </c>
      <c r="K1631">
        <v>1.110271</v>
      </c>
      <c r="L1631">
        <v>214.2158</v>
      </c>
      <c r="M1631">
        <v>0.99947799999999998</v>
      </c>
      <c r="N1631">
        <v>0</v>
      </c>
      <c r="O1631">
        <v>3.0281019999999999E-2</v>
      </c>
      <c r="P1631">
        <v>0.98790009999999995</v>
      </c>
      <c r="Q1631">
        <v>0.1313646</v>
      </c>
      <c r="R1631">
        <v>8.2444020000000007E-2</v>
      </c>
      <c r="S1631">
        <v>3.1128230000000001</v>
      </c>
      <c r="T1631">
        <v>-0.14621310000000001</v>
      </c>
      <c r="U1631">
        <v>-0.68353269999999899</v>
      </c>
      <c r="V1631">
        <v>-5.2560870000000003E-2</v>
      </c>
      <c r="W1631">
        <v>0.14247580000000001</v>
      </c>
      <c r="X1631">
        <v>0.98840170000000005</v>
      </c>
      <c r="Y1631">
        <v>0.24366740000000001</v>
      </c>
      <c r="Z1631">
        <v>-7.0582240000000001E-3</v>
      </c>
      <c r="AA1631">
        <v>0.96983319999999995</v>
      </c>
      <c r="AB1631">
        <v>31</v>
      </c>
      <c r="AC1631">
        <v>23.329699999999999</v>
      </c>
      <c r="AD1631">
        <v>-1.1102686178079999</v>
      </c>
      <c r="AE1631">
        <v>-5.1999000000000102</v>
      </c>
      <c r="AF1631">
        <v>5.8912956880841998</v>
      </c>
      <c r="AG1631">
        <v>-1.1102686178079999</v>
      </c>
      <c r="AH1631">
        <v>23.111665035298198</v>
      </c>
      <c r="AI1631">
        <v>92.665237747977201</v>
      </c>
      <c r="AJ1631">
        <v>75.699520137470699</v>
      </c>
      <c r="AK1631">
        <v>23.876539154407499</v>
      </c>
      <c r="AL1631">
        <v>81.808864112119807</v>
      </c>
      <c r="AM1631">
        <v>93.0439871852425</v>
      </c>
      <c r="AN1631">
        <v>0.99999995960184196</v>
      </c>
    </row>
    <row r="1632" spans="1:40" x14ac:dyDescent="0.3">
      <c r="A1632" t="str">
        <f>"20200111150820470"</f>
        <v>20200111150820470</v>
      </c>
      <c r="B1632" t="str">
        <f>"1578726500463780"</f>
        <v>1578726500463780</v>
      </c>
      <c r="C1632" t="s">
        <v>40</v>
      </c>
      <c r="D1632">
        <v>5.3021229999999999</v>
      </c>
      <c r="E1632">
        <v>0.61047799999999997</v>
      </c>
      <c r="F1632" t="s">
        <v>58</v>
      </c>
      <c r="G1632">
        <v>-302.87389999999999</v>
      </c>
      <c r="H1632" s="1">
        <v>2.1729290000000001E-6</v>
      </c>
      <c r="I1632">
        <v>209.4503</v>
      </c>
      <c r="J1632">
        <v>-325.1388</v>
      </c>
      <c r="K1632">
        <v>1.110274</v>
      </c>
      <c r="L1632">
        <v>214.22579999999999</v>
      </c>
      <c r="M1632">
        <v>0.99946979999999996</v>
      </c>
      <c r="N1632">
        <v>0</v>
      </c>
      <c r="O1632">
        <v>3.055095E-2</v>
      </c>
      <c r="P1632">
        <v>0.98781810000000003</v>
      </c>
      <c r="Q1632">
        <v>0.13171260000000001</v>
      </c>
      <c r="R1632">
        <v>8.2867419999999997E-2</v>
      </c>
      <c r="S1632">
        <v>3.1119080000000001</v>
      </c>
      <c r="T1632">
        <v>-0.15298499999999901</v>
      </c>
      <c r="U1632">
        <v>-0.65664669999999903</v>
      </c>
      <c r="V1632">
        <v>-5.2719370000000002E-2</v>
      </c>
      <c r="W1632">
        <v>0.1428246</v>
      </c>
      <c r="X1632">
        <v>0.98834290000000002</v>
      </c>
      <c r="Y1632">
        <v>0.2359541</v>
      </c>
      <c r="Z1632">
        <v>-7.2191759999999999E-3</v>
      </c>
      <c r="AA1632">
        <v>0.97173739999999997</v>
      </c>
      <c r="AB1632">
        <v>31</v>
      </c>
      <c r="AC1632">
        <v>22.264900000000001</v>
      </c>
      <c r="AD1632">
        <v>-1.1102718270709999</v>
      </c>
      <c r="AE1632">
        <v>-4.7754999999999903</v>
      </c>
      <c r="AF1632">
        <v>5.4405936109378397</v>
      </c>
      <c r="AG1632">
        <v>-1.1102718270709999</v>
      </c>
      <c r="AH1632">
        <v>22.056166260035301</v>
      </c>
      <c r="AI1632">
        <v>92.798016748108793</v>
      </c>
      <c r="AJ1632">
        <v>76.143470720324402</v>
      </c>
      <c r="AK1632">
        <v>22.744389032455601</v>
      </c>
      <c r="AL1632">
        <v>81.788672714668607</v>
      </c>
      <c r="AM1632">
        <v>93.053330442791705</v>
      </c>
      <c r="AN1632">
        <v>0.99999994315938101</v>
      </c>
    </row>
    <row r="1633" spans="1:40" x14ac:dyDescent="0.3">
      <c r="A1633" t="str">
        <f>"20200111150820493"</f>
        <v>20200111150820493</v>
      </c>
      <c r="B1633" t="str">
        <f>"1578726500484276"</f>
        <v>1578726500484276</v>
      </c>
      <c r="C1633" t="s">
        <v>40</v>
      </c>
      <c r="D1633">
        <v>5.3040029999999998</v>
      </c>
      <c r="E1633">
        <v>0.60769249999999997</v>
      </c>
      <c r="F1633" t="s">
        <v>58</v>
      </c>
      <c r="G1633">
        <v>-303.13900000000001</v>
      </c>
      <c r="H1633" s="1">
        <v>2.0964509999999999E-6</v>
      </c>
      <c r="I1633">
        <v>209.7741</v>
      </c>
      <c r="J1633">
        <v>-324.81560000000002</v>
      </c>
      <c r="K1633">
        <v>1.1102749999999999</v>
      </c>
      <c r="L1633">
        <v>214.23589999999999</v>
      </c>
      <c r="M1633">
        <v>0.99946140000000006</v>
      </c>
      <c r="N1633">
        <v>0</v>
      </c>
      <c r="O1633">
        <v>3.0824460000000001E-2</v>
      </c>
      <c r="P1633">
        <v>0.98781030000000003</v>
      </c>
      <c r="Q1633">
        <v>0.13164500000000001</v>
      </c>
      <c r="R1633">
        <v>8.3068970000000006E-2</v>
      </c>
      <c r="S1633">
        <v>3.110779</v>
      </c>
      <c r="T1633">
        <v>-0.1569932</v>
      </c>
      <c r="U1633">
        <v>-0.6294708</v>
      </c>
      <c r="V1633">
        <v>-5.2650139999999998E-2</v>
      </c>
      <c r="W1633">
        <v>0.142759</v>
      </c>
      <c r="X1633">
        <v>0.98835609999999996</v>
      </c>
      <c r="Y1633">
        <v>0.22813449999999999</v>
      </c>
      <c r="Z1633">
        <v>-7.2355969999999999E-3</v>
      </c>
      <c r="AA1633">
        <v>0.97360270000000004</v>
      </c>
      <c r="AB1633">
        <v>31</v>
      </c>
      <c r="AC1633">
        <v>21.676600000000001</v>
      </c>
      <c r="AD1633">
        <v>-1.110272903549</v>
      </c>
      <c r="AE1633">
        <v>-4.4617999999999798</v>
      </c>
      <c r="AF1633">
        <v>5.1150176914496104</v>
      </c>
      <c r="AG1633">
        <v>-1.110272903549</v>
      </c>
      <c r="AH1633">
        <v>21.474708506057201</v>
      </c>
      <c r="AI1633">
        <v>92.879231388576997</v>
      </c>
      <c r="AJ1633">
        <v>76.602473067922006</v>
      </c>
      <c r="AK1633">
        <v>22.103375699750501</v>
      </c>
      <c r="AL1633">
        <v>81.792470494163098</v>
      </c>
      <c r="AM1633">
        <v>93.049287795092496</v>
      </c>
      <c r="AN1633">
        <v>0.99999997486511405</v>
      </c>
    </row>
    <row r="1634" spans="1:40" x14ac:dyDescent="0.3">
      <c r="A1634" t="str">
        <f>"20200111150820516"</f>
        <v>20200111150820516</v>
      </c>
      <c r="B1634" t="str">
        <f>"1578726500503796"</f>
        <v>1578726500503796</v>
      </c>
      <c r="C1634" t="s">
        <v>40</v>
      </c>
      <c r="D1634">
        <v>5.3418029999999996</v>
      </c>
      <c r="E1634">
        <v>0.60523959999999999</v>
      </c>
      <c r="F1634" t="s">
        <v>58</v>
      </c>
      <c r="G1634">
        <v>-303.8134</v>
      </c>
      <c r="H1634" s="1">
        <v>1.9768249999999999E-6</v>
      </c>
      <c r="I1634">
        <v>210.13910000000001</v>
      </c>
      <c r="J1634">
        <v>-324.49680000000001</v>
      </c>
      <c r="K1634">
        <v>1.110276</v>
      </c>
      <c r="L1634">
        <v>214.24610000000001</v>
      </c>
      <c r="M1634">
        <v>0.99945320000000004</v>
      </c>
      <c r="N1634">
        <v>0</v>
      </c>
      <c r="O1634">
        <v>3.10941E-2</v>
      </c>
      <c r="P1634">
        <v>0.98776969999999997</v>
      </c>
      <c r="Q1634">
        <v>0.13175290000000001</v>
      </c>
      <c r="R1634">
        <v>8.3381060000000007E-2</v>
      </c>
      <c r="S1634">
        <v>3.1100159999999999</v>
      </c>
      <c r="T1634">
        <v>-0.16440949999999999</v>
      </c>
      <c r="U1634">
        <v>-0.6066589</v>
      </c>
      <c r="V1634">
        <v>-5.2695949999999998E-2</v>
      </c>
      <c r="W1634">
        <v>0.14286799999999999</v>
      </c>
      <c r="X1634">
        <v>0.98833789999999999</v>
      </c>
      <c r="Y1634">
        <v>0.22154550000000001</v>
      </c>
      <c r="Z1634">
        <v>-7.4257960000000001E-3</v>
      </c>
      <c r="AA1634">
        <v>0.97512169999999998</v>
      </c>
      <c r="AB1634">
        <v>31</v>
      </c>
      <c r="AC1634">
        <v>20.683399999999999</v>
      </c>
      <c r="AD1634">
        <v>-1.1102740231749999</v>
      </c>
      <c r="AE1634">
        <v>-4.1069999999999904</v>
      </c>
      <c r="AF1634">
        <v>4.7350597758005799</v>
      </c>
      <c r="AG1634">
        <v>-1.1102740231749999</v>
      </c>
      <c r="AH1634">
        <v>20.488887007046401</v>
      </c>
      <c r="AI1634">
        <v>93.022267365828498</v>
      </c>
      <c r="AJ1634">
        <v>76.987184030479199</v>
      </c>
      <c r="AK1634">
        <v>21.0582048207927</v>
      </c>
      <c r="AL1634">
        <v>81.786160506366201</v>
      </c>
      <c r="AM1634">
        <v>93.0519920099713</v>
      </c>
      <c r="AN1634">
        <v>0.99999996657340495</v>
      </c>
    </row>
    <row r="1635" spans="1:40" x14ac:dyDescent="0.3">
      <c r="A1635" t="str">
        <f>"20200111150820536"</f>
        <v>20200111150820536</v>
      </c>
      <c r="B1635" t="str">
        <f>"1578726500534054"</f>
        <v>1578726500534054</v>
      </c>
      <c r="C1635" t="s">
        <v>40</v>
      </c>
      <c r="D1635">
        <v>5.293342</v>
      </c>
      <c r="E1635">
        <v>0.60208950000000006</v>
      </c>
      <c r="F1635" t="s">
        <v>58</v>
      </c>
      <c r="G1635">
        <v>-304.20620000000002</v>
      </c>
      <c r="H1635" s="1">
        <v>1.9071529999999999E-6</v>
      </c>
      <c r="I1635">
        <v>210.42250000000001</v>
      </c>
      <c r="J1635">
        <v>-324.2072</v>
      </c>
      <c r="K1635">
        <v>1.110276</v>
      </c>
      <c r="L1635">
        <v>214.25530000000001</v>
      </c>
      <c r="M1635">
        <v>0.99944540000000004</v>
      </c>
      <c r="N1635">
        <v>0</v>
      </c>
      <c r="O1635">
        <v>3.1339350000000002E-2</v>
      </c>
      <c r="P1635">
        <v>0.98771750000000003</v>
      </c>
      <c r="Q1635">
        <v>0.13173379999999901</v>
      </c>
      <c r="R1635">
        <v>8.4026219999999999E-2</v>
      </c>
      <c r="S1635">
        <v>3.109283</v>
      </c>
      <c r="T1635">
        <v>-0.17013539999999999</v>
      </c>
      <c r="U1635">
        <v>-0.58590699999999996</v>
      </c>
      <c r="V1635">
        <v>-5.3099960000000002E-2</v>
      </c>
      <c r="W1635">
        <v>0.14285010000000001</v>
      </c>
      <c r="X1635">
        <v>0.9883189</v>
      </c>
      <c r="Y1635">
        <v>0.21553</v>
      </c>
      <c r="Z1635">
        <v>-7.54084099999999E-3</v>
      </c>
      <c r="AA1635">
        <v>0.97646809999999995</v>
      </c>
      <c r="AB1635">
        <v>31</v>
      </c>
      <c r="AC1635">
        <v>20.000999999999902</v>
      </c>
      <c r="AD1635">
        <v>-1.1102740928470001</v>
      </c>
      <c r="AE1635">
        <v>-3.83279999999999</v>
      </c>
      <c r="AF1635">
        <v>4.44456452289013</v>
      </c>
      <c r="AG1635">
        <v>-1.1102740928470001</v>
      </c>
      <c r="AH1635">
        <v>19.81216127803</v>
      </c>
      <c r="AI1635">
        <v>93.129872037787393</v>
      </c>
      <c r="AJ1635">
        <v>77.355878260796104</v>
      </c>
      <c r="AK1635">
        <v>20.334910790708001</v>
      </c>
      <c r="AL1635">
        <v>81.787197026110405</v>
      </c>
      <c r="AM1635">
        <v>93.075405325514495</v>
      </c>
      <c r="AN1635">
        <v>1.0000000024596101</v>
      </c>
    </row>
    <row r="1636" spans="1:40" x14ac:dyDescent="0.3">
      <c r="A1636" t="str">
        <f>"20200111150820558"</f>
        <v>20200111150820558</v>
      </c>
      <c r="B1636" t="str">
        <f>"1578726500554548"</f>
        <v>1578726500554548</v>
      </c>
      <c r="C1636" t="s">
        <v>40</v>
      </c>
      <c r="D1636">
        <v>5.3472730000000004</v>
      </c>
      <c r="E1636">
        <v>0.60042740000000006</v>
      </c>
      <c r="F1636" t="s">
        <v>58</v>
      </c>
      <c r="G1636">
        <v>-304.9366</v>
      </c>
      <c r="H1636" s="1">
        <v>1.7775980000000001E-6</v>
      </c>
      <c r="I1636">
        <v>210.79169999999999</v>
      </c>
      <c r="J1636">
        <v>-323.90570000000002</v>
      </c>
      <c r="K1636">
        <v>1.1102730000000001</v>
      </c>
      <c r="L1636">
        <v>214.26509999999999</v>
      </c>
      <c r="M1636">
        <v>0.99943729999999997</v>
      </c>
      <c r="N1636">
        <v>0</v>
      </c>
      <c r="O1636">
        <v>3.1594329999999997E-2</v>
      </c>
      <c r="P1636">
        <v>0.98768429999999996</v>
      </c>
      <c r="Q1636">
        <v>0.13168949999999999</v>
      </c>
      <c r="R1636">
        <v>8.4483680000000005E-2</v>
      </c>
      <c r="S1636">
        <v>3.108765</v>
      </c>
      <c r="T1636">
        <v>-0.1791112</v>
      </c>
      <c r="U1636">
        <v>-0.55876159999999997</v>
      </c>
      <c r="V1636">
        <v>-5.3305770000000002E-2</v>
      </c>
      <c r="W1636">
        <v>0.14280760000000001</v>
      </c>
      <c r="X1636">
        <v>0.98831400000000003</v>
      </c>
      <c r="Y1636">
        <v>0.20752770000000001</v>
      </c>
      <c r="Z1636">
        <v>-7.731567E-3</v>
      </c>
      <c r="AA1636">
        <v>0.97819860000000003</v>
      </c>
      <c r="AB1636">
        <v>31</v>
      </c>
      <c r="AC1636">
        <v>18.969100000000001</v>
      </c>
      <c r="AD1636">
        <v>-1.1102712224019999</v>
      </c>
      <c r="AE1636">
        <v>-3.4733999999999901</v>
      </c>
      <c r="AF1636">
        <v>4.0575702351388099</v>
      </c>
      <c r="AG1636">
        <v>-1.1102712224019999</v>
      </c>
      <c r="AH1636">
        <v>18.787607242190202</v>
      </c>
      <c r="AI1636">
        <v>93.305967332796001</v>
      </c>
      <c r="AJ1636">
        <v>77.812977886336796</v>
      </c>
      <c r="AK1636">
        <v>19.2528118540429</v>
      </c>
      <c r="AL1636">
        <v>81.789657624589694</v>
      </c>
      <c r="AM1636">
        <v>93.087317543420795</v>
      </c>
      <c r="AN1636">
        <v>1.0000000391645201</v>
      </c>
    </row>
    <row r="1637" spans="1:40" x14ac:dyDescent="0.3">
      <c r="A1637" t="str">
        <f>"20200111150820581"</f>
        <v>20200111150820581</v>
      </c>
      <c r="B1637" t="str">
        <f>"1578726500574068"</f>
        <v>1578726500574068</v>
      </c>
      <c r="C1637" t="s">
        <v>40</v>
      </c>
      <c r="D1637">
        <v>5.3829669999999998</v>
      </c>
      <c r="E1637">
        <v>0.59886689999999998</v>
      </c>
      <c r="F1637" t="s">
        <v>58</v>
      </c>
      <c r="G1637">
        <v>-305.11619999999999</v>
      </c>
      <c r="H1637" s="1">
        <v>1.7457230000000001E-6</v>
      </c>
      <c r="I1637">
        <v>210.97640000000001</v>
      </c>
      <c r="J1637">
        <v>-323.58260000000001</v>
      </c>
      <c r="K1637">
        <v>1.1102719999999999</v>
      </c>
      <c r="L1637">
        <v>214.2756</v>
      </c>
      <c r="M1637">
        <v>0.99942850000000005</v>
      </c>
      <c r="N1637">
        <v>0</v>
      </c>
      <c r="O1637">
        <v>3.1868019999999997E-2</v>
      </c>
      <c r="P1637">
        <v>0.98769770000000001</v>
      </c>
      <c r="Q1637">
        <v>0.1315865</v>
      </c>
      <c r="R1637">
        <v>8.4488960000000002E-2</v>
      </c>
      <c r="S1637">
        <v>3.1084290000000001</v>
      </c>
      <c r="T1637">
        <v>-0.18367739999999999</v>
      </c>
      <c r="U1637">
        <v>-0.54405209999999904</v>
      </c>
      <c r="V1637">
        <v>-5.3039820000000001E-2</v>
      </c>
      <c r="W1637">
        <v>0.1427061</v>
      </c>
      <c r="X1637">
        <v>0.98834290000000002</v>
      </c>
      <c r="Y1637">
        <v>0.20331070000000001</v>
      </c>
      <c r="Z1637">
        <v>-7.8248980000000003E-3</v>
      </c>
      <c r="AA1637">
        <v>0.97908300000000004</v>
      </c>
      <c r="AB1637">
        <v>31</v>
      </c>
      <c r="AC1637">
        <v>18.4664</v>
      </c>
      <c r="AD1637">
        <v>-1.110270254277</v>
      </c>
      <c r="AE1637">
        <v>-3.2991999999999799</v>
      </c>
      <c r="AF1637">
        <v>3.8724835522954901</v>
      </c>
      <c r="AG1637">
        <v>-1.110270254277</v>
      </c>
      <c r="AH1637">
        <v>18.287810559875499</v>
      </c>
      <c r="AI1637">
        <v>93.399030327687996</v>
      </c>
      <c r="AJ1637">
        <v>78.044103239511202</v>
      </c>
      <c r="AK1637">
        <v>18.726260811337301</v>
      </c>
      <c r="AL1637">
        <v>81.795532760828294</v>
      </c>
      <c r="AM1637">
        <v>93.071854402243105</v>
      </c>
      <c r="AN1637">
        <v>0.99999997073162505</v>
      </c>
    </row>
    <row r="1638" spans="1:40" x14ac:dyDescent="0.3">
      <c r="A1638" t="str">
        <f>"20200111150820603"</f>
        <v>20200111150820603</v>
      </c>
      <c r="B1638" t="str">
        <f>"1578726500594564"</f>
        <v>1578726500594564</v>
      </c>
      <c r="C1638" t="s">
        <v>40</v>
      </c>
      <c r="D1638">
        <v>5.3668500000000003</v>
      </c>
      <c r="E1638">
        <v>0.59751299999999996</v>
      </c>
      <c r="F1638" t="s">
        <v>58</v>
      </c>
      <c r="G1638">
        <v>-305.19060000000002</v>
      </c>
      <c r="H1638" s="1">
        <v>1.732526E-6</v>
      </c>
      <c r="I1638">
        <v>211.1294</v>
      </c>
      <c r="J1638">
        <v>-323.274</v>
      </c>
      <c r="K1638">
        <v>1.110271</v>
      </c>
      <c r="L1638">
        <v>214.28569999999999</v>
      </c>
      <c r="M1638">
        <v>0.99942019999999998</v>
      </c>
      <c r="N1638">
        <v>0</v>
      </c>
      <c r="O1638">
        <v>3.2128950000000003E-2</v>
      </c>
      <c r="P1638">
        <v>0.98770639999999998</v>
      </c>
      <c r="Q1638">
        <v>0.13137260000000001</v>
      </c>
      <c r="R1638">
        <v>8.4719370000000002E-2</v>
      </c>
      <c r="S1638">
        <v>3.1078800000000002</v>
      </c>
      <c r="T1638">
        <v>-0.18761340000000001</v>
      </c>
      <c r="U1638">
        <v>-0.53164669999999903</v>
      </c>
      <c r="V1638">
        <v>-5.301082E-2</v>
      </c>
      <c r="W1638">
        <v>0.14249419999999999</v>
      </c>
      <c r="X1638">
        <v>0.98837509999999995</v>
      </c>
      <c r="Y1638">
        <v>0.19978799999999999</v>
      </c>
      <c r="Z1638">
        <v>-7.9065100000000003E-3</v>
      </c>
      <c r="AA1638">
        <v>0.97980730000000005</v>
      </c>
      <c r="AB1638">
        <v>31</v>
      </c>
      <c r="AC1638">
        <v>18.083399999999902</v>
      </c>
      <c r="AD1638">
        <v>-1.110269267474</v>
      </c>
      <c r="AE1638">
        <v>-3.1562999999999799</v>
      </c>
      <c r="AF1638">
        <v>3.72209181813392</v>
      </c>
      <c r="AG1638">
        <v>-1.110269267474</v>
      </c>
      <c r="AH1638">
        <v>17.907140603929001</v>
      </c>
      <c r="AI1638">
        <v>93.473821728893796</v>
      </c>
      <c r="AJ1638">
        <v>78.2579704873271</v>
      </c>
      <c r="AK1638">
        <v>18.323546325910801</v>
      </c>
      <c r="AL1638">
        <v>81.807799675317995</v>
      </c>
      <c r="AM1638">
        <v>93.070078221077694</v>
      </c>
      <c r="AN1638">
        <v>1.00000004118536</v>
      </c>
    </row>
    <row r="1639" spans="1:40" x14ac:dyDescent="0.3">
      <c r="A1639" t="str">
        <f>"20200111150820625"</f>
        <v>20200111150820625</v>
      </c>
      <c r="B1639" t="str">
        <f>"1578726500614084"</f>
        <v>1578726500614084</v>
      </c>
      <c r="C1639" t="s">
        <v>40</v>
      </c>
      <c r="D1639">
        <v>5.3594879999999998</v>
      </c>
      <c r="E1639">
        <v>0.59629189999999999</v>
      </c>
      <c r="F1639" t="s">
        <v>58</v>
      </c>
      <c r="G1639">
        <v>-305.23809999999997</v>
      </c>
      <c r="H1639" s="1">
        <v>1.724103E-6</v>
      </c>
      <c r="I1639">
        <v>211.2664</v>
      </c>
      <c r="J1639">
        <v>-322.97500000000002</v>
      </c>
      <c r="K1639">
        <v>1.110271</v>
      </c>
      <c r="L1639">
        <v>214.2955</v>
      </c>
      <c r="M1639">
        <v>0.99941199999999997</v>
      </c>
      <c r="N1639">
        <v>0</v>
      </c>
      <c r="O1639">
        <v>3.238166E-2</v>
      </c>
      <c r="P1639">
        <v>0.98769180000000001</v>
      </c>
      <c r="Q1639">
        <v>0.13132769999999999</v>
      </c>
      <c r="R1639">
        <v>8.4957930000000001E-2</v>
      </c>
      <c r="S1639">
        <v>3.1073909999999998</v>
      </c>
      <c r="T1639">
        <v>-0.19128819999999999</v>
      </c>
      <c r="U1639">
        <v>-0.52018739999999997</v>
      </c>
      <c r="V1639">
        <v>-5.2999369999999997E-2</v>
      </c>
      <c r="W1639">
        <v>0.1424503</v>
      </c>
      <c r="X1639">
        <v>0.98838199999999998</v>
      </c>
      <c r="Y1639">
        <v>0.1965363</v>
      </c>
      <c r="Z1639">
        <v>-7.9809149999999999E-3</v>
      </c>
      <c r="AA1639">
        <v>0.980464</v>
      </c>
      <c r="AB1639">
        <v>31</v>
      </c>
      <c r="AC1639">
        <v>17.736899999999999</v>
      </c>
      <c r="AD1639">
        <v>-1.1102692758970001</v>
      </c>
      <c r="AE1639">
        <v>-3.0291000000000001</v>
      </c>
      <c r="AF1639">
        <v>3.5882365744498901</v>
      </c>
      <c r="AG1639">
        <v>-1.1102692758970001</v>
      </c>
      <c r="AH1639">
        <v>17.562637602419901</v>
      </c>
      <c r="AI1639">
        <v>93.544267509586902</v>
      </c>
      <c r="AJ1639">
        <v>78.452774481506097</v>
      </c>
      <c r="AK1639">
        <v>17.959798972515099</v>
      </c>
      <c r="AL1639">
        <v>81.810340540051399</v>
      </c>
      <c r="AM1639">
        <v>93.069394984884397</v>
      </c>
      <c r="AN1639">
        <v>0.99999999955724295</v>
      </c>
    </row>
    <row r="1640" spans="1:40" x14ac:dyDescent="0.3">
      <c r="A1640" t="str">
        <f>"20200111150820648"</f>
        <v>20200111150820648</v>
      </c>
      <c r="B1640" t="str">
        <f>"1578726500644340"</f>
        <v>1578726500644340</v>
      </c>
      <c r="C1640" t="s">
        <v>40</v>
      </c>
      <c r="D1640">
        <v>5.6135529999999996</v>
      </c>
      <c r="E1640">
        <v>0.52222599999999997</v>
      </c>
      <c r="F1640" t="s">
        <v>58</v>
      </c>
      <c r="G1640">
        <v>-305.30399999999997</v>
      </c>
      <c r="H1640" s="1">
        <v>1.7124220000000001E-6</v>
      </c>
      <c r="I1640">
        <v>211.3948</v>
      </c>
      <c r="J1640">
        <v>-322.6592</v>
      </c>
      <c r="K1640">
        <v>1.1102719999999999</v>
      </c>
      <c r="L1640">
        <v>214.30609999999999</v>
      </c>
      <c r="M1640">
        <v>0.99940340000000005</v>
      </c>
      <c r="N1640">
        <v>0</v>
      </c>
      <c r="O1640">
        <v>3.2648440000000001E-2</v>
      </c>
      <c r="P1640">
        <v>0.98762139999999998</v>
      </c>
      <c r="Q1640">
        <v>0.1314845</v>
      </c>
      <c r="R1640">
        <v>8.5530389999999998E-2</v>
      </c>
      <c r="S1640">
        <v>3.107208</v>
      </c>
      <c r="T1640">
        <v>-0.19522600000000001</v>
      </c>
      <c r="U1640">
        <v>-0.51005549999999999</v>
      </c>
      <c r="V1640">
        <v>-5.3309679999999998E-2</v>
      </c>
      <c r="W1640">
        <v>0.14260799999999901</v>
      </c>
      <c r="X1640">
        <v>0.98834259999999996</v>
      </c>
      <c r="Y1640">
        <v>0.1936822</v>
      </c>
      <c r="Z1640">
        <v>-8.0751609999999904E-3</v>
      </c>
      <c r="AA1640">
        <v>0.98103110000000004</v>
      </c>
      <c r="AB1640">
        <v>31</v>
      </c>
      <c r="AC1640">
        <v>17.3551999999999</v>
      </c>
      <c r="AD1640">
        <v>-1.1102702875779999</v>
      </c>
      <c r="AE1640">
        <v>-2.9112999999999798</v>
      </c>
      <c r="AF1640">
        <v>3.4626207163382898</v>
      </c>
      <c r="AG1640">
        <v>-1.1102702875779999</v>
      </c>
      <c r="AH1640">
        <v>17.182495020188401</v>
      </c>
      <c r="AI1640">
        <v>93.624442404437701</v>
      </c>
      <c r="AJ1640">
        <v>78.606338228159501</v>
      </c>
      <c r="AK1640">
        <v>17.563045790963901</v>
      </c>
      <c r="AL1640">
        <v>81.801212042276404</v>
      </c>
      <c r="AM1640">
        <v>93.087454388869901</v>
      </c>
      <c r="AN1640">
        <v>1.00000002931023</v>
      </c>
    </row>
    <row r="1641" spans="1:40" x14ac:dyDescent="0.3">
      <c r="A1641" t="str">
        <f>"20200111150820683"</f>
        <v>20200111150820683</v>
      </c>
      <c r="B1641" t="str">
        <f>"1578726500674596"</f>
        <v>1578726500674596</v>
      </c>
      <c r="C1641" t="s">
        <v>40</v>
      </c>
      <c r="D1641">
        <v>5.4901660000000003</v>
      </c>
      <c r="E1641">
        <v>0.42421449999999999</v>
      </c>
      <c r="F1641" t="s">
        <v>70</v>
      </c>
      <c r="G1641">
        <v>-155.77629999999999</v>
      </c>
      <c r="H1641">
        <v>54.703560000000003</v>
      </c>
      <c r="I1641">
        <v>218.89709999999999</v>
      </c>
      <c r="J1641">
        <v>-322.17419999999998</v>
      </c>
      <c r="K1641">
        <v>1.110271</v>
      </c>
      <c r="L1641">
        <v>214.32239999999999</v>
      </c>
      <c r="M1641">
        <v>0.99938990000000005</v>
      </c>
      <c r="N1641">
        <v>0</v>
      </c>
      <c r="O1641">
        <v>3.3058619999999997E-2</v>
      </c>
      <c r="P1641">
        <v>0.98745590000000005</v>
      </c>
      <c r="Q1641">
        <v>0.13196939999999999</v>
      </c>
      <c r="R1641">
        <v>8.6688080000000001E-2</v>
      </c>
      <c r="S1641">
        <v>2.9064030000000001</v>
      </c>
      <c r="T1641">
        <v>0.93337170000000003</v>
      </c>
      <c r="U1641">
        <v>7.9956050000000001E-2</v>
      </c>
      <c r="V1641">
        <v>-5.4066940000000001E-2</v>
      </c>
      <c r="W1641">
        <v>0.14309359999999999</v>
      </c>
      <c r="X1641">
        <v>0.98823119999999998</v>
      </c>
      <c r="Y1641">
        <v>3.7156910000000001E-3</v>
      </c>
      <c r="Z1641">
        <v>1.093423E-2</v>
      </c>
      <c r="AA1641">
        <v>0.99993330000000002</v>
      </c>
      <c r="AB1641">
        <v>31</v>
      </c>
      <c r="AC1641">
        <v>166.39789999999999</v>
      </c>
      <c r="AD1641">
        <v>53.593288999999999</v>
      </c>
      <c r="AE1641">
        <v>4.5747</v>
      </c>
      <c r="AF1641">
        <v>0.84177898722268096</v>
      </c>
      <c r="AG1641">
        <v>53.593288999999999</v>
      </c>
      <c r="AH1641">
        <v>150.824250016088</v>
      </c>
      <c r="AI1641">
        <v>70.4383231479719</v>
      </c>
      <c r="AJ1641">
        <v>89.680224615951204</v>
      </c>
      <c r="AK1641">
        <v>160.065310453628</v>
      </c>
      <c r="AL1641">
        <v>81.773100324578607</v>
      </c>
      <c r="AM1641">
        <v>93.131577054373594</v>
      </c>
      <c r="AN1641">
        <v>0.99999995850768097</v>
      </c>
    </row>
    <row r="1642" spans="1:40" x14ac:dyDescent="0.3">
      <c r="A1642" t="str">
        <f>"20200111150820703"</f>
        <v>20200111150820703</v>
      </c>
      <c r="B1642" t="str">
        <f>"1578726500674596"</f>
        <v>1578726500674596</v>
      </c>
      <c r="C1642" t="s">
        <v>40</v>
      </c>
      <c r="D1642">
        <v>5.4901660000000003</v>
      </c>
      <c r="E1642">
        <v>0.42421449999999999</v>
      </c>
      <c r="F1642" t="s">
        <v>72</v>
      </c>
      <c r="G1642">
        <v>-251.5463</v>
      </c>
      <c r="H1642">
        <v>25.372299999999999</v>
      </c>
      <c r="I1642">
        <v>235.8133</v>
      </c>
      <c r="J1642">
        <v>-321.87329999999997</v>
      </c>
      <c r="K1642">
        <v>1.1102730000000001</v>
      </c>
      <c r="L1642">
        <v>214.33260000000001</v>
      </c>
      <c r="M1642">
        <v>0.99938150000000003</v>
      </c>
      <c r="N1642">
        <v>0</v>
      </c>
      <c r="O1642">
        <v>3.3313049999999997E-2</v>
      </c>
      <c r="P1642">
        <v>0.98736900000000005</v>
      </c>
      <c r="Q1642">
        <v>0.13216720000000001</v>
      </c>
      <c r="R1642">
        <v>8.7376270000000006E-2</v>
      </c>
      <c r="S1642">
        <v>2.8324280000000002</v>
      </c>
      <c r="T1642">
        <v>0.97299360000000001</v>
      </c>
      <c r="U1642">
        <v>0.86186219999999902</v>
      </c>
      <c r="V1642">
        <v>-5.4505489999999997E-2</v>
      </c>
      <c r="W1642">
        <v>0.14329229999999901</v>
      </c>
      <c r="X1642">
        <v>0.98817840000000001</v>
      </c>
      <c r="Y1642">
        <v>-0.2478138</v>
      </c>
      <c r="Z1642">
        <v>-2.964897E-2</v>
      </c>
      <c r="AA1642">
        <v>0.96835389999999999</v>
      </c>
      <c r="AB1642">
        <v>31</v>
      </c>
      <c r="AC1642">
        <v>70.326999999999899</v>
      </c>
      <c r="AD1642">
        <v>24.262027</v>
      </c>
      <c r="AE1642">
        <v>21.480699999999899</v>
      </c>
      <c r="AF1642">
        <v>-17.248164648443701</v>
      </c>
      <c r="AG1642">
        <v>24.262027</v>
      </c>
      <c r="AH1642">
        <v>64.032896485421205</v>
      </c>
      <c r="AI1642">
        <v>69.904499106686202</v>
      </c>
      <c r="AJ1642">
        <v>105.07561183199201</v>
      </c>
      <c r="AK1642">
        <v>70.614141432160906</v>
      </c>
      <c r="AL1642">
        <v>81.761597793588805</v>
      </c>
      <c r="AM1642">
        <v>93.157095198080398</v>
      </c>
      <c r="AN1642">
        <v>1.0000000409529901</v>
      </c>
    </row>
    <row r="1643" spans="1:40" x14ac:dyDescent="0.3">
      <c r="A1643" t="str">
        <f>"20200111150820726"</f>
        <v>20200111150820726</v>
      </c>
      <c r="B1643" t="str">
        <f>"1578726500714612"</f>
        <v>1578726500714612</v>
      </c>
      <c r="C1643" t="s">
        <v>40</v>
      </c>
      <c r="D1643">
        <v>5.5586289999999998</v>
      </c>
      <c r="E1643">
        <v>0.44547229999999999</v>
      </c>
      <c r="F1643" t="s">
        <v>72</v>
      </c>
      <c r="G1643">
        <v>-251.5463</v>
      </c>
      <c r="H1643">
        <v>25.294239999999999</v>
      </c>
      <c r="I1643">
        <v>235.7801</v>
      </c>
      <c r="J1643">
        <v>-321.57690000000002</v>
      </c>
      <c r="K1643">
        <v>1.1102749999999999</v>
      </c>
      <c r="L1643">
        <v>214.34280000000001</v>
      </c>
      <c r="M1643">
        <v>0.99937299999999996</v>
      </c>
      <c r="N1643">
        <v>0</v>
      </c>
      <c r="O1643">
        <v>3.3563620000000002E-2</v>
      </c>
      <c r="P1643">
        <v>0.98734060000000001</v>
      </c>
      <c r="Q1643">
        <v>0.132065299999999</v>
      </c>
      <c r="R1643">
        <v>8.7848599999999999E-2</v>
      </c>
      <c r="S1643">
        <v>2.8316349999999999</v>
      </c>
      <c r="T1643">
        <v>0.97373869999999896</v>
      </c>
      <c r="U1643">
        <v>0.86355590000000004</v>
      </c>
      <c r="V1643">
        <v>-5.4730109999999998E-2</v>
      </c>
      <c r="W1643">
        <v>0.14319179999999901</v>
      </c>
      <c r="X1643">
        <v>0.98818050000000002</v>
      </c>
      <c r="Y1643">
        <v>-0.2481525</v>
      </c>
      <c r="Z1643">
        <v>-2.9649390000000001E-2</v>
      </c>
      <c r="AA1643">
        <v>0.96826710000000005</v>
      </c>
      <c r="AB1643">
        <v>31</v>
      </c>
      <c r="AC1643">
        <v>70.030600000000007</v>
      </c>
      <c r="AD1643">
        <v>24.183965000000001</v>
      </c>
      <c r="AE1643">
        <v>21.4373</v>
      </c>
      <c r="AF1643">
        <v>-17.199217494118798</v>
      </c>
      <c r="AG1643">
        <v>24.183965000000001</v>
      </c>
      <c r="AH1643">
        <v>63.758572863106998</v>
      </c>
      <c r="AI1643">
        <v>69.886516182519699</v>
      </c>
      <c r="AJ1643">
        <v>105.09651047825101</v>
      </c>
      <c r="AK1643">
        <v>70.326615580954495</v>
      </c>
      <c r="AL1643">
        <v>81.767415584184505</v>
      </c>
      <c r="AM1643">
        <v>93.170072549293707</v>
      </c>
      <c r="AN1643">
        <v>0.99999998855405103</v>
      </c>
    </row>
    <row r="1644" spans="1:40" x14ac:dyDescent="0.3">
      <c r="A1644" t="str">
        <f>"20200111150820747"</f>
        <v>20200111150820747</v>
      </c>
      <c r="B1644" t="str">
        <f>"1578726500743893"</f>
        <v>1578726500743893</v>
      </c>
      <c r="C1644" t="s">
        <v>40</v>
      </c>
      <c r="D1644">
        <v>5.4416279999999997</v>
      </c>
      <c r="E1644">
        <v>0.44858029999999999</v>
      </c>
      <c r="F1644" t="s">
        <v>58</v>
      </c>
      <c r="G1644">
        <v>-309.53739999999999</v>
      </c>
      <c r="H1644" s="1">
        <v>9.6148569999999898E-7</v>
      </c>
      <c r="I1644">
        <v>217.12889999999999</v>
      </c>
      <c r="J1644">
        <v>-321.26670000000001</v>
      </c>
      <c r="K1644">
        <v>1.110274</v>
      </c>
      <c r="L1644">
        <v>214.3535</v>
      </c>
      <c r="M1644">
        <v>0.99936400000000003</v>
      </c>
      <c r="N1644">
        <v>0</v>
      </c>
      <c r="O1644">
        <v>3.3825620000000001E-2</v>
      </c>
      <c r="P1644">
        <v>0.9872765</v>
      </c>
      <c r="Q1644">
        <v>0.1322315</v>
      </c>
      <c r="R1644">
        <v>8.8316499999999895E-2</v>
      </c>
      <c r="S1644">
        <v>3.0135800000000001</v>
      </c>
      <c r="T1644">
        <v>-0.2779105</v>
      </c>
      <c r="U1644">
        <v>0.69738769999999894</v>
      </c>
      <c r="V1644">
        <v>-5.4940799999999998E-2</v>
      </c>
      <c r="W1644">
        <v>0.1433593</v>
      </c>
      <c r="X1644">
        <v>0.98814449999999998</v>
      </c>
      <c r="Y1644">
        <v>-0.19173609999999999</v>
      </c>
      <c r="Z1644">
        <v>5.6385990000000002E-3</v>
      </c>
      <c r="AA1644">
        <v>0.98143029999999998</v>
      </c>
      <c r="AB1644">
        <v>31</v>
      </c>
      <c r="AC1644">
        <v>11.7293</v>
      </c>
      <c r="AD1644">
        <v>-1.1102730385143</v>
      </c>
      <c r="AE1644">
        <v>2.7753999999999901</v>
      </c>
      <c r="AF1644">
        <v>-2.3570358201983002</v>
      </c>
      <c r="AG1644">
        <v>-1.1102730385143</v>
      </c>
      <c r="AH1644">
        <v>11.7170525687189</v>
      </c>
      <c r="AI1644">
        <v>95.307321180340196</v>
      </c>
      <c r="AJ1644">
        <v>101.373982587516</v>
      </c>
      <c r="AK1644">
        <v>12.003234771338599</v>
      </c>
      <c r="AL1644">
        <v>81.757718312659506</v>
      </c>
      <c r="AM1644">
        <v>93.182366780468698</v>
      </c>
      <c r="AN1644">
        <v>0.99999996664068902</v>
      </c>
    </row>
    <row r="1645" spans="1:40" x14ac:dyDescent="0.3">
      <c r="A1645" t="str">
        <f>"20200111150820771"</f>
        <v>20200111150820771</v>
      </c>
      <c r="B1645" t="str">
        <f>"1578726500764388"</f>
        <v>1578726500764388</v>
      </c>
      <c r="C1645" t="s">
        <v>40</v>
      </c>
      <c r="D1645">
        <v>5.5320749999999999</v>
      </c>
      <c r="E1645">
        <v>0.4491694</v>
      </c>
      <c r="F1645" t="s">
        <v>58</v>
      </c>
      <c r="G1645">
        <v>-307.59989999999999</v>
      </c>
      <c r="H1645" s="1">
        <v>1.3051649999999999E-6</v>
      </c>
      <c r="I1645">
        <v>217.41120000000001</v>
      </c>
      <c r="J1645">
        <v>-320.94029999999998</v>
      </c>
      <c r="K1645">
        <v>1.1102719999999999</v>
      </c>
      <c r="L1645">
        <v>214.3648</v>
      </c>
      <c r="M1645">
        <v>0.99935479999999999</v>
      </c>
      <c r="N1645">
        <v>0</v>
      </c>
      <c r="O1645">
        <v>3.4101159999999998E-2</v>
      </c>
      <c r="P1645">
        <v>0.98726809999999998</v>
      </c>
      <c r="Q1645">
        <v>0.13223309999999999</v>
      </c>
      <c r="R1645">
        <v>8.8409450000000001E-2</v>
      </c>
      <c r="S1645">
        <v>3.0111690000000002</v>
      </c>
      <c r="T1645">
        <v>-0.2446229</v>
      </c>
      <c r="U1645">
        <v>0.67370609999999997</v>
      </c>
      <c r="V1645">
        <v>-5.4761240000000003E-2</v>
      </c>
      <c r="W1645">
        <v>0.14336309999999999</v>
      </c>
      <c r="X1645">
        <v>0.98815390000000003</v>
      </c>
      <c r="Y1645">
        <v>-0.18445919999999999</v>
      </c>
      <c r="Z1645">
        <v>4.6600000000000001E-3</v>
      </c>
      <c r="AA1645">
        <v>0.98282910000000001</v>
      </c>
      <c r="AB1645">
        <v>31</v>
      </c>
      <c r="AC1645">
        <v>13.340399999999899</v>
      </c>
      <c r="AD1645">
        <v>-1.1102706948349901</v>
      </c>
      <c r="AE1645">
        <v>3.0464000000000002</v>
      </c>
      <c r="AF1645">
        <v>-2.5727388223630201</v>
      </c>
      <c r="AG1645">
        <v>-1.1102706948349901</v>
      </c>
      <c r="AH1645">
        <v>13.3486543062228</v>
      </c>
      <c r="AI1645">
        <v>94.669078301932103</v>
      </c>
      <c r="AJ1645">
        <v>100.909076757234</v>
      </c>
      <c r="AK1645">
        <v>13.6395842257359</v>
      </c>
      <c r="AL1645">
        <v>81.757498186129496</v>
      </c>
      <c r="AM1645">
        <v>93.171957186605795</v>
      </c>
      <c r="AN1645">
        <v>0.99999995096657701</v>
      </c>
    </row>
    <row r="1646" spans="1:40" x14ac:dyDescent="0.3">
      <c r="A1646" t="str">
        <f>"20200111150820793"</f>
        <v>20200111150820793</v>
      </c>
      <c r="B1646" t="str">
        <f>"1578726500783911"</f>
        <v>1578726500783911</v>
      </c>
      <c r="C1646" t="s">
        <v>40</v>
      </c>
      <c r="D1646">
        <v>5.5101000000000004</v>
      </c>
      <c r="E1646">
        <v>0.44880150000000002</v>
      </c>
      <c r="F1646" t="s">
        <v>58</v>
      </c>
      <c r="G1646">
        <v>-307.03190000000001</v>
      </c>
      <c r="H1646" s="1">
        <v>1.405918E-6</v>
      </c>
      <c r="I1646">
        <v>217.45660000000001</v>
      </c>
      <c r="J1646">
        <v>-320.6266</v>
      </c>
      <c r="K1646">
        <v>1.1102730000000001</v>
      </c>
      <c r="L1646">
        <v>214.3758</v>
      </c>
      <c r="M1646">
        <v>0.99934579999999995</v>
      </c>
      <c r="N1646">
        <v>0</v>
      </c>
      <c r="O1646">
        <v>3.4366210000000001E-2</v>
      </c>
      <c r="P1646">
        <v>0.98726119999999995</v>
      </c>
      <c r="Q1646">
        <v>0.1320877</v>
      </c>
      <c r="R1646">
        <v>8.8705030000000004E-2</v>
      </c>
      <c r="S1646">
        <v>3.0109249999999999</v>
      </c>
      <c r="T1646">
        <v>-0.2403544</v>
      </c>
      <c r="U1646">
        <v>0.66931149999999995</v>
      </c>
      <c r="V1646">
        <v>-5.4793969999999997E-2</v>
      </c>
      <c r="W1646">
        <v>0.14321909999999999</v>
      </c>
      <c r="X1646">
        <v>0.98817299999999997</v>
      </c>
      <c r="Y1646">
        <v>-0.18287049999999999</v>
      </c>
      <c r="Z1646">
        <v>4.4966229999999999E-3</v>
      </c>
      <c r="AA1646">
        <v>0.98312670000000002</v>
      </c>
      <c r="AB1646">
        <v>31</v>
      </c>
      <c r="AC1646">
        <v>13.5946999999999</v>
      </c>
      <c r="AD1646">
        <v>-1.110271594082</v>
      </c>
      <c r="AE1646">
        <v>3.0808</v>
      </c>
      <c r="AF1646">
        <v>-2.5952872481963798</v>
      </c>
      <c r="AG1646">
        <v>-1.110271594082</v>
      </c>
      <c r="AH1646">
        <v>13.606231626070899</v>
      </c>
      <c r="AI1646">
        <v>94.582752550597803</v>
      </c>
      <c r="AJ1646">
        <v>100.799023834651</v>
      </c>
      <c r="AK1646">
        <v>13.8959619305598</v>
      </c>
      <c r="AL1646">
        <v>81.765835080431302</v>
      </c>
      <c r="AM1646">
        <v>93.173787924109902</v>
      </c>
      <c r="AN1646">
        <v>0.99999998384108502</v>
      </c>
    </row>
    <row r="1647" spans="1:40" x14ac:dyDescent="0.3">
      <c r="A1647" t="str">
        <f>"20200111150820815"</f>
        <v>20200111150820815</v>
      </c>
      <c r="B1647" t="str">
        <f>"1578726500804404"</f>
        <v>1578726500804404</v>
      </c>
      <c r="C1647" t="s">
        <v>40</v>
      </c>
      <c r="D1647">
        <v>5.5132729999999999</v>
      </c>
      <c r="E1647">
        <v>0.44850630000000002</v>
      </c>
      <c r="F1647" t="s">
        <v>58</v>
      </c>
      <c r="G1647">
        <v>-307.13780000000003</v>
      </c>
      <c r="H1647" s="1">
        <v>1.3871269999999999E-6</v>
      </c>
      <c r="I1647">
        <v>217.39080000000001</v>
      </c>
      <c r="J1647">
        <v>-320.32209999999998</v>
      </c>
      <c r="K1647">
        <v>1.110271</v>
      </c>
      <c r="L1647">
        <v>214.38650000000001</v>
      </c>
      <c r="M1647">
        <v>0.99933669999999997</v>
      </c>
      <c r="N1647">
        <v>0</v>
      </c>
      <c r="O1647">
        <v>3.4624099999999998E-2</v>
      </c>
      <c r="P1647">
        <v>0.98714869999999999</v>
      </c>
      <c r="Q1647">
        <v>0.1322575</v>
      </c>
      <c r="R1647">
        <v>8.9694910000000003E-2</v>
      </c>
      <c r="S1647">
        <v>3.0113829999999999</v>
      </c>
      <c r="T1647">
        <v>-0.24786900000000001</v>
      </c>
      <c r="U1647">
        <v>0.67311100000000001</v>
      </c>
      <c r="V1647">
        <v>-5.5531879999999999E-2</v>
      </c>
      <c r="W1647">
        <v>0.14338899999999999</v>
      </c>
      <c r="X1647">
        <v>0.98810719999999996</v>
      </c>
      <c r="Y1647">
        <v>-0.1837366</v>
      </c>
      <c r="Z1647">
        <v>4.6497279999999997E-3</v>
      </c>
      <c r="AA1647">
        <v>0.98296450000000002</v>
      </c>
      <c r="AB1647">
        <v>31</v>
      </c>
      <c r="AC1647">
        <v>13.184299999999901</v>
      </c>
      <c r="AD1647">
        <v>-1.1102696128730001</v>
      </c>
      <c r="AE1647">
        <v>3.0043000000000002</v>
      </c>
      <c r="AF1647">
        <v>-2.5289260040213799</v>
      </c>
      <c r="AG1647">
        <v>-1.1102696128730001</v>
      </c>
      <c r="AH1647">
        <v>13.191490802959599</v>
      </c>
      <c r="AI1647">
        <v>94.725344561473904</v>
      </c>
      <c r="AJ1647">
        <v>100.852437875332</v>
      </c>
      <c r="AK1647">
        <v>13.477521840147499</v>
      </c>
      <c r="AL1647">
        <v>81.755999280403898</v>
      </c>
      <c r="AM1647">
        <v>93.216653896182905</v>
      </c>
      <c r="AN1647">
        <v>1.00000001685458</v>
      </c>
    </row>
    <row r="1648" spans="1:40" x14ac:dyDescent="0.3">
      <c r="A1648" t="str">
        <f>"20200111150820837"</f>
        <v>20200111150820837</v>
      </c>
      <c r="B1648" t="str">
        <f>"1578726500834660"</f>
        <v>1578726500834660</v>
      </c>
      <c r="C1648" t="s">
        <v>40</v>
      </c>
      <c r="D1648">
        <v>5.5308849999999996</v>
      </c>
      <c r="E1648">
        <v>0.44805709999999999</v>
      </c>
      <c r="F1648" t="s">
        <v>58</v>
      </c>
      <c r="G1648">
        <v>-306.59320000000002</v>
      </c>
      <c r="H1648" s="1">
        <v>1.483742E-6</v>
      </c>
      <c r="I1648">
        <v>217.47800000000001</v>
      </c>
      <c r="J1648">
        <v>-320.0077</v>
      </c>
      <c r="K1648">
        <v>1.1102669999999999</v>
      </c>
      <c r="L1648">
        <v>214.39769999999999</v>
      </c>
      <c r="M1648">
        <v>0.99932750000000004</v>
      </c>
      <c r="N1648">
        <v>0</v>
      </c>
      <c r="O1648">
        <v>3.4889450000000002E-2</v>
      </c>
      <c r="P1648">
        <v>0.98712350000000004</v>
      </c>
      <c r="Q1648">
        <v>0.13223940000000001</v>
      </c>
      <c r="R1648">
        <v>9.0000549999999999E-2</v>
      </c>
      <c r="S1648">
        <v>3.0100709999999999</v>
      </c>
      <c r="T1648">
        <v>-0.24342639999999999</v>
      </c>
      <c r="U1648">
        <v>0.67781069999999999</v>
      </c>
      <c r="V1648">
        <v>-5.5575369999999999E-2</v>
      </c>
      <c r="W1648">
        <v>0.143372</v>
      </c>
      <c r="X1648">
        <v>0.98810719999999996</v>
      </c>
      <c r="Y1648">
        <v>-0.18504139999999999</v>
      </c>
      <c r="Z1648">
        <v>4.5987570000000002E-3</v>
      </c>
      <c r="AA1648">
        <v>0.98272000000000004</v>
      </c>
      <c r="AB1648">
        <v>31</v>
      </c>
      <c r="AC1648">
        <v>13.414499999999901</v>
      </c>
      <c r="AD1648">
        <v>-1.110265516258</v>
      </c>
      <c r="AE1648">
        <v>3.08029999999999</v>
      </c>
      <c r="AF1648">
        <v>-2.5934939186288202</v>
      </c>
      <c r="AG1648">
        <v>-1.110265516258</v>
      </c>
      <c r="AH1648">
        <v>13.426441273754699</v>
      </c>
      <c r="AI1648">
        <v>94.641755684158099</v>
      </c>
      <c r="AJ1648">
        <v>100.932786596668</v>
      </c>
      <c r="AK1648">
        <v>13.719629204178201</v>
      </c>
      <c r="AL1648">
        <v>81.756983299751695</v>
      </c>
      <c r="AM1648">
        <v>93.219167734612299</v>
      </c>
      <c r="AN1648">
        <v>0.99999999541323803</v>
      </c>
    </row>
    <row r="1649" spans="1:40" x14ac:dyDescent="0.3">
      <c r="A1649" t="str">
        <f>"20200111150820861"</f>
        <v>20200111150820861</v>
      </c>
      <c r="B1649" t="str">
        <f>"1578726500854180"</f>
        <v>1578726500854180</v>
      </c>
      <c r="C1649" t="s">
        <v>40</v>
      </c>
      <c r="D1649">
        <v>5.5304080000000004</v>
      </c>
      <c r="E1649">
        <v>0.44758160000000002</v>
      </c>
      <c r="F1649" t="s">
        <v>58</v>
      </c>
      <c r="G1649">
        <v>-306.0575</v>
      </c>
      <c r="H1649" s="1">
        <v>1.5787659999999999E-6</v>
      </c>
      <c r="I1649">
        <v>217.56399999999999</v>
      </c>
      <c r="J1649">
        <v>-319.69189999999998</v>
      </c>
      <c r="K1649">
        <v>1.1102669999999999</v>
      </c>
      <c r="L1649">
        <v>214.40899999999999</v>
      </c>
      <c r="M1649">
        <v>0.99931809999999999</v>
      </c>
      <c r="N1649">
        <v>0</v>
      </c>
      <c r="O1649">
        <v>3.5156590000000001E-2</v>
      </c>
      <c r="P1649">
        <v>0.98725459999999998</v>
      </c>
      <c r="Q1649">
        <v>0.13189509999999999</v>
      </c>
      <c r="R1649">
        <v>8.9063550000000005E-2</v>
      </c>
      <c r="S1649">
        <v>3.0090029999999999</v>
      </c>
      <c r="T1649">
        <v>-0.23947879999999999</v>
      </c>
      <c r="U1649">
        <v>0.68295289999999997</v>
      </c>
      <c r="V1649">
        <v>-5.4370439999999999E-2</v>
      </c>
      <c r="W1649">
        <v>0.14303080000000001</v>
      </c>
      <c r="X1649">
        <v>0.98822370000000004</v>
      </c>
      <c r="Y1649">
        <v>-0.1864625</v>
      </c>
      <c r="Z1649">
        <v>4.5599940000000004E-3</v>
      </c>
      <c r="AA1649">
        <v>0.98245150000000003</v>
      </c>
      <c r="AB1649">
        <v>31</v>
      </c>
      <c r="AC1649">
        <v>13.6343999999999</v>
      </c>
      <c r="AD1649">
        <v>-1.110265421234</v>
      </c>
      <c r="AE1649">
        <v>3.1549999999999998</v>
      </c>
      <c r="AF1649">
        <v>-2.6569569071896399</v>
      </c>
      <c r="AG1649">
        <v>-1.110265421234</v>
      </c>
      <c r="AH1649">
        <v>13.6509769485014</v>
      </c>
      <c r="AI1649">
        <v>94.564481436985702</v>
      </c>
      <c r="AJ1649">
        <v>101.01405673961099</v>
      </c>
      <c r="AK1649">
        <v>13.95138992935</v>
      </c>
      <c r="AL1649">
        <v>81.7767363877836</v>
      </c>
      <c r="AM1649">
        <v>93.149144455243004</v>
      </c>
      <c r="AN1649">
        <v>1.0000000178680599</v>
      </c>
    </row>
    <row r="1650" spans="1:40" x14ac:dyDescent="0.3">
      <c r="A1650" t="str">
        <f>"20200111150820883"</f>
        <v>20200111150820883</v>
      </c>
      <c r="B1650" t="str">
        <f>"1578726500874676"</f>
        <v>1578726500874676</v>
      </c>
      <c r="C1650" t="s">
        <v>40</v>
      </c>
      <c r="D1650">
        <v>5.4869260000000004</v>
      </c>
      <c r="E1650">
        <v>0.4473625</v>
      </c>
      <c r="F1650" t="s">
        <v>58</v>
      </c>
      <c r="G1650">
        <v>-305.83600000000001</v>
      </c>
      <c r="H1650" s="1">
        <v>1.6180570000000001E-6</v>
      </c>
      <c r="I1650">
        <v>217.56710000000001</v>
      </c>
      <c r="J1650">
        <v>-319.36619999999999</v>
      </c>
      <c r="K1650">
        <v>1.110269</v>
      </c>
      <c r="L1650">
        <v>214.42070000000001</v>
      </c>
      <c r="M1650">
        <v>0.99930839999999999</v>
      </c>
      <c r="N1650">
        <v>0</v>
      </c>
      <c r="O1650">
        <v>3.5431230000000001E-2</v>
      </c>
      <c r="P1650">
        <v>0.98735839999999997</v>
      </c>
      <c r="Q1650">
        <v>0.13188449999999999</v>
      </c>
      <c r="R1650">
        <v>8.7920670000000006E-2</v>
      </c>
      <c r="S1650">
        <v>3.009064</v>
      </c>
      <c r="T1650">
        <v>-0.24111399999999999</v>
      </c>
      <c r="U1650">
        <v>0.68583680000000002</v>
      </c>
      <c r="V1650">
        <v>-5.2952529999999998E-2</v>
      </c>
      <c r="W1650">
        <v>0.1430237</v>
      </c>
      <c r="X1650">
        <v>0.98830169999999995</v>
      </c>
      <c r="Y1650">
        <v>-0.1870763</v>
      </c>
      <c r="Z1650">
        <v>4.5930770000000001E-3</v>
      </c>
      <c r="AA1650">
        <v>0.98233470000000001</v>
      </c>
      <c r="AB1650">
        <v>31</v>
      </c>
      <c r="AC1650">
        <v>13.530199999999899</v>
      </c>
      <c r="AD1650">
        <v>-1.110267381943</v>
      </c>
      <c r="AE1650">
        <v>3.1463999999999999</v>
      </c>
      <c r="AF1650">
        <v>-2.6480856933463399</v>
      </c>
      <c r="AG1650">
        <v>-1.110267381943</v>
      </c>
      <c r="AH1650">
        <v>13.5466536110655</v>
      </c>
      <c r="AI1650">
        <v>94.598764246750804</v>
      </c>
      <c r="AJ1650">
        <v>101.06064346915799</v>
      </c>
      <c r="AK1650">
        <v>13.847630683871699</v>
      </c>
      <c r="AL1650">
        <v>81.777147263317303</v>
      </c>
      <c r="AM1650">
        <v>93.066936176803793</v>
      </c>
      <c r="AN1650">
        <v>0.99999999970899001</v>
      </c>
    </row>
    <row r="1651" spans="1:40" x14ac:dyDescent="0.3">
      <c r="A1651" t="str">
        <f>"20200111150820904"</f>
        <v>20200111150820904</v>
      </c>
      <c r="B1651" t="str">
        <f>"1578726500894199"</f>
        <v>1578726500894199</v>
      </c>
      <c r="C1651" t="s">
        <v>40</v>
      </c>
      <c r="D1651">
        <v>5.5030359999999998</v>
      </c>
      <c r="E1651">
        <v>0.44732189999999999</v>
      </c>
      <c r="F1651" t="s">
        <v>58</v>
      </c>
      <c r="G1651">
        <v>-305.7518</v>
      </c>
      <c r="H1651" s="1">
        <v>1.632989E-6</v>
      </c>
      <c r="I1651">
        <v>217.5104</v>
      </c>
      <c r="J1651">
        <v>-319.06830000000002</v>
      </c>
      <c r="K1651">
        <v>1.110266</v>
      </c>
      <c r="L1651">
        <v>214.4316</v>
      </c>
      <c r="M1651">
        <v>0.99929950000000001</v>
      </c>
      <c r="N1651">
        <v>0</v>
      </c>
      <c r="O1651">
        <v>3.5682869999999998E-2</v>
      </c>
      <c r="P1651">
        <v>0.98735119999999998</v>
      </c>
      <c r="Q1651">
        <v>0.13183020000000001</v>
      </c>
      <c r="R1651">
        <v>8.8083410000000001E-2</v>
      </c>
      <c r="S1651">
        <v>3.0103759999999999</v>
      </c>
      <c r="T1651">
        <v>-0.24549789999999999</v>
      </c>
      <c r="U1651">
        <v>0.68316650000000001</v>
      </c>
      <c r="V1651">
        <v>-5.2865759999999998E-2</v>
      </c>
      <c r="W1651">
        <v>0.1429704</v>
      </c>
      <c r="X1651">
        <v>0.98831400000000003</v>
      </c>
      <c r="Y1651">
        <v>-0.18589539999999999</v>
      </c>
      <c r="Z1651">
        <v>4.6071300000000001E-3</v>
      </c>
      <c r="AA1651">
        <v>0.98255870000000001</v>
      </c>
      <c r="AB1651">
        <v>31</v>
      </c>
      <c r="AC1651">
        <v>13.3165</v>
      </c>
      <c r="AD1651">
        <v>-1.110264367011</v>
      </c>
      <c r="AE1651">
        <v>3.0788000000000002</v>
      </c>
      <c r="AF1651">
        <v>-2.5845830561029302</v>
      </c>
      <c r="AG1651">
        <v>-1.110264367011</v>
      </c>
      <c r="AH1651">
        <v>13.3299260147257</v>
      </c>
      <c r="AI1651">
        <v>94.674577141172094</v>
      </c>
      <c r="AJ1651">
        <v>100.97310870446999</v>
      </c>
      <c r="AK1651">
        <v>13.6234974986825</v>
      </c>
      <c r="AL1651">
        <v>81.780232370982205</v>
      </c>
      <c r="AM1651">
        <v>93.061882116578104</v>
      </c>
      <c r="AN1651">
        <v>0.99999994322626695</v>
      </c>
    </row>
    <row r="1652" spans="1:40" x14ac:dyDescent="0.3">
      <c r="A1652" t="str">
        <f>"20200111150820926"</f>
        <v>20200111150820926</v>
      </c>
      <c r="B1652" t="str">
        <f>"1578726500924452"</f>
        <v>1578726500924452</v>
      </c>
      <c r="C1652" t="s">
        <v>40</v>
      </c>
      <c r="D1652">
        <v>5.4900460000000004</v>
      </c>
      <c r="E1652">
        <v>0.44732860000000002</v>
      </c>
      <c r="F1652" t="s">
        <v>58</v>
      </c>
      <c r="G1652">
        <v>-305.60219999999998</v>
      </c>
      <c r="H1652" s="1">
        <v>1.6595280000000001E-6</v>
      </c>
      <c r="I1652">
        <v>217.4862</v>
      </c>
      <c r="J1652">
        <v>-318.75790000000001</v>
      </c>
      <c r="K1652">
        <v>1.110268</v>
      </c>
      <c r="L1652">
        <v>214.44290000000001</v>
      </c>
      <c r="M1652">
        <v>0.99929000000000001</v>
      </c>
      <c r="N1652">
        <v>0</v>
      </c>
      <c r="O1652">
        <v>3.5945119999999997E-2</v>
      </c>
      <c r="P1652">
        <v>0.98749569999999998</v>
      </c>
      <c r="Q1652">
        <v>0.13103689999999901</v>
      </c>
      <c r="R1652">
        <v>8.7644120000000006E-2</v>
      </c>
      <c r="S1652">
        <v>3.0106510000000002</v>
      </c>
      <c r="T1652">
        <v>-0.2482241</v>
      </c>
      <c r="U1652">
        <v>0.68293760000000003</v>
      </c>
      <c r="V1652">
        <v>-5.2162020000000003E-2</v>
      </c>
      <c r="W1652">
        <v>0.1421799</v>
      </c>
      <c r="X1652">
        <v>0.9884655</v>
      </c>
      <c r="Y1652">
        <v>-0.1855387</v>
      </c>
      <c r="Z1652">
        <v>4.6219859999999998E-3</v>
      </c>
      <c r="AA1652">
        <v>0.98262609999999995</v>
      </c>
      <c r="AB1652">
        <v>31</v>
      </c>
      <c r="AC1652">
        <v>13.1557</v>
      </c>
      <c r="AD1652">
        <v>-1.1102663404719999</v>
      </c>
      <c r="AE1652">
        <v>3.0432999999999799</v>
      </c>
      <c r="AF1652">
        <v>-2.5511722109886601</v>
      </c>
      <c r="AG1652">
        <v>-1.1102663404719999</v>
      </c>
      <c r="AH1652">
        <v>13.167575054909699</v>
      </c>
      <c r="AI1652">
        <v>94.732090162237895</v>
      </c>
      <c r="AJ1652">
        <v>100.965006050016</v>
      </c>
      <c r="AK1652">
        <v>13.4583135579309</v>
      </c>
      <c r="AL1652">
        <v>81.825992823993701</v>
      </c>
      <c r="AM1652">
        <v>93.020736686129098</v>
      </c>
      <c r="AN1652">
        <v>1.00000002249237</v>
      </c>
    </row>
    <row r="1653" spans="1:40" x14ac:dyDescent="0.3">
      <c r="A1653" t="str">
        <f>"20200111150820950"</f>
        <v>20200111150820950</v>
      </c>
      <c r="B1653" t="str">
        <f>"1578726500943972"</f>
        <v>1578726500943972</v>
      </c>
      <c r="C1653" t="s">
        <v>40</v>
      </c>
      <c r="D1653">
        <v>5.5219639999999997</v>
      </c>
      <c r="E1653">
        <v>0.44728590000000001</v>
      </c>
      <c r="F1653" t="s">
        <v>58</v>
      </c>
      <c r="G1653">
        <v>-305.43369999999999</v>
      </c>
      <c r="H1653" s="1">
        <v>1.68940999999999E-6</v>
      </c>
      <c r="I1653">
        <v>217.46119999999999</v>
      </c>
      <c r="J1653">
        <v>-318.43169999999998</v>
      </c>
      <c r="K1653">
        <v>1.110268</v>
      </c>
      <c r="L1653">
        <v>214.45500000000001</v>
      </c>
      <c r="M1653">
        <v>0.9992801</v>
      </c>
      <c r="N1653">
        <v>0</v>
      </c>
      <c r="O1653">
        <v>3.6220479999999999E-2</v>
      </c>
      <c r="P1653">
        <v>0.98747850000000004</v>
      </c>
      <c r="Q1653">
        <v>0.1312161</v>
      </c>
      <c r="R1653">
        <v>8.7570850000000006E-2</v>
      </c>
      <c r="S1653">
        <v>3.0108030000000001</v>
      </c>
      <c r="T1653">
        <v>-0.25088139999999998</v>
      </c>
      <c r="U1653">
        <v>0.68202209999999996</v>
      </c>
      <c r="V1653">
        <v>-5.1816580000000001E-2</v>
      </c>
      <c r="W1653">
        <v>0.1423606</v>
      </c>
      <c r="X1653">
        <v>0.98845760000000005</v>
      </c>
      <c r="Y1653">
        <v>-0.1849655</v>
      </c>
      <c r="Z1653">
        <v>4.62511E-3</v>
      </c>
      <c r="AA1653">
        <v>0.98273410000000005</v>
      </c>
      <c r="AB1653">
        <v>31</v>
      </c>
      <c r="AC1653">
        <v>12.9979999999999</v>
      </c>
      <c r="AD1653">
        <v>-1.1102663105899999</v>
      </c>
      <c r="AE1653">
        <v>3.00619999999997</v>
      </c>
      <c r="AF1653">
        <v>-2.5159781908960199</v>
      </c>
      <c r="AG1653">
        <v>-1.1102663105899999</v>
      </c>
      <c r="AH1653">
        <v>13.0082701110559</v>
      </c>
      <c r="AI1653">
        <v>94.790069332093296</v>
      </c>
      <c r="AJ1653">
        <v>100.946626387058</v>
      </c>
      <c r="AK1653">
        <v>13.2957861301875</v>
      </c>
      <c r="AL1653">
        <v>81.815532586025</v>
      </c>
      <c r="AM1653">
        <v>93.000792651700195</v>
      </c>
      <c r="AN1653">
        <v>0.99999996269650704</v>
      </c>
    </row>
    <row r="1654" spans="1:40" x14ac:dyDescent="0.3">
      <c r="A1654" t="str">
        <f>"20200111150820973"</f>
        <v>20200111150820973</v>
      </c>
      <c r="B1654" t="str">
        <f>"1578726500964472"</f>
        <v>1578726500964472</v>
      </c>
      <c r="C1654" t="s">
        <v>40</v>
      </c>
      <c r="D1654">
        <v>4.8008709999999999</v>
      </c>
      <c r="E1654">
        <v>0.44771250000000001</v>
      </c>
      <c r="F1654" t="s">
        <v>58</v>
      </c>
      <c r="G1654">
        <v>-305.0532</v>
      </c>
      <c r="H1654" s="1">
        <v>1.756913E-6</v>
      </c>
      <c r="I1654">
        <v>217.4871</v>
      </c>
      <c r="J1654">
        <v>-318.1103</v>
      </c>
      <c r="K1654">
        <v>1.110277</v>
      </c>
      <c r="L1654">
        <v>214.46690000000001</v>
      </c>
      <c r="M1654">
        <v>0.99927010000000005</v>
      </c>
      <c r="N1654">
        <v>0</v>
      </c>
      <c r="O1654">
        <v>3.6491900000000001E-2</v>
      </c>
      <c r="P1654">
        <v>0.98728079999999996</v>
      </c>
      <c r="Q1654">
        <v>0.13165689999999999</v>
      </c>
      <c r="R1654">
        <v>8.912428E-2</v>
      </c>
      <c r="S1654">
        <v>3.010742</v>
      </c>
      <c r="T1654">
        <v>-0.24985760000000001</v>
      </c>
      <c r="U1654">
        <v>0.68235780000000001</v>
      </c>
      <c r="V1654">
        <v>-5.3107410000000001E-2</v>
      </c>
      <c r="W1654">
        <v>0.14280100000000001</v>
      </c>
      <c r="X1654">
        <v>0.98832560000000003</v>
      </c>
      <c r="Y1654">
        <v>-0.18481239999999999</v>
      </c>
      <c r="Z1654">
        <v>4.5779239999999997E-3</v>
      </c>
      <c r="AA1654">
        <v>0.98276319999999995</v>
      </c>
      <c r="AB1654">
        <v>31</v>
      </c>
      <c r="AC1654">
        <v>13.057099999999901</v>
      </c>
      <c r="AD1654">
        <v>-1.110275243087</v>
      </c>
      <c r="AE1654">
        <v>3.02019999999998</v>
      </c>
      <c r="AF1654">
        <v>-2.52435398077795</v>
      </c>
      <c r="AG1654">
        <v>-1.110275243087</v>
      </c>
      <c r="AH1654">
        <v>13.0689262854854</v>
      </c>
      <c r="AI1654">
        <v>94.768205411985093</v>
      </c>
      <c r="AJ1654">
        <v>100.932443366277</v>
      </c>
      <c r="AK1654">
        <v>13.356717725217299</v>
      </c>
      <c r="AL1654">
        <v>81.790039427544897</v>
      </c>
      <c r="AM1654">
        <v>93.075815169304903</v>
      </c>
      <c r="AN1654">
        <v>1.00000000710663</v>
      </c>
    </row>
    <row r="1655" spans="1:40" x14ac:dyDescent="0.3">
      <c r="A1655" t="str">
        <f>"20200111150820994"</f>
        <v>20200111150820994</v>
      </c>
      <c r="B1655" t="str">
        <f>"1578726500983991"</f>
        <v>1578726500983991</v>
      </c>
      <c r="C1655" t="s">
        <v>40</v>
      </c>
      <c r="D1655">
        <v>5.672752</v>
      </c>
      <c r="E1655">
        <v>0.44327850000000002</v>
      </c>
      <c r="F1655" t="s">
        <v>58</v>
      </c>
      <c r="G1655">
        <v>-304.73509999999999</v>
      </c>
      <c r="H1655" s="1">
        <v>1.813329E-6</v>
      </c>
      <c r="I1655">
        <v>217.5035</v>
      </c>
      <c r="J1655">
        <v>-317.8057</v>
      </c>
      <c r="K1655">
        <v>1.1102780000000001</v>
      </c>
      <c r="L1655">
        <v>214.47829999999999</v>
      </c>
      <c r="M1655">
        <v>0.99926079999999995</v>
      </c>
      <c r="N1655">
        <v>0</v>
      </c>
      <c r="O1655">
        <v>3.6749200000000003E-2</v>
      </c>
      <c r="P1655">
        <v>0.98716380000000004</v>
      </c>
      <c r="Q1655">
        <v>0.13163910000000001</v>
      </c>
      <c r="R1655">
        <v>9.0437329999999996E-2</v>
      </c>
      <c r="S1655">
        <v>3.010284</v>
      </c>
      <c r="T1655">
        <v>-0.249884</v>
      </c>
      <c r="U1655">
        <v>0.68344119999999997</v>
      </c>
      <c r="V1655">
        <v>-5.4169290000000002E-2</v>
      </c>
      <c r="W1655">
        <v>0.14278350000000001</v>
      </c>
      <c r="X1655">
        <v>0.98827050000000005</v>
      </c>
      <c r="Y1655">
        <v>-0.18492829999999999</v>
      </c>
      <c r="Z1655">
        <v>4.5626460000000001E-3</v>
      </c>
      <c r="AA1655">
        <v>0.98274139999999999</v>
      </c>
      <c r="AB1655">
        <v>31</v>
      </c>
      <c r="AC1655">
        <v>13.070600000000001</v>
      </c>
      <c r="AD1655">
        <v>-1.110276186671</v>
      </c>
      <c r="AE1655">
        <v>3.0252000000000101</v>
      </c>
      <c r="AF1655">
        <v>-2.5254952488262501</v>
      </c>
      <c r="AG1655">
        <v>-1.110276186671</v>
      </c>
      <c r="AH1655">
        <v>13.0833468516953</v>
      </c>
      <c r="AI1655">
        <v>94.763088992454399</v>
      </c>
      <c r="AJ1655">
        <v>100.92550190626901</v>
      </c>
      <c r="AK1655">
        <v>13.371043500950099</v>
      </c>
      <c r="AL1655">
        <v>81.791052512935494</v>
      </c>
      <c r="AM1655">
        <v>93.137368853778</v>
      </c>
      <c r="AN1655">
        <v>1.0000000105108</v>
      </c>
    </row>
    <row r="1656" spans="1:40" x14ac:dyDescent="0.3">
      <c r="A1656" t="str">
        <f>"20200111150821016"</f>
        <v>20200111150821016</v>
      </c>
      <c r="B1656" t="str">
        <f>"1578726501004484"</f>
        <v>1578726501004484</v>
      </c>
      <c r="C1656" t="s">
        <v>40</v>
      </c>
      <c r="D1656">
        <v>6.08521</v>
      </c>
      <c r="E1656">
        <v>0.44977250000000002</v>
      </c>
      <c r="F1656" t="s">
        <v>72</v>
      </c>
      <c r="G1656">
        <v>-251.54679999999999</v>
      </c>
      <c r="H1656">
        <v>26.80416</v>
      </c>
      <c r="I1656">
        <v>231.3828</v>
      </c>
      <c r="J1656">
        <v>-317.5061</v>
      </c>
      <c r="K1656">
        <v>1.1102780000000001</v>
      </c>
      <c r="L1656">
        <v>214.4896</v>
      </c>
      <c r="M1656">
        <v>0.99925140000000001</v>
      </c>
      <c r="N1656">
        <v>0</v>
      </c>
      <c r="O1656">
        <v>3.7002149999999998E-2</v>
      </c>
      <c r="P1656">
        <v>0.98716009999999998</v>
      </c>
      <c r="Q1656">
        <v>0.131179399999999</v>
      </c>
      <c r="R1656">
        <v>9.1141539999999993E-2</v>
      </c>
      <c r="S1656">
        <v>2.8267820000000001</v>
      </c>
      <c r="T1656">
        <v>1.0961700000000001</v>
      </c>
      <c r="U1656">
        <v>0.72119140000000004</v>
      </c>
      <c r="V1656">
        <v>-5.4622490000000003E-2</v>
      </c>
      <c r="W1656">
        <v>0.1423257</v>
      </c>
      <c r="X1656">
        <v>0.98831159999999996</v>
      </c>
      <c r="Y1656">
        <v>-0.20007849999999999</v>
      </c>
      <c r="Z1656">
        <v>-2.326986E-2</v>
      </c>
      <c r="AA1656">
        <v>0.97950349999999997</v>
      </c>
      <c r="AB1656">
        <v>31</v>
      </c>
      <c r="AC1656">
        <v>65.959299999999999</v>
      </c>
      <c r="AD1656">
        <v>25.693881999999899</v>
      </c>
      <c r="AE1656">
        <v>16.8932</v>
      </c>
      <c r="AF1656">
        <v>-12.640771178752701</v>
      </c>
      <c r="AG1656">
        <v>25.693881999999899</v>
      </c>
      <c r="AH1656">
        <v>58.245054836053399</v>
      </c>
      <c r="AI1656">
        <v>66.679203604258007</v>
      </c>
      <c r="AJ1656">
        <v>102.24486139794</v>
      </c>
      <c r="AK1656">
        <v>64.903398070350505</v>
      </c>
      <c r="AL1656">
        <v>81.817553251739795</v>
      </c>
      <c r="AM1656">
        <v>93.163432835601398</v>
      </c>
      <c r="AN1656">
        <v>1.0000000199944199</v>
      </c>
    </row>
    <row r="1657" spans="1:40" x14ac:dyDescent="0.3">
      <c r="A1657" t="str">
        <f>"20200111150822278"</f>
        <v>20200111150822278</v>
      </c>
      <c r="B1657" t="str">
        <f>"1578726502274415"</f>
        <v>1578726502274415</v>
      </c>
      <c r="C1657" t="s">
        <v>40</v>
      </c>
      <c r="D1657">
        <v>5.330203</v>
      </c>
      <c r="E1657">
        <v>0.47726220000000003</v>
      </c>
      <c r="F1657" t="s">
        <v>72</v>
      </c>
      <c r="G1657">
        <v>-250.24690000000001</v>
      </c>
      <c r="H1657">
        <v>25.599540000000001</v>
      </c>
      <c r="I1657">
        <v>230.3981</v>
      </c>
      <c r="J1657">
        <v>-299.52480000000003</v>
      </c>
      <c r="K1657">
        <v>1.110085</v>
      </c>
      <c r="L1657">
        <v>215.21940000000001</v>
      </c>
      <c r="M1657">
        <v>0.99909899999999996</v>
      </c>
      <c r="N1657">
        <v>0</v>
      </c>
      <c r="O1657">
        <v>4.0858789999999999E-2</v>
      </c>
      <c r="P1657">
        <v>0.98682270000000005</v>
      </c>
      <c r="Q1657">
        <v>0.13402919999999999</v>
      </c>
      <c r="R1657">
        <v>9.0648679999999995E-2</v>
      </c>
      <c r="S1657">
        <v>2.8396300000000001</v>
      </c>
      <c r="T1657">
        <v>1.0339179999999999</v>
      </c>
      <c r="U1657">
        <v>0.67164609999999902</v>
      </c>
      <c r="V1657">
        <v>-5.0244450000000003E-2</v>
      </c>
      <c r="W1657">
        <v>0.14538489999999901</v>
      </c>
      <c r="X1657">
        <v>0.98809860000000005</v>
      </c>
      <c r="Y1657">
        <v>-0.1816614</v>
      </c>
      <c r="Z1657">
        <v>-1.742836E-2</v>
      </c>
      <c r="AA1657">
        <v>0.98320669999999999</v>
      </c>
      <c r="AB1657">
        <v>32</v>
      </c>
      <c r="AC1657">
        <v>49.277900000000002</v>
      </c>
      <c r="AD1657">
        <v>24.489455</v>
      </c>
      <c r="AE1657">
        <v>15.1786999999999</v>
      </c>
      <c r="AF1657">
        <v>-10.7316733077653</v>
      </c>
      <c r="AG1657">
        <v>24.489455</v>
      </c>
      <c r="AH1657">
        <v>40.680518864780701</v>
      </c>
      <c r="AI1657">
        <v>59.797125056355199</v>
      </c>
      <c r="AJ1657">
        <v>104.778165271156</v>
      </c>
      <c r="AK1657">
        <v>48.680661800035203</v>
      </c>
      <c r="AL1657">
        <v>81.640431968444304</v>
      </c>
      <c r="AM1657">
        <v>92.910962076298105</v>
      </c>
      <c r="AN1657">
        <v>1.0000000586128801</v>
      </c>
    </row>
    <row r="1658" spans="1:40" x14ac:dyDescent="0.3">
      <c r="A1658" t="str">
        <f>"20200111150822301"</f>
        <v>20200111150822301</v>
      </c>
      <c r="B1658" t="str">
        <f>"1578726502293938"</f>
        <v>1578726502293938</v>
      </c>
      <c r="C1658" t="s">
        <v>40</v>
      </c>
      <c r="D1658">
        <v>7.8777379999999999</v>
      </c>
      <c r="E1658">
        <v>0.47874349999999999</v>
      </c>
      <c r="F1658" t="s">
        <v>55</v>
      </c>
      <c r="G1658">
        <v>-270.54809999999998</v>
      </c>
      <c r="H1658" s="1">
        <v>-1.4623740000000001E-6</v>
      </c>
      <c r="I1658">
        <v>219.58600000000001</v>
      </c>
      <c r="J1658">
        <v>-299.19799999999998</v>
      </c>
      <c r="K1658">
        <v>1.1100890000000001</v>
      </c>
      <c r="L1658">
        <v>215.23269999999999</v>
      </c>
      <c r="M1658">
        <v>0.99909910000000002</v>
      </c>
      <c r="N1658">
        <v>0</v>
      </c>
      <c r="O1658">
        <v>4.0858899999999997E-2</v>
      </c>
      <c r="P1658">
        <v>0.98692930000000001</v>
      </c>
      <c r="Q1658">
        <v>0.13431850000000001</v>
      </c>
      <c r="R1658">
        <v>8.9046749999999994E-2</v>
      </c>
      <c r="S1658">
        <v>3.0139770000000001</v>
      </c>
      <c r="T1658">
        <v>-0.115464</v>
      </c>
      <c r="U1658">
        <v>0.45419310000000002</v>
      </c>
      <c r="V1658">
        <v>-4.863891E-2</v>
      </c>
      <c r="W1658">
        <v>0.1456769</v>
      </c>
      <c r="X1658">
        <v>0.98813589999999996</v>
      </c>
      <c r="Y1658">
        <v>-0.1084349</v>
      </c>
      <c r="Z1658">
        <v>5.1011440000000002E-4</v>
      </c>
      <c r="AA1658">
        <v>0.99410339999999997</v>
      </c>
      <c r="AB1658">
        <v>32</v>
      </c>
      <c r="AC1658">
        <v>28.649899999999999</v>
      </c>
      <c r="AD1658">
        <v>-1.11009046237399</v>
      </c>
      <c r="AE1658">
        <v>4.3532999999999902</v>
      </c>
      <c r="AF1658">
        <v>-3.1743256983399899</v>
      </c>
      <c r="AG1658">
        <v>-1.11009046237399</v>
      </c>
      <c r="AH1658">
        <v>28.761649117231102</v>
      </c>
      <c r="AI1658">
        <v>92.196975706082299</v>
      </c>
      <c r="AJ1658">
        <v>96.298051718049607</v>
      </c>
      <c r="AK1658">
        <v>28.957574214987702</v>
      </c>
      <c r="AL1658">
        <v>81.623521325724596</v>
      </c>
      <c r="AM1658">
        <v>92.817989731465502</v>
      </c>
      <c r="AN1658">
        <v>1.0000000298142</v>
      </c>
    </row>
    <row r="1659" spans="1:40" x14ac:dyDescent="0.3">
      <c r="A1659" t="str">
        <f>"20200111150822323"</f>
        <v>20200111150822323</v>
      </c>
      <c r="B1659" t="str">
        <f>"1578726502313757"</f>
        <v>1578726502313757</v>
      </c>
      <c r="C1659" t="s">
        <v>40</v>
      </c>
      <c r="D1659">
        <v>4.6977719999999996</v>
      </c>
      <c r="E1659">
        <v>0.51387579999999999</v>
      </c>
      <c r="F1659" t="s">
        <v>55</v>
      </c>
      <c r="G1659">
        <v>-269.00130000000001</v>
      </c>
      <c r="H1659" s="1">
        <v>3.034757E-6</v>
      </c>
      <c r="I1659">
        <v>219.6148</v>
      </c>
      <c r="J1659">
        <v>-298.86579999999998</v>
      </c>
      <c r="K1659">
        <v>1.11009</v>
      </c>
      <c r="L1659">
        <v>215.24629999999999</v>
      </c>
      <c r="M1659">
        <v>0.99909899999999996</v>
      </c>
      <c r="N1659">
        <v>0</v>
      </c>
      <c r="O1659">
        <v>4.085942E-2</v>
      </c>
      <c r="P1659">
        <v>0.98696669999999997</v>
      </c>
      <c r="Q1659">
        <v>0.1342247</v>
      </c>
      <c r="R1659">
        <v>8.8772409999999996E-2</v>
      </c>
      <c r="S1659">
        <v>3.0153500000000002</v>
      </c>
      <c r="T1659">
        <v>-0.11084960000000001</v>
      </c>
      <c r="U1659">
        <v>0.43757629999999997</v>
      </c>
      <c r="V1659">
        <v>-4.8363450000000002E-2</v>
      </c>
      <c r="W1659">
        <v>0.14558489999999999</v>
      </c>
      <c r="X1659">
        <v>0.98816289999999996</v>
      </c>
      <c r="Y1659">
        <v>-0.1030124</v>
      </c>
      <c r="Z1659">
        <v>3.9053949999999998E-4</v>
      </c>
      <c r="AA1659">
        <v>0.99468000000000001</v>
      </c>
      <c r="AB1659">
        <v>32</v>
      </c>
      <c r="AC1659">
        <v>29.8644999999999</v>
      </c>
      <c r="AD1659">
        <v>-1.1100869652429901</v>
      </c>
      <c r="AE1659">
        <v>4.3685000000000098</v>
      </c>
      <c r="AF1659">
        <v>-3.1402769752056301</v>
      </c>
      <c r="AG1659">
        <v>-1.1100869652429901</v>
      </c>
      <c r="AH1659">
        <v>29.977511883537101</v>
      </c>
      <c r="AI1659">
        <v>92.109200796023401</v>
      </c>
      <c r="AJ1659">
        <v>95.980175532807394</v>
      </c>
      <c r="AK1659">
        <v>30.161976912646399</v>
      </c>
      <c r="AL1659">
        <v>81.628848680426401</v>
      </c>
      <c r="AM1659">
        <v>92.801979488281205</v>
      </c>
      <c r="AN1659">
        <v>0.99999995167015998</v>
      </c>
    </row>
    <row r="1660" spans="1:40" x14ac:dyDescent="0.3">
      <c r="A1660" t="str">
        <f>"20200111150822345"</f>
        <v>20200111150822345</v>
      </c>
      <c r="B1660" t="str">
        <f>"1578726502334250"</f>
        <v>1578726502334250</v>
      </c>
      <c r="C1660" t="s">
        <v>40</v>
      </c>
      <c r="D1660">
        <v>6.5073499999999997</v>
      </c>
      <c r="E1660">
        <v>0.52909200000000001</v>
      </c>
      <c r="F1660" t="s">
        <v>70</v>
      </c>
      <c r="G1660">
        <v>-157.25</v>
      </c>
      <c r="H1660">
        <v>53.61739</v>
      </c>
      <c r="I1660">
        <v>222.89320000000001</v>
      </c>
      <c r="J1660">
        <v>-298.5566</v>
      </c>
      <c r="K1660">
        <v>1.110085</v>
      </c>
      <c r="L1660">
        <v>215.25899999999999</v>
      </c>
      <c r="M1660">
        <v>0.99909890000000001</v>
      </c>
      <c r="N1660">
        <v>0</v>
      </c>
      <c r="O1660">
        <v>4.085971E-2</v>
      </c>
      <c r="P1660">
        <v>0.98709570000000002</v>
      </c>
      <c r="Q1660">
        <v>0.1337679</v>
      </c>
      <c r="R1660">
        <v>8.8026389999999996E-2</v>
      </c>
      <c r="S1660">
        <v>2.8803709999999998</v>
      </c>
      <c r="T1660">
        <v>1.0679650000000001</v>
      </c>
      <c r="U1660">
        <v>0.1555328</v>
      </c>
      <c r="V1660">
        <v>-4.7612269999999998E-2</v>
      </c>
      <c r="W1660">
        <v>0.1451306</v>
      </c>
      <c r="X1660">
        <v>0.98826619999999998</v>
      </c>
      <c r="Y1660">
        <v>-1.479783E-2</v>
      </c>
      <c r="Z1660">
        <v>1.199296E-2</v>
      </c>
      <c r="AA1660">
        <v>0.9998186</v>
      </c>
      <c r="AB1660">
        <v>32</v>
      </c>
      <c r="AC1660">
        <v>141.3066</v>
      </c>
      <c r="AD1660">
        <v>52.507305000000002</v>
      </c>
      <c r="AE1660">
        <v>7.6341999999999901</v>
      </c>
      <c r="AF1660">
        <v>-1.62937535146607</v>
      </c>
      <c r="AG1660">
        <v>52.507305000000002</v>
      </c>
      <c r="AH1660">
        <v>124.37715346336201</v>
      </c>
      <c r="AI1660">
        <v>67.114139341051796</v>
      </c>
      <c r="AJ1660">
        <v>90.750547735751198</v>
      </c>
      <c r="AK1660">
        <v>135.01610365451799</v>
      </c>
      <c r="AL1660">
        <v>81.6551575688746</v>
      </c>
      <c r="AM1660">
        <v>92.758239063524599</v>
      </c>
      <c r="AN1660">
        <v>0.99999995068667502</v>
      </c>
    </row>
    <row r="1661" spans="1:40" x14ac:dyDescent="0.3">
      <c r="A1661" t="str">
        <f>"20200111150822367"</f>
        <v>20200111150822367</v>
      </c>
      <c r="B1661" t="str">
        <f>"1578726502364506"</f>
        <v>1578726502364506</v>
      </c>
      <c r="C1661" t="s">
        <v>40</v>
      </c>
      <c r="D1661">
        <v>6.0763959999999999</v>
      </c>
      <c r="E1661">
        <v>0.51887289999999997</v>
      </c>
      <c r="F1661" t="s">
        <v>71</v>
      </c>
      <c r="G1661">
        <v>-107.39749999999999</v>
      </c>
      <c r="H1661">
        <v>71.379459999999995</v>
      </c>
      <c r="I1661">
        <v>217.3759</v>
      </c>
      <c r="J1661">
        <v>-298.2432</v>
      </c>
      <c r="K1661">
        <v>1.11008</v>
      </c>
      <c r="L1661">
        <v>215.27180000000001</v>
      </c>
      <c r="M1661">
        <v>0.99909899999999996</v>
      </c>
      <c r="N1661">
        <v>0</v>
      </c>
      <c r="O1661">
        <v>4.0860059999999997E-2</v>
      </c>
      <c r="P1661">
        <v>0.98714800000000003</v>
      </c>
      <c r="Q1661">
        <v>0.13339409999999999</v>
      </c>
      <c r="R1661">
        <v>8.8004650000000004E-2</v>
      </c>
      <c r="S1661">
        <v>2.892242</v>
      </c>
      <c r="T1661">
        <v>1.063178</v>
      </c>
      <c r="U1661">
        <v>3.20282E-2</v>
      </c>
      <c r="V1661">
        <v>-4.7588030000000003E-2</v>
      </c>
      <c r="W1661">
        <v>0.14475929999999901</v>
      </c>
      <c r="X1661">
        <v>0.98832189999999998</v>
      </c>
      <c r="Y1661">
        <v>2.5459490000000001E-2</v>
      </c>
      <c r="Z1661">
        <v>1.9071930000000001E-2</v>
      </c>
      <c r="AA1661">
        <v>0.99949390000000005</v>
      </c>
      <c r="AB1661">
        <v>32</v>
      </c>
      <c r="AC1661">
        <v>190.84569999999999</v>
      </c>
      <c r="AD1661">
        <v>70.269379999999998</v>
      </c>
      <c r="AE1661">
        <v>2.1040999999999799</v>
      </c>
      <c r="AF1661">
        <v>5.0161716602297597</v>
      </c>
      <c r="AG1661">
        <v>70.269379999999998</v>
      </c>
      <c r="AH1661">
        <v>167.99919271876001</v>
      </c>
      <c r="AI1661">
        <v>67.3108875466759</v>
      </c>
      <c r="AJ1661">
        <v>88.289753079469193</v>
      </c>
      <c r="AK1661">
        <v>182.17210680525201</v>
      </c>
      <c r="AL1661">
        <v>81.676659187189799</v>
      </c>
      <c r="AM1661">
        <v>92.756681845974697</v>
      </c>
      <c r="AN1661">
        <v>1.0000000267776901</v>
      </c>
    </row>
    <row r="1662" spans="1:40" x14ac:dyDescent="0.3">
      <c r="A1662" t="str">
        <f>"20200111150822390"</f>
        <v>20200111150822390</v>
      </c>
      <c r="B1662" t="str">
        <f>"1578726502384026"</f>
        <v>1578726502384026</v>
      </c>
      <c r="C1662" t="s">
        <v>40</v>
      </c>
      <c r="D1662">
        <v>5.0161100000000003</v>
      </c>
      <c r="E1662">
        <v>0.51139650000000003</v>
      </c>
      <c r="F1662" t="s">
        <v>70</v>
      </c>
      <c r="G1662">
        <v>-157.8382</v>
      </c>
      <c r="H1662">
        <v>56.27825</v>
      </c>
      <c r="I1662">
        <v>220.78149999999999</v>
      </c>
      <c r="J1662">
        <v>-297.90030000000002</v>
      </c>
      <c r="K1662">
        <v>1.1100810000000001</v>
      </c>
      <c r="L1662">
        <v>215.28579999999999</v>
      </c>
      <c r="M1662">
        <v>0.99909879999999995</v>
      </c>
      <c r="N1662">
        <v>0</v>
      </c>
      <c r="O1662">
        <v>4.0860529999999999E-2</v>
      </c>
      <c r="P1662">
        <v>0.98700319999999997</v>
      </c>
      <c r="Q1662">
        <v>0.133741</v>
      </c>
      <c r="R1662">
        <v>8.9096239999999993E-2</v>
      </c>
      <c r="S1662">
        <v>2.8762819999999998</v>
      </c>
      <c r="T1662">
        <v>1.1301540000000001</v>
      </c>
      <c r="U1662">
        <v>0.11286930000000001</v>
      </c>
      <c r="V1662">
        <v>-4.8684020000000001E-2</v>
      </c>
      <c r="W1662">
        <v>0.14510700000000001</v>
      </c>
      <c r="X1662">
        <v>0.98821749999999997</v>
      </c>
      <c r="Y1662">
        <v>-1.285305E-3</v>
      </c>
      <c r="Z1662">
        <v>1.5224959999999999E-2</v>
      </c>
      <c r="AA1662">
        <v>0.99988330000000003</v>
      </c>
      <c r="AB1662">
        <v>32</v>
      </c>
      <c r="AC1662">
        <v>140.06209999999999</v>
      </c>
      <c r="AD1662">
        <v>55.168168999999899</v>
      </c>
      <c r="AE1662">
        <v>5.4956999999999896</v>
      </c>
      <c r="AF1662">
        <v>0.20112436011496199</v>
      </c>
      <c r="AG1662">
        <v>55.168168999999899</v>
      </c>
      <c r="AH1662">
        <v>121.368930624504</v>
      </c>
      <c r="AI1662">
        <v>65.555889695048705</v>
      </c>
      <c r="AJ1662">
        <v>89.905053407125394</v>
      </c>
      <c r="AK1662">
        <v>133.31910831818701</v>
      </c>
      <c r="AL1662">
        <v>81.656524641472103</v>
      </c>
      <c r="AM1662">
        <v>92.820366519366601</v>
      </c>
      <c r="AN1662">
        <v>1.0000000012793</v>
      </c>
    </row>
    <row r="1663" spans="1:40" x14ac:dyDescent="0.3">
      <c r="A1663" t="str">
        <f>"20200111150822413"</f>
        <v>20200111150822413</v>
      </c>
      <c r="B1663" t="str">
        <f>"1578726502404522"</f>
        <v>1578726502404522</v>
      </c>
      <c r="C1663" t="s">
        <v>40</v>
      </c>
      <c r="D1663">
        <v>4.7073400000000003</v>
      </c>
      <c r="E1663">
        <v>0.51090720000000001</v>
      </c>
      <c r="F1663" t="s">
        <v>54</v>
      </c>
      <c r="G1663">
        <v>-188.96119999999999</v>
      </c>
      <c r="H1663" s="1">
        <v>2.7196319999999998E-6</v>
      </c>
      <c r="I1663">
        <v>221.6728</v>
      </c>
      <c r="J1663">
        <v>-297.57819999999998</v>
      </c>
      <c r="K1663">
        <v>1.1100810000000001</v>
      </c>
      <c r="L1663">
        <v>215.29900000000001</v>
      </c>
      <c r="M1663">
        <v>0.99909890000000001</v>
      </c>
      <c r="N1663">
        <v>0</v>
      </c>
      <c r="O1663">
        <v>4.08607E-2</v>
      </c>
      <c r="P1663">
        <v>0.98691790000000001</v>
      </c>
      <c r="Q1663">
        <v>0.13374430000000001</v>
      </c>
      <c r="R1663">
        <v>9.0031189999999997E-2</v>
      </c>
      <c r="S1663">
        <v>3.0276179999999999</v>
      </c>
      <c r="T1663">
        <v>-3.0851130000000001E-2</v>
      </c>
      <c r="U1663">
        <v>0.17750550000000001</v>
      </c>
      <c r="V1663">
        <v>-4.9621690000000003E-2</v>
      </c>
      <c r="W1663">
        <v>0.145111299999999</v>
      </c>
      <c r="X1663">
        <v>0.9881702</v>
      </c>
      <c r="Y1663">
        <v>-1.768722E-2</v>
      </c>
      <c r="Z1663">
        <v>-3.2577870000000001E-4</v>
      </c>
      <c r="AA1663">
        <v>0.9998435</v>
      </c>
      <c r="AB1663">
        <v>32</v>
      </c>
      <c r="AC1663">
        <v>108.617</v>
      </c>
      <c r="AD1663">
        <v>-1.1100782803679901</v>
      </c>
      <c r="AE1663">
        <v>6.3737999999999797</v>
      </c>
      <c r="AF1663">
        <v>-1.9298162217172099</v>
      </c>
      <c r="AG1663">
        <v>-1.1100782803679901</v>
      </c>
      <c r="AH1663">
        <v>108.775409270526</v>
      </c>
      <c r="AI1663">
        <v>90.584604431783006</v>
      </c>
      <c r="AJ1663">
        <v>91.016394485446796</v>
      </c>
      <c r="AK1663">
        <v>108.7981899041</v>
      </c>
      <c r="AL1663">
        <v>81.656275395033603</v>
      </c>
      <c r="AM1663">
        <v>92.874734805933798</v>
      </c>
      <c r="AN1663">
        <v>0.99999997283709197</v>
      </c>
    </row>
    <row r="1664" spans="1:40" x14ac:dyDescent="0.3">
      <c r="A1664" t="str">
        <f>"20200111150822524"</f>
        <v>20200111150822524</v>
      </c>
      <c r="B1664" t="str">
        <f>"1578726502514154"</f>
        <v>1578726502514154</v>
      </c>
      <c r="C1664" t="s">
        <v>40</v>
      </c>
      <c r="D1664">
        <v>10.08432</v>
      </c>
      <c r="E1664">
        <v>0.51845029999999903</v>
      </c>
      <c r="F1664" t="s">
        <v>55</v>
      </c>
      <c r="G1664">
        <v>-233.16730000000001</v>
      </c>
      <c r="H1664" s="1">
        <v>-5.1944479999999999E-8</v>
      </c>
      <c r="I1664">
        <v>219.20689999999999</v>
      </c>
      <c r="J1664">
        <v>-295.96690000000001</v>
      </c>
      <c r="K1664">
        <v>1.1100939999999999</v>
      </c>
      <c r="L1664">
        <v>215.36490000000001</v>
      </c>
      <c r="M1664">
        <v>0.99909870000000001</v>
      </c>
      <c r="N1664">
        <v>0</v>
      </c>
      <c r="O1664">
        <v>4.086215E-2</v>
      </c>
      <c r="P1664">
        <v>0.98646080000000003</v>
      </c>
      <c r="Q1664">
        <v>0.13583990000000001</v>
      </c>
      <c r="R1664">
        <v>9.188288E-2</v>
      </c>
      <c r="S1664">
        <v>3.0300600000000002</v>
      </c>
      <c r="T1664">
        <v>-5.2221179999999999E-2</v>
      </c>
      <c r="U1664">
        <v>0.1838379</v>
      </c>
      <c r="V1664">
        <v>-5.1488359999999997E-2</v>
      </c>
      <c r="W1664">
        <v>0.14720949999999999</v>
      </c>
      <c r="X1664">
        <v>0.98776430000000004</v>
      </c>
      <c r="Y1664">
        <v>-1.9722719999999999E-2</v>
      </c>
      <c r="Z1664">
        <v>-5.3343049999999995E-4</v>
      </c>
      <c r="AA1664">
        <v>0.99980530000000001</v>
      </c>
      <c r="AB1664">
        <v>32</v>
      </c>
      <c r="AC1664">
        <v>62.799599999999998</v>
      </c>
      <c r="AD1664">
        <v>-1.11009405194448</v>
      </c>
      <c r="AE1664">
        <v>3.8419999999999801</v>
      </c>
      <c r="AF1664">
        <v>-1.2720985555870601</v>
      </c>
      <c r="AG1664">
        <v>-1.11009405194448</v>
      </c>
      <c r="AH1664">
        <v>62.884569030910903</v>
      </c>
      <c r="AI1664">
        <v>91.0111239311844</v>
      </c>
      <c r="AJ1664">
        <v>91.158884284075995</v>
      </c>
      <c r="AK1664">
        <v>62.9072298368216</v>
      </c>
      <c r="AL1664">
        <v>81.534752548762398</v>
      </c>
      <c r="AM1664">
        <v>92.983908366705606</v>
      </c>
      <c r="AN1664">
        <v>1.0000000002301099</v>
      </c>
    </row>
    <row r="1665" spans="1:40" x14ac:dyDescent="0.3">
      <c r="A1665" t="str">
        <f>"20200111150823852"</f>
        <v>20200111150823852</v>
      </c>
      <c r="B1665" t="str">
        <f>"1578726503844077"</f>
        <v>1578726503844077</v>
      </c>
      <c r="C1665" t="s">
        <v>40</v>
      </c>
      <c r="D1665">
        <v>5.1516599999999997</v>
      </c>
      <c r="E1665">
        <v>0.56038369999999904</v>
      </c>
      <c r="F1665" t="s">
        <v>70</v>
      </c>
      <c r="G1665">
        <v>-157.8382</v>
      </c>
      <c r="H1665">
        <v>46.058489999999999</v>
      </c>
      <c r="I1665">
        <v>221.4641</v>
      </c>
      <c r="J1665">
        <v>-276.52679999999998</v>
      </c>
      <c r="K1665">
        <v>1.1090679999999999</v>
      </c>
      <c r="L1665">
        <v>215.8887</v>
      </c>
      <c r="M1665">
        <v>0.99993189999999998</v>
      </c>
      <c r="N1665">
        <v>0</v>
      </c>
      <c r="O1665" s="1">
        <v>-7.0642639999999996E-5</v>
      </c>
      <c r="P1665">
        <v>0.98965420000000004</v>
      </c>
      <c r="Q1665">
        <v>0.13533139999999999</v>
      </c>
      <c r="R1665">
        <v>4.7646300000000003E-2</v>
      </c>
      <c r="S1665">
        <v>2.899292</v>
      </c>
      <c r="T1665">
        <v>0.94345760000000001</v>
      </c>
      <c r="U1665">
        <v>0.1280212</v>
      </c>
      <c r="V1665">
        <v>-4.7345030000000003E-2</v>
      </c>
      <c r="W1665">
        <v>0.14700429999999901</v>
      </c>
      <c r="X1665">
        <v>0.98800209999999999</v>
      </c>
      <c r="Y1665">
        <v>-4.2015530000000002E-2</v>
      </c>
      <c r="Z1665">
        <v>-6.6835419999999998E-3</v>
      </c>
      <c r="AA1665">
        <v>0.99909460000000005</v>
      </c>
      <c r="AB1665">
        <v>33</v>
      </c>
      <c r="AC1665">
        <v>118.688599999999</v>
      </c>
      <c r="AD1665">
        <v>44.949421999999998</v>
      </c>
      <c r="AE1665">
        <v>5.5754000000000001</v>
      </c>
      <c r="AF1665">
        <v>-4.8847270092730497</v>
      </c>
      <c r="AG1665">
        <v>44.949421999999998</v>
      </c>
      <c r="AH1665">
        <v>103.82911970856</v>
      </c>
      <c r="AI1665">
        <v>66.614461827881101</v>
      </c>
      <c r="AJ1665">
        <v>92.6935414018904</v>
      </c>
      <c r="AK1665">
        <v>113.24662112197301</v>
      </c>
      <c r="AL1665">
        <v>81.546638811722005</v>
      </c>
      <c r="AM1665">
        <v>92.7435132643364</v>
      </c>
      <c r="AN1665">
        <v>0.99999998284430003</v>
      </c>
    </row>
    <row r="1666" spans="1:40" x14ac:dyDescent="0.3">
      <c r="A1666" t="str">
        <f>"20200111150823869"</f>
        <v>20200111150823869</v>
      </c>
      <c r="B1666" t="str">
        <f>"1578726503864574"</f>
        <v>1578726503864574</v>
      </c>
      <c r="C1666" t="s">
        <v>40</v>
      </c>
      <c r="D1666">
        <v>5.0592199999999998</v>
      </c>
      <c r="E1666">
        <v>0.56597509999999995</v>
      </c>
      <c r="F1666" t="s">
        <v>41</v>
      </c>
      <c r="G1666">
        <v>-275.71609999999998</v>
      </c>
      <c r="H1666">
        <v>1.016311</v>
      </c>
      <c r="I1666">
        <v>215.79929999999999</v>
      </c>
      <c r="J1666">
        <v>-276.2953</v>
      </c>
      <c r="K1666">
        <v>1.1090599999999999</v>
      </c>
      <c r="L1666">
        <v>215.8878</v>
      </c>
      <c r="M1666">
        <v>0.99993149999999997</v>
      </c>
      <c r="N1666">
        <v>0</v>
      </c>
      <c r="O1666">
        <v>-8.7551830000000004E-4</v>
      </c>
      <c r="P1666">
        <v>0.98973789999999995</v>
      </c>
      <c r="Q1666">
        <v>0.13504969999999999</v>
      </c>
      <c r="R1666">
        <v>4.6701029999999998E-2</v>
      </c>
      <c r="S1666">
        <v>3.096222</v>
      </c>
      <c r="T1666">
        <v>-0.35427950000000002</v>
      </c>
      <c r="U1666">
        <v>-0.34100340000000001</v>
      </c>
      <c r="V1666">
        <v>-4.7196729999999999E-2</v>
      </c>
      <c r="W1666">
        <v>0.1467241</v>
      </c>
      <c r="X1666">
        <v>0.98805089999999995</v>
      </c>
      <c r="Y1666">
        <v>0.107913</v>
      </c>
      <c r="Z1666">
        <v>-6.0358629999999998E-3</v>
      </c>
      <c r="AA1666">
        <v>0.99414199999999997</v>
      </c>
      <c r="AB1666">
        <v>33</v>
      </c>
      <c r="AC1666">
        <v>0.57920000000001404</v>
      </c>
      <c r="AD1666">
        <v>-9.2748999999999901E-2</v>
      </c>
      <c r="AE1666">
        <v>-8.8500000000010404E-2</v>
      </c>
      <c r="AF1666">
        <v>8.5841845605727898E-2</v>
      </c>
      <c r="AG1666">
        <v>-9.2748999999999901E-2</v>
      </c>
      <c r="AH1666">
        <v>0.56511682749443704</v>
      </c>
      <c r="AI1666">
        <v>99.216613980814699</v>
      </c>
      <c r="AJ1666">
        <v>81.362738282422697</v>
      </c>
      <c r="AK1666">
        <v>0.57907532167704601</v>
      </c>
      <c r="AL1666">
        <v>81.562869539269002</v>
      </c>
      <c r="AM1666">
        <v>92.734797884770899</v>
      </c>
      <c r="AN1666">
        <v>1.00000003691715</v>
      </c>
    </row>
    <row r="1667" spans="1:40" x14ac:dyDescent="0.3">
      <c r="A1667" t="str">
        <f>"20200111150823883"</f>
        <v>20200111150823883</v>
      </c>
      <c r="B1667" t="str">
        <f>"1578726503874334"</f>
        <v>1578726503874334</v>
      </c>
      <c r="C1667" t="s">
        <v>40</v>
      </c>
      <c r="D1667">
        <v>6.4368930000000004</v>
      </c>
      <c r="E1667">
        <v>0.56455219999999995</v>
      </c>
      <c r="F1667" t="s">
        <v>41</v>
      </c>
      <c r="G1667">
        <v>-275.41340000000002</v>
      </c>
      <c r="H1667">
        <v>1.0306550000000001</v>
      </c>
      <c r="I1667">
        <v>215.7766</v>
      </c>
      <c r="J1667">
        <v>-276.07909999999998</v>
      </c>
      <c r="K1667">
        <v>1.1090610000000001</v>
      </c>
      <c r="L1667">
        <v>215.8869</v>
      </c>
      <c r="M1667">
        <v>0.99993050000000006</v>
      </c>
      <c r="N1667">
        <v>0</v>
      </c>
      <c r="O1667">
        <v>-1.6265079999999901E-3</v>
      </c>
      <c r="P1667">
        <v>0.98983589999999999</v>
      </c>
      <c r="Q1667">
        <v>0.1347032</v>
      </c>
      <c r="R1667">
        <v>4.5608950000000002E-2</v>
      </c>
      <c r="S1667">
        <v>3.086884</v>
      </c>
      <c r="T1667">
        <v>-0.27453549999999999</v>
      </c>
      <c r="U1667">
        <v>-0.3879242</v>
      </c>
      <c r="V1667">
        <v>-4.6849099999999998E-2</v>
      </c>
      <c r="W1667">
        <v>0.14637839999999999</v>
      </c>
      <c r="X1667">
        <v>0.98811870000000002</v>
      </c>
      <c r="Y1667">
        <v>0.1226037</v>
      </c>
      <c r="Z1667">
        <v>-5.2762069999999998E-3</v>
      </c>
      <c r="AA1667">
        <v>0.99244169999999998</v>
      </c>
      <c r="AB1667">
        <v>33</v>
      </c>
      <c r="AC1667">
        <v>0.66569999999995799</v>
      </c>
      <c r="AD1667">
        <v>-7.8406000000000198E-2</v>
      </c>
      <c r="AE1667">
        <v>-0.110299999999995</v>
      </c>
      <c r="AF1667">
        <v>0.107762073001558</v>
      </c>
      <c r="AG1667">
        <v>-7.8406000000000198E-2</v>
      </c>
      <c r="AH1667">
        <v>0.65700799528853404</v>
      </c>
      <c r="AI1667">
        <v>96.716468723653605</v>
      </c>
      <c r="AJ1667">
        <v>80.685317325434497</v>
      </c>
      <c r="AK1667">
        <v>0.67038770206996801</v>
      </c>
      <c r="AL1667">
        <v>81.582892734268398</v>
      </c>
      <c r="AM1667">
        <v>92.714498841029993</v>
      </c>
      <c r="AN1667">
        <v>1.0000000197235299</v>
      </c>
    </row>
    <row r="1668" spans="1:40" x14ac:dyDescent="0.3">
      <c r="A1668" t="str">
        <f>"20200111150827494"</f>
        <v>20200111150827494</v>
      </c>
      <c r="B1668" t="str">
        <f>"1578726507484465"</f>
        <v>1578726507484465</v>
      </c>
      <c r="C1668" t="s">
        <v>40</v>
      </c>
      <c r="D1668">
        <v>5.1100779999999997</v>
      </c>
      <c r="E1668">
        <v>0.63022119999999904</v>
      </c>
      <c r="F1668" t="s">
        <v>54</v>
      </c>
      <c r="G1668">
        <v>-206.77969999999999</v>
      </c>
      <c r="H1668" s="1">
        <v>5.6502940000000002E-6</v>
      </c>
      <c r="I1668">
        <v>209.73419999999999</v>
      </c>
      <c r="J1668">
        <v>-222.15029999999999</v>
      </c>
      <c r="K1668">
        <v>1.110052</v>
      </c>
      <c r="L1668">
        <v>214.49700000000001</v>
      </c>
      <c r="M1668">
        <v>0.99987539999999997</v>
      </c>
      <c r="N1668">
        <v>0</v>
      </c>
      <c r="O1668">
        <v>-1.004561E-2</v>
      </c>
      <c r="P1668">
        <v>0.99153610000000003</v>
      </c>
      <c r="Q1668">
        <v>0.12744430000000001</v>
      </c>
      <c r="R1668">
        <v>2.478232E-2</v>
      </c>
      <c r="S1668">
        <v>3.076187</v>
      </c>
      <c r="T1668">
        <v>-0.21733469999999999</v>
      </c>
      <c r="U1668">
        <v>-0.93316650000000001</v>
      </c>
      <c r="V1668">
        <v>-3.4724850000000002E-2</v>
      </c>
      <c r="W1668">
        <v>0.1395149</v>
      </c>
      <c r="X1668">
        <v>0.98961089999999996</v>
      </c>
      <c r="Y1668">
        <v>0.28004469999999998</v>
      </c>
      <c r="Z1668">
        <v>-8.9706339999999999E-3</v>
      </c>
      <c r="AA1668">
        <v>0.95994500000000005</v>
      </c>
      <c r="AB1668">
        <v>34</v>
      </c>
      <c r="AC1668">
        <v>15.3705999999999</v>
      </c>
      <c r="AD1668">
        <v>-1.110046349706</v>
      </c>
      <c r="AE1668">
        <v>-4.7628000000000199</v>
      </c>
      <c r="AF1668">
        <v>4.5863164660641802</v>
      </c>
      <c r="AG1668">
        <v>-1.110046349706</v>
      </c>
      <c r="AH1668">
        <v>15.3446532574233</v>
      </c>
      <c r="AI1668">
        <v>93.964900036153296</v>
      </c>
      <c r="AJ1668">
        <v>73.359281572330502</v>
      </c>
      <c r="AK1668">
        <v>16.0538121708191</v>
      </c>
      <c r="AL1668">
        <v>81.980223239944706</v>
      </c>
      <c r="AM1668">
        <v>92.009649834755805</v>
      </c>
      <c r="AN1668">
        <v>0.99999997796417095</v>
      </c>
    </row>
    <row r="1669" spans="1:40" x14ac:dyDescent="0.3">
      <c r="A1669" t="str">
        <f>"20200111150827515"</f>
        <v>20200111150827515</v>
      </c>
      <c r="B1669" t="str">
        <f>"1578726507504961"</f>
        <v>1578726507504961</v>
      </c>
      <c r="C1669" t="s">
        <v>40</v>
      </c>
      <c r="D1669">
        <v>5.0969379999999997</v>
      </c>
      <c r="E1669">
        <v>0.63281209999999999</v>
      </c>
      <c r="F1669" t="s">
        <v>54</v>
      </c>
      <c r="G1669">
        <v>-208.3861</v>
      </c>
      <c r="H1669" s="1">
        <v>6.324892E-6</v>
      </c>
      <c r="I1669">
        <v>210.16650000000001</v>
      </c>
      <c r="J1669">
        <v>-221.82050000000001</v>
      </c>
      <c r="K1669">
        <v>1.110017</v>
      </c>
      <c r="L1669">
        <v>214.49369999999999</v>
      </c>
      <c r="M1669">
        <v>0.99987440000000005</v>
      </c>
      <c r="N1669">
        <v>0</v>
      </c>
      <c r="O1669">
        <v>-1.0140939999999999E-2</v>
      </c>
      <c r="P1669">
        <v>0.99152370000000001</v>
      </c>
      <c r="Q1669">
        <v>0.12750259999999999</v>
      </c>
      <c r="R1669">
        <v>2.4976970000000001E-2</v>
      </c>
      <c r="S1669">
        <v>3.0817869999999998</v>
      </c>
      <c r="T1669">
        <v>-0.2485385</v>
      </c>
      <c r="U1669">
        <v>-0.96960449999999998</v>
      </c>
      <c r="V1669">
        <v>-3.5003909999999999E-2</v>
      </c>
      <c r="W1669">
        <v>0.13957539999999999</v>
      </c>
      <c r="X1669">
        <v>0.98959260000000004</v>
      </c>
      <c r="Y1669">
        <v>0.28960570000000002</v>
      </c>
      <c r="Z1669">
        <v>-1.0588180000000001E-2</v>
      </c>
      <c r="AA1669">
        <v>0.95708749999999998</v>
      </c>
      <c r="AB1669">
        <v>34</v>
      </c>
      <c r="AC1669">
        <v>13.4344</v>
      </c>
      <c r="AD1669">
        <v>-1.1100106751080001</v>
      </c>
      <c r="AE1669">
        <v>-4.3271999999999702</v>
      </c>
      <c r="AF1669">
        <v>4.1649690800355401</v>
      </c>
      <c r="AG1669">
        <v>-1.1100106751080001</v>
      </c>
      <c r="AH1669">
        <v>13.3947461253765</v>
      </c>
      <c r="AI1669">
        <v>94.524499042312698</v>
      </c>
      <c r="AJ1669">
        <v>72.727414612925699</v>
      </c>
      <c r="AK1669">
        <v>14.071187401914401</v>
      </c>
      <c r="AL1669">
        <v>81.976723094776801</v>
      </c>
      <c r="AM1669">
        <v>92.025824051543495</v>
      </c>
      <c r="AN1669">
        <v>1.0000000399875999</v>
      </c>
    </row>
    <row r="1670" spans="1:40" x14ac:dyDescent="0.3">
      <c r="A1670" t="str">
        <f>"20200111150827538"</f>
        <v>20200111150827538</v>
      </c>
      <c r="B1670" t="str">
        <f>"1578726507534241"</f>
        <v>1578726507534241</v>
      </c>
      <c r="C1670" t="s">
        <v>40</v>
      </c>
      <c r="D1670">
        <v>5.0790259999999998</v>
      </c>
      <c r="E1670">
        <v>0.63461999999999996</v>
      </c>
      <c r="F1670" t="s">
        <v>54</v>
      </c>
      <c r="G1670">
        <v>-208.56010000000001</v>
      </c>
      <c r="H1670" s="1">
        <v>6.3956759999999998E-6</v>
      </c>
      <c r="I1670">
        <v>210.23929999999999</v>
      </c>
      <c r="J1670">
        <v>-221.48910000000001</v>
      </c>
      <c r="K1670">
        <v>1.1099730000000001</v>
      </c>
      <c r="L1670">
        <v>214.49019999999999</v>
      </c>
      <c r="M1670">
        <v>0.99987289999999995</v>
      </c>
      <c r="N1670">
        <v>0</v>
      </c>
      <c r="O1670">
        <v>-1.028623E-2</v>
      </c>
      <c r="P1670">
        <v>0.99160680000000001</v>
      </c>
      <c r="Q1670">
        <v>0.1269605</v>
      </c>
      <c r="R1670">
        <v>2.4437E-2</v>
      </c>
      <c r="S1670">
        <v>3.083755</v>
      </c>
      <c r="T1670">
        <v>-0.25813730000000001</v>
      </c>
      <c r="U1670">
        <v>-0.98936460000000004</v>
      </c>
      <c r="V1670">
        <v>-3.4596019999999998E-2</v>
      </c>
      <c r="W1670">
        <v>0.13903760000000001</v>
      </c>
      <c r="X1670">
        <v>0.98968259999999997</v>
      </c>
      <c r="Y1670">
        <v>0.294780599999999</v>
      </c>
      <c r="Z1670">
        <v>-1.1177889999999999E-2</v>
      </c>
      <c r="AA1670">
        <v>0.9554996</v>
      </c>
      <c r="AB1670">
        <v>34</v>
      </c>
      <c r="AC1670">
        <v>12.929</v>
      </c>
      <c r="AD1670">
        <v>-1.109966604324</v>
      </c>
      <c r="AE1670">
        <v>-4.2508999999999997</v>
      </c>
      <c r="AF1670">
        <v>4.0904673718206004</v>
      </c>
      <c r="AG1670">
        <v>-1.109966604324</v>
      </c>
      <c r="AH1670">
        <v>12.8863332441764</v>
      </c>
      <c r="AI1670">
        <v>94.693361611230202</v>
      </c>
      <c r="AJ1670">
        <v>72.389167382053301</v>
      </c>
      <c r="AK1670">
        <v>13.565453684363399</v>
      </c>
      <c r="AL1670">
        <v>82.0078398053912</v>
      </c>
      <c r="AM1670">
        <v>92.0020551305293</v>
      </c>
      <c r="AN1670">
        <v>0.99999999377818005</v>
      </c>
    </row>
    <row r="1671" spans="1:40" x14ac:dyDescent="0.3">
      <c r="A1671" t="str">
        <f>"20200111150827561"</f>
        <v>20200111150827561</v>
      </c>
      <c r="B1671" t="str">
        <f>"1578726507554736"</f>
        <v>1578726507554736</v>
      </c>
      <c r="C1671" t="s">
        <v>40</v>
      </c>
      <c r="D1671">
        <v>5.0827090000000004</v>
      </c>
      <c r="E1671">
        <v>0.63546659999999999</v>
      </c>
      <c r="F1671" t="s">
        <v>54</v>
      </c>
      <c r="G1671">
        <v>-208.4462</v>
      </c>
      <c r="H1671" s="1">
        <v>6.3450990000000002E-6</v>
      </c>
      <c r="I1671">
        <v>210.24039999999999</v>
      </c>
      <c r="J1671">
        <v>-221.14089999999999</v>
      </c>
      <c r="K1671">
        <v>1.109923</v>
      </c>
      <c r="L1671">
        <v>214.4864</v>
      </c>
      <c r="M1671">
        <v>0.9998705</v>
      </c>
      <c r="N1671">
        <v>0</v>
      </c>
      <c r="O1671">
        <v>-1.050861E-2</v>
      </c>
      <c r="P1671">
        <v>0.99183339999999998</v>
      </c>
      <c r="Q1671">
        <v>0.12538050000000001</v>
      </c>
      <c r="R1671">
        <v>2.3371530000000001E-2</v>
      </c>
      <c r="S1671">
        <v>3.083755</v>
      </c>
      <c r="T1671">
        <v>-0.26243169999999999</v>
      </c>
      <c r="U1671">
        <v>-1.004791</v>
      </c>
      <c r="V1671">
        <v>-3.3736580000000002E-2</v>
      </c>
      <c r="W1671">
        <v>0.1374649</v>
      </c>
      <c r="X1671">
        <v>0.98993189999999998</v>
      </c>
      <c r="Y1671">
        <v>0.2988518</v>
      </c>
      <c r="Z1671">
        <v>-1.150493E-2</v>
      </c>
      <c r="AA1671">
        <v>0.95423020000000003</v>
      </c>
      <c r="AB1671">
        <v>34</v>
      </c>
      <c r="AC1671">
        <v>12.6946999999999</v>
      </c>
      <c r="AD1671">
        <v>-1.109916654901</v>
      </c>
      <c r="AE1671">
        <v>-4.2460000000000004</v>
      </c>
      <c r="AF1671">
        <v>4.0842720014299996</v>
      </c>
      <c r="AG1671">
        <v>-1.109916654901</v>
      </c>
      <c r="AH1671">
        <v>12.6516399800934</v>
      </c>
      <c r="AI1671">
        <v>94.772359171419296</v>
      </c>
      <c r="AJ1671">
        <v>72.108597425662495</v>
      </c>
      <c r="AK1671">
        <v>13.3408090814759</v>
      </c>
      <c r="AL1671">
        <v>82.098822318959606</v>
      </c>
      <c r="AM1671">
        <v>91.951867435493398</v>
      </c>
      <c r="AN1671">
        <v>0.999999961099857</v>
      </c>
    </row>
    <row r="1672" spans="1:40" x14ac:dyDescent="0.3">
      <c r="A1672" t="str">
        <f>"20200111150827583"</f>
        <v>20200111150827583</v>
      </c>
      <c r="B1672" t="str">
        <f>"1578726507574256"</f>
        <v>1578726507574256</v>
      </c>
      <c r="C1672" t="s">
        <v>40</v>
      </c>
      <c r="D1672">
        <v>5.0929909999999996</v>
      </c>
      <c r="E1672">
        <v>0.6359534</v>
      </c>
      <c r="F1672" t="s">
        <v>54</v>
      </c>
      <c r="G1672">
        <v>-208.42179999999999</v>
      </c>
      <c r="H1672" s="1">
        <v>6.3292969999999998E-6</v>
      </c>
      <c r="I1672">
        <v>210.2972</v>
      </c>
      <c r="J1672">
        <v>-220.80719999999999</v>
      </c>
      <c r="K1672">
        <v>1.1098539999999999</v>
      </c>
      <c r="L1672">
        <v>214.48259999999999</v>
      </c>
      <c r="M1672">
        <v>0.99986739999999996</v>
      </c>
      <c r="N1672">
        <v>0</v>
      </c>
      <c r="O1672">
        <v>-1.080854E-2</v>
      </c>
      <c r="P1672">
        <v>0.99211629999999995</v>
      </c>
      <c r="Q1672">
        <v>0.1233633</v>
      </c>
      <c r="R1672">
        <v>2.2064810000000001E-2</v>
      </c>
      <c r="S1672">
        <v>3.082611</v>
      </c>
      <c r="T1672">
        <v>-0.26900079999999998</v>
      </c>
      <c r="U1672">
        <v>-1.0152890000000001</v>
      </c>
      <c r="V1672">
        <v>-3.2710990000000002E-2</v>
      </c>
      <c r="W1672">
        <v>0.13545639999999901</v>
      </c>
      <c r="X1672">
        <v>0.99024319999999999</v>
      </c>
      <c r="Y1672">
        <v>0.30154819999999999</v>
      </c>
      <c r="Z1672">
        <v>-1.1879000000000001E-2</v>
      </c>
      <c r="AA1672">
        <v>0.95337689999999997</v>
      </c>
      <c r="AB1672">
        <v>34</v>
      </c>
      <c r="AC1672">
        <v>12.385400000000001</v>
      </c>
      <c r="AD1672">
        <v>-1.1098476707030001</v>
      </c>
      <c r="AE1672">
        <v>-4.18539999999998</v>
      </c>
      <c r="AF1672">
        <v>4.0222894656304602</v>
      </c>
      <c r="AG1672">
        <v>-1.1098476707030001</v>
      </c>
      <c r="AH1672">
        <v>12.3409783962902</v>
      </c>
      <c r="AI1672">
        <v>94.887183383164398</v>
      </c>
      <c r="AJ1672">
        <v>71.947680648490604</v>
      </c>
      <c r="AK1672">
        <v>13.027291436641301</v>
      </c>
      <c r="AL1672">
        <v>82.214988049029301</v>
      </c>
      <c r="AM1672">
        <v>91.891980079419895</v>
      </c>
      <c r="AN1672">
        <v>1.0000000201569801</v>
      </c>
    </row>
    <row r="1673" spans="1:40" x14ac:dyDescent="0.3">
      <c r="A1673" t="str">
        <f>"20200111150827604"</f>
        <v>20200111150827604</v>
      </c>
      <c r="B1673" t="str">
        <f>"1578726507594752"</f>
        <v>1578726507594752</v>
      </c>
      <c r="C1673" t="s">
        <v>40</v>
      </c>
      <c r="D1673">
        <v>5.0256189999999998</v>
      </c>
      <c r="E1673">
        <v>0.63728370000000001</v>
      </c>
      <c r="F1673" t="s">
        <v>54</v>
      </c>
      <c r="G1673">
        <v>-208.62530000000001</v>
      </c>
      <c r="H1673" s="1">
        <v>6.407627E-6</v>
      </c>
      <c r="I1673">
        <v>210.43340000000001</v>
      </c>
      <c r="J1673">
        <v>-220.4854</v>
      </c>
      <c r="K1673">
        <v>1.109788</v>
      </c>
      <c r="L1673">
        <v>214.47880000000001</v>
      </c>
      <c r="M1673">
        <v>0.99986350000000002</v>
      </c>
      <c r="N1673">
        <v>0</v>
      </c>
      <c r="O1673">
        <v>-1.1167420000000001E-2</v>
      </c>
      <c r="P1673">
        <v>0.99234319999999998</v>
      </c>
      <c r="Q1673">
        <v>0.1216627</v>
      </c>
      <c r="R1673">
        <v>2.1289180000000001E-2</v>
      </c>
      <c r="S1673">
        <v>3.081512</v>
      </c>
      <c r="T1673">
        <v>-0.28074440000000001</v>
      </c>
      <c r="U1673">
        <v>-1.0242770000000001</v>
      </c>
      <c r="V1673">
        <v>-3.2273200000000002E-2</v>
      </c>
      <c r="W1673">
        <v>0.13376389999999999</v>
      </c>
      <c r="X1673">
        <v>0.99048760000000002</v>
      </c>
      <c r="Y1673">
        <v>0.30371749999999997</v>
      </c>
      <c r="Z1673">
        <v>-1.245863E-2</v>
      </c>
      <c r="AA1673">
        <v>0.95268059999999999</v>
      </c>
      <c r="AB1673">
        <v>34</v>
      </c>
      <c r="AC1673">
        <v>11.8600999999999</v>
      </c>
      <c r="AD1673">
        <v>-1.1097815923729999</v>
      </c>
      <c r="AE1673">
        <v>-4.0453999999999999</v>
      </c>
      <c r="AF1673">
        <v>3.8822414924080002</v>
      </c>
      <c r="AG1673">
        <v>-1.1097815923729999</v>
      </c>
      <c r="AH1673">
        <v>11.811895848770501</v>
      </c>
      <c r="AI1673">
        <v>95.100541985240199</v>
      </c>
      <c r="AJ1673">
        <v>71.805744597295003</v>
      </c>
      <c r="AK1673">
        <v>12.4829602951522</v>
      </c>
      <c r="AL1673">
        <v>82.3128518056145</v>
      </c>
      <c r="AM1673">
        <v>91.866216385610201</v>
      </c>
      <c r="AN1673">
        <v>1.0000000130675999</v>
      </c>
    </row>
    <row r="1674" spans="1:40" x14ac:dyDescent="0.3">
      <c r="A1674" t="str">
        <f>"20200111150827626"</f>
        <v>20200111150827626</v>
      </c>
      <c r="B1674" t="str">
        <f>"1578726507614272"</f>
        <v>1578726507614272</v>
      </c>
      <c r="C1674" t="s">
        <v>40</v>
      </c>
      <c r="D1674">
        <v>5.0507460000000002</v>
      </c>
      <c r="E1674">
        <v>0.63794139999999999</v>
      </c>
      <c r="F1674" t="s">
        <v>54</v>
      </c>
      <c r="G1674">
        <v>-208.30099999999999</v>
      </c>
      <c r="H1674" s="1">
        <v>6.2695069999999998E-6</v>
      </c>
      <c r="I1674">
        <v>210.3681</v>
      </c>
      <c r="J1674">
        <v>-220.15309999999999</v>
      </c>
      <c r="K1674">
        <v>1.1097079999999999</v>
      </c>
      <c r="L1674">
        <v>214.47460000000001</v>
      </c>
      <c r="M1674">
        <v>0.99985800000000002</v>
      </c>
      <c r="N1674">
        <v>0</v>
      </c>
      <c r="O1674">
        <v>-1.165106E-2</v>
      </c>
      <c r="P1674">
        <v>0.99235430000000002</v>
      </c>
      <c r="Q1674">
        <v>0.1217536</v>
      </c>
      <c r="R1674">
        <v>2.022355E-2</v>
      </c>
      <c r="S1674">
        <v>3.0798190000000001</v>
      </c>
      <c r="T1674">
        <v>-0.28051549999999997</v>
      </c>
      <c r="U1674">
        <v>-1.039032</v>
      </c>
      <c r="V1674">
        <v>-3.1660189999999998E-2</v>
      </c>
      <c r="W1674">
        <v>0.13386129999999999</v>
      </c>
      <c r="X1674">
        <v>0.99049419999999999</v>
      </c>
      <c r="Y1674">
        <v>0.30750539999999998</v>
      </c>
      <c r="Z1674">
        <v>-1.2570609999999999E-2</v>
      </c>
      <c r="AA1674">
        <v>0.95146330000000001</v>
      </c>
      <c r="AB1674">
        <v>34</v>
      </c>
      <c r="AC1674">
        <v>11.8521</v>
      </c>
      <c r="AD1674">
        <v>-1.1097017304929999</v>
      </c>
      <c r="AE1674">
        <v>-4.1065000000000103</v>
      </c>
      <c r="AF1674">
        <v>3.9373048761803702</v>
      </c>
      <c r="AG1674">
        <v>-1.1097017304929999</v>
      </c>
      <c r="AH1674">
        <v>11.8067348164507</v>
      </c>
      <c r="AI1674">
        <v>95.095119519115798</v>
      </c>
      <c r="AJ1674">
        <v>71.557510522833795</v>
      </c>
      <c r="AK1674">
        <v>12.4953109062817</v>
      </c>
      <c r="AL1674">
        <v>82.307220357024505</v>
      </c>
      <c r="AM1674">
        <v>91.830780895064294</v>
      </c>
      <c r="AN1674">
        <v>0.99999998775108301</v>
      </c>
    </row>
    <row r="1675" spans="1:40" x14ac:dyDescent="0.3">
      <c r="A1675" t="str">
        <f>"20200111150827649"</f>
        <v>20200111150827649</v>
      </c>
      <c r="B1675" t="str">
        <f>"1578726507644528"</f>
        <v>1578726507644528</v>
      </c>
      <c r="C1675" t="s">
        <v>40</v>
      </c>
      <c r="D1675">
        <v>4.8487239999999998</v>
      </c>
      <c r="E1675">
        <v>0.638741</v>
      </c>
      <c r="F1675" t="s">
        <v>54</v>
      </c>
      <c r="G1675">
        <v>-207.73480000000001</v>
      </c>
      <c r="H1675" s="1">
        <v>6.029965E-6</v>
      </c>
      <c r="I1675">
        <v>210.23650000000001</v>
      </c>
      <c r="J1675">
        <v>-219.8092</v>
      </c>
      <c r="K1675">
        <v>1.1096010000000001</v>
      </c>
      <c r="L1675">
        <v>214.47</v>
      </c>
      <c r="M1675">
        <v>0.99984969999999995</v>
      </c>
      <c r="N1675">
        <v>0</v>
      </c>
      <c r="O1675">
        <v>-1.2335240000000001E-2</v>
      </c>
      <c r="P1675">
        <v>0.99217219999999995</v>
      </c>
      <c r="Q1675">
        <v>0.12338349999999999</v>
      </c>
      <c r="R1675">
        <v>1.925839E-2</v>
      </c>
      <c r="S1675">
        <v>3.0782620000000001</v>
      </c>
      <c r="T1675">
        <v>-0.27507540000000003</v>
      </c>
      <c r="U1675">
        <v>-1.0505519999999999</v>
      </c>
      <c r="V1675">
        <v>-3.13301E-2</v>
      </c>
      <c r="W1675">
        <v>0.13549839999999999</v>
      </c>
      <c r="X1675">
        <v>0.99028210000000005</v>
      </c>
      <c r="Y1675">
        <v>0.31022739999999999</v>
      </c>
      <c r="Z1675">
        <v>-1.2385210000000001E-2</v>
      </c>
      <c r="AA1675">
        <v>0.95058169999999997</v>
      </c>
      <c r="AB1675">
        <v>34</v>
      </c>
      <c r="AC1675">
        <v>12.074399999999899</v>
      </c>
      <c r="AD1675">
        <v>-1.1095949700350001</v>
      </c>
      <c r="AE1675">
        <v>-4.2334999999999896</v>
      </c>
      <c r="AF1675">
        <v>4.0537402172656298</v>
      </c>
      <c r="AG1675">
        <v>-1.1095949700350001</v>
      </c>
      <c r="AH1675">
        <v>12.0351961969137</v>
      </c>
      <c r="AI1675">
        <v>94.993407769788405</v>
      </c>
      <c r="AJ1675">
        <v>71.385251217958398</v>
      </c>
      <c r="AK1675">
        <v>12.747939372495001</v>
      </c>
      <c r="AL1675">
        <v>82.2125591899798</v>
      </c>
      <c r="AM1675">
        <v>91.812093686323095</v>
      </c>
      <c r="AN1675">
        <v>1.0000000145744901</v>
      </c>
    </row>
    <row r="1676" spans="1:40" x14ac:dyDescent="0.3">
      <c r="A1676" t="str">
        <f>"20200111150827705"</f>
        <v>20200111150827705</v>
      </c>
      <c r="B1676" t="str">
        <f>"1578726507694305"</f>
        <v>1578726507694305</v>
      </c>
      <c r="C1676" t="s">
        <v>40</v>
      </c>
      <c r="D1676">
        <v>5.2229479999999997</v>
      </c>
      <c r="E1676">
        <v>0.62899189999999905</v>
      </c>
      <c r="F1676" t="s">
        <v>54</v>
      </c>
      <c r="G1676">
        <v>-206.60069999999999</v>
      </c>
      <c r="H1676" s="1">
        <v>5.555371E-6</v>
      </c>
      <c r="I1676">
        <v>209.91239999999999</v>
      </c>
      <c r="J1676">
        <v>-218.97669999999999</v>
      </c>
      <c r="K1676">
        <v>1.109111</v>
      </c>
      <c r="L1676">
        <v>214.45660000000001</v>
      </c>
      <c r="M1676">
        <v>0.99980970000000002</v>
      </c>
      <c r="N1676">
        <v>0</v>
      </c>
      <c r="O1676">
        <v>-1.5226689999999999E-2</v>
      </c>
      <c r="P1676">
        <v>0.99085489999999998</v>
      </c>
      <c r="Q1676">
        <v>0.1332594</v>
      </c>
      <c r="R1676">
        <v>2.1182530000000001E-2</v>
      </c>
      <c r="S1676">
        <v>3.076416</v>
      </c>
      <c r="T1676">
        <v>-0.25843919999999998</v>
      </c>
      <c r="U1676">
        <v>-1.061523</v>
      </c>
      <c r="V1676">
        <v>-3.5899189999999997E-2</v>
      </c>
      <c r="W1676">
        <v>0.1454174</v>
      </c>
      <c r="X1676">
        <v>0.98871889999999996</v>
      </c>
      <c r="Y1676">
        <v>0.31081809999999999</v>
      </c>
      <c r="Z1676">
        <v>-1.1427390000000001E-2</v>
      </c>
      <c r="AA1676">
        <v>0.95040069999999999</v>
      </c>
      <c r="AB1676">
        <v>34</v>
      </c>
      <c r="AC1676">
        <v>12.375999999999999</v>
      </c>
      <c r="AD1676">
        <v>-1.1091054446289901</v>
      </c>
      <c r="AE1676">
        <v>-4.5442000000000098</v>
      </c>
      <c r="AF1676">
        <v>4.3246076949271499</v>
      </c>
      <c r="AG1676">
        <v>-1.1091054446289901</v>
      </c>
      <c r="AH1676">
        <v>12.356315833234399</v>
      </c>
      <c r="AI1676">
        <v>94.842599632450103</v>
      </c>
      <c r="AJ1676">
        <v>70.710378633910906</v>
      </c>
      <c r="AK1676">
        <v>13.1381462761292</v>
      </c>
      <c r="AL1676">
        <v>81.638549509050904</v>
      </c>
      <c r="AM1676">
        <v>92.079427137042103</v>
      </c>
      <c r="AN1676">
        <v>1.00000001764131</v>
      </c>
    </row>
    <row r="1677" spans="1:40" x14ac:dyDescent="0.3">
      <c r="A1677" t="str">
        <f>"20200111150827727"</f>
        <v>20200111150827727</v>
      </c>
      <c r="B1677" t="str">
        <f>"1578726507724560"</f>
        <v>1578726507724560</v>
      </c>
      <c r="C1677" t="s">
        <v>40</v>
      </c>
      <c r="D1677">
        <v>5.2404539999999997</v>
      </c>
      <c r="E1677">
        <v>0.58705699999999905</v>
      </c>
      <c r="F1677" t="s">
        <v>73</v>
      </c>
      <c r="G1677">
        <v>-168.42</v>
      </c>
      <c r="H1677">
        <v>20.070509999999999</v>
      </c>
      <c r="I1677">
        <v>197.96180000000001</v>
      </c>
      <c r="J1677">
        <v>-218.63489999999999</v>
      </c>
      <c r="K1677">
        <v>1.108798</v>
      </c>
      <c r="L1677">
        <v>214.4496</v>
      </c>
      <c r="M1677">
        <v>0.99977910000000003</v>
      </c>
      <c r="N1677">
        <v>0</v>
      </c>
      <c r="O1677">
        <v>-1.7117770000000001E-2</v>
      </c>
      <c r="P1677">
        <v>0.99026020000000003</v>
      </c>
      <c r="Q1677">
        <v>0.1374156</v>
      </c>
      <c r="R1677">
        <v>2.2404569999999999E-2</v>
      </c>
      <c r="S1677">
        <v>2.9015659999999999</v>
      </c>
      <c r="T1677">
        <v>1.0882400000000001</v>
      </c>
      <c r="U1677">
        <v>-0.94667049999999997</v>
      </c>
      <c r="V1677">
        <v>-3.8852640000000001E-2</v>
      </c>
      <c r="W1677">
        <v>0.14961350000000001</v>
      </c>
      <c r="X1677">
        <v>0.98798090000000005</v>
      </c>
      <c r="Y1677">
        <v>0.27779900000000002</v>
      </c>
      <c r="Z1677">
        <v>4.3159330000000003E-2</v>
      </c>
      <c r="AA1677">
        <v>0.9596692</v>
      </c>
      <c r="AB1677">
        <v>34</v>
      </c>
      <c r="AC1677">
        <v>50.2149</v>
      </c>
      <c r="AD1677">
        <v>18.961711999999999</v>
      </c>
      <c r="AE1677">
        <v>-16.487799999999901</v>
      </c>
      <c r="AF1677">
        <v>13.843859581581899</v>
      </c>
      <c r="AG1677">
        <v>18.961711999999999</v>
      </c>
      <c r="AH1677">
        <v>44.732158854535101</v>
      </c>
      <c r="AI1677">
        <v>67.954761200042995</v>
      </c>
      <c r="AJ1677">
        <v>72.803572879625705</v>
      </c>
      <c r="AK1677">
        <v>50.518956896128202</v>
      </c>
      <c r="AL1677">
        <v>81.395470948542595</v>
      </c>
      <c r="AM1677">
        <v>92.252012993067893</v>
      </c>
      <c r="AN1677">
        <v>0.99999999289101404</v>
      </c>
    </row>
    <row r="1678" spans="1:40" x14ac:dyDescent="0.3">
      <c r="A1678" t="str">
        <f>"20200111150827749"</f>
        <v>20200111150827749</v>
      </c>
      <c r="B1678" t="str">
        <f>"1578726507745059"</f>
        <v>1578726507745059</v>
      </c>
      <c r="C1678" t="s">
        <v>40</v>
      </c>
      <c r="D1678">
        <v>5.1762439999999996</v>
      </c>
      <c r="E1678">
        <v>0.58643849999999997</v>
      </c>
      <c r="F1678" t="s">
        <v>54</v>
      </c>
      <c r="G1678">
        <v>-197.43770000000001</v>
      </c>
      <c r="H1678" s="1">
        <v>3.048367E-6</v>
      </c>
      <c r="I1678">
        <v>210.00550000000001</v>
      </c>
      <c r="J1678">
        <v>-218.2953</v>
      </c>
      <c r="K1678">
        <v>1.108444</v>
      </c>
      <c r="L1678">
        <v>214.4417</v>
      </c>
      <c r="M1678">
        <v>0.99973659999999998</v>
      </c>
      <c r="N1678">
        <v>0</v>
      </c>
      <c r="O1678">
        <v>-1.9432069999999999E-2</v>
      </c>
      <c r="P1678">
        <v>0.98982440000000005</v>
      </c>
      <c r="Q1678">
        <v>0.14031579999999999</v>
      </c>
      <c r="R1678">
        <v>2.3644910000000002E-2</v>
      </c>
      <c r="S1678">
        <v>3.0663149999999999</v>
      </c>
      <c r="T1678">
        <v>-0.16039500000000001</v>
      </c>
      <c r="U1678">
        <v>-0.64288330000000005</v>
      </c>
      <c r="V1678">
        <v>-4.2232609999999997E-2</v>
      </c>
      <c r="W1678">
        <v>0.15256700000000001</v>
      </c>
      <c r="X1678">
        <v>0.98739030000000005</v>
      </c>
      <c r="Y1678">
        <v>0.1859219</v>
      </c>
      <c r="Z1678">
        <v>-3.8027989999999999E-3</v>
      </c>
      <c r="AA1678">
        <v>0.98255720000000002</v>
      </c>
      <c r="AB1678">
        <v>34</v>
      </c>
      <c r="AC1678">
        <v>20.857599999999898</v>
      </c>
      <c r="AD1678">
        <v>-1.1084409516329901</v>
      </c>
      <c r="AE1678">
        <v>-4.4361999999999799</v>
      </c>
      <c r="AF1678">
        <v>4.0191659671466704</v>
      </c>
      <c r="AG1678">
        <v>-1.1084409516329901</v>
      </c>
      <c r="AH1678">
        <v>20.883445452464901</v>
      </c>
      <c r="AI1678">
        <v>92.983613363744496</v>
      </c>
      <c r="AJ1678">
        <v>79.106221695369697</v>
      </c>
      <c r="AK1678">
        <v>21.295554239812699</v>
      </c>
      <c r="AL1678">
        <v>81.224282112417896</v>
      </c>
      <c r="AM1678">
        <v>92.449159499084104</v>
      </c>
      <c r="AN1678">
        <v>0.99999994368524903</v>
      </c>
    </row>
    <row r="1679" spans="1:40" x14ac:dyDescent="0.3">
      <c r="A1679" t="str">
        <f>"20200111150827772"</f>
        <v>20200111150827772</v>
      </c>
      <c r="B1679" t="str">
        <f>"1578726507764576"</f>
        <v>1578726507764576</v>
      </c>
      <c r="C1679" t="s">
        <v>40</v>
      </c>
      <c r="D1679">
        <v>5.1470580000000004</v>
      </c>
      <c r="E1679">
        <v>0.58664479999999997</v>
      </c>
      <c r="F1679" t="s">
        <v>54</v>
      </c>
      <c r="G1679">
        <v>-196.8603</v>
      </c>
      <c r="H1679" s="1">
        <v>3.1501920000000001E-6</v>
      </c>
      <c r="I1679">
        <v>210.01230000000001</v>
      </c>
      <c r="J1679">
        <v>-217.95689999999999</v>
      </c>
      <c r="K1679">
        <v>1.1080810000000001</v>
      </c>
      <c r="L1679">
        <v>214.4325</v>
      </c>
      <c r="M1679">
        <v>0.9996794</v>
      </c>
      <c r="N1679">
        <v>0</v>
      </c>
      <c r="O1679">
        <v>-2.2176580000000001E-2</v>
      </c>
      <c r="P1679">
        <v>0.98970630000000004</v>
      </c>
      <c r="Q1679">
        <v>0.14126129999999901</v>
      </c>
      <c r="R1679">
        <v>2.294918E-2</v>
      </c>
      <c r="S1679">
        <v>3.068451</v>
      </c>
      <c r="T1679">
        <v>-0.15867490000000001</v>
      </c>
      <c r="U1679">
        <v>-0.63406370000000001</v>
      </c>
      <c r="V1679">
        <v>-4.411172E-2</v>
      </c>
      <c r="W1679">
        <v>0.15357019999999999</v>
      </c>
      <c r="X1679">
        <v>0.98715260000000005</v>
      </c>
      <c r="Y1679">
        <v>0.18039269999999999</v>
      </c>
      <c r="Z1679">
        <v>-3.479027E-3</v>
      </c>
      <c r="AA1679">
        <v>0.98358849999999998</v>
      </c>
      <c r="AB1679">
        <v>34</v>
      </c>
      <c r="AC1679">
        <v>21.096599999999899</v>
      </c>
      <c r="AD1679">
        <v>-1.1080778498079999</v>
      </c>
      <c r="AE1679">
        <v>-4.4201999999999897</v>
      </c>
      <c r="AF1679">
        <v>3.9408128056681702</v>
      </c>
      <c r="AG1679">
        <v>-1.1080778498079999</v>
      </c>
      <c r="AH1679">
        <v>21.133592250582801</v>
      </c>
      <c r="AI1679">
        <v>92.950619213362302</v>
      </c>
      <c r="AJ1679">
        <v>79.437282254377493</v>
      </c>
      <c r="AK1679">
        <v>21.526415482017601</v>
      </c>
      <c r="AL1679">
        <v>81.166117626199394</v>
      </c>
      <c r="AM1679">
        <v>92.558606571386704</v>
      </c>
      <c r="AN1679">
        <v>0.99999995292807797</v>
      </c>
    </row>
    <row r="1680" spans="1:40" x14ac:dyDescent="0.3">
      <c r="A1680" t="str">
        <f>"20200111150827794"</f>
        <v>20200111150827794</v>
      </c>
      <c r="B1680" t="str">
        <f>"1578726507785072"</f>
        <v>1578726507785072</v>
      </c>
      <c r="C1680" t="s">
        <v>40</v>
      </c>
      <c r="D1680">
        <v>5.1464089999999896</v>
      </c>
      <c r="E1680">
        <v>0.58747209999999905</v>
      </c>
      <c r="F1680" t="s">
        <v>54</v>
      </c>
      <c r="G1680">
        <v>-196.9776</v>
      </c>
      <c r="H1680" s="1">
        <v>3.1240570000000002E-6</v>
      </c>
      <c r="I1680">
        <v>210.07320000000001</v>
      </c>
      <c r="J1680">
        <v>-217.6276</v>
      </c>
      <c r="K1680">
        <v>1.1077220000000001</v>
      </c>
      <c r="L1680">
        <v>214.42230000000001</v>
      </c>
      <c r="M1680">
        <v>0.99960570000000004</v>
      </c>
      <c r="N1680">
        <v>0</v>
      </c>
      <c r="O1680">
        <v>-2.527335E-2</v>
      </c>
      <c r="P1680">
        <v>0.98980400000000002</v>
      </c>
      <c r="Q1680">
        <v>0.14078019999999999</v>
      </c>
      <c r="R1680">
        <v>2.1657320000000001E-2</v>
      </c>
      <c r="S1680">
        <v>3.0691069999999998</v>
      </c>
      <c r="T1680">
        <v>-0.16210339999999901</v>
      </c>
      <c r="U1680">
        <v>-0.63772580000000001</v>
      </c>
      <c r="V1680">
        <v>-4.5758859999999998E-2</v>
      </c>
      <c r="W1680">
        <v>0.15315090000000001</v>
      </c>
      <c r="X1680">
        <v>0.98714279999999999</v>
      </c>
      <c r="Y1680">
        <v>0.17842720000000001</v>
      </c>
      <c r="Z1680">
        <v>-3.3401020000000002E-3</v>
      </c>
      <c r="AA1680">
        <v>0.98394749999999997</v>
      </c>
      <c r="AB1680">
        <v>34</v>
      </c>
      <c r="AC1680">
        <v>20.65</v>
      </c>
      <c r="AD1680">
        <v>-1.1077188759429999</v>
      </c>
      <c r="AE1680">
        <v>-4.3490999999999902</v>
      </c>
      <c r="AF1680">
        <v>3.81526461744467</v>
      </c>
      <c r="AG1680">
        <v>-1.1077188759429999</v>
      </c>
      <c r="AH1680">
        <v>20.696302809632101</v>
      </c>
      <c r="AI1680">
        <v>93.013020547478007</v>
      </c>
      <c r="AJ1680">
        <v>79.555060402632805</v>
      </c>
      <c r="AK1680">
        <v>21.074160367550299</v>
      </c>
      <c r="AL1680">
        <v>81.1904296731648</v>
      </c>
      <c r="AM1680">
        <v>92.654037586361795</v>
      </c>
      <c r="AN1680">
        <v>0.99999998951557401</v>
      </c>
    </row>
    <row r="1681" spans="1:40" x14ac:dyDescent="0.3">
      <c r="A1681" t="str">
        <f>"20200111150827816"</f>
        <v>20200111150827816</v>
      </c>
      <c r="B1681" t="str">
        <f>"1578726507804592"</f>
        <v>1578726507804592</v>
      </c>
      <c r="C1681" t="s">
        <v>40</v>
      </c>
      <c r="D1681">
        <v>5.126214</v>
      </c>
      <c r="E1681">
        <v>0.58832640000000003</v>
      </c>
      <c r="F1681" t="s">
        <v>54</v>
      </c>
      <c r="G1681">
        <v>-197.0805</v>
      </c>
      <c r="H1681" s="1">
        <v>3.105002E-6</v>
      </c>
      <c r="I1681">
        <v>210.08250000000001</v>
      </c>
      <c r="J1681">
        <v>-217.29409999999999</v>
      </c>
      <c r="K1681">
        <v>1.107367</v>
      </c>
      <c r="L1681">
        <v>214.41059999999999</v>
      </c>
      <c r="M1681">
        <v>0.9995096</v>
      </c>
      <c r="N1681">
        <v>0</v>
      </c>
      <c r="O1681">
        <v>-2.8816230000000002E-2</v>
      </c>
      <c r="P1681">
        <v>0.99012060000000002</v>
      </c>
      <c r="Q1681">
        <v>0.13881459999999901</v>
      </c>
      <c r="R1681">
        <v>1.9790510000000001E-2</v>
      </c>
      <c r="S1681">
        <v>3.068619</v>
      </c>
      <c r="T1681">
        <v>-0.16543269999999999</v>
      </c>
      <c r="U1681">
        <v>-0.64813229999999999</v>
      </c>
      <c r="V1681">
        <v>-4.7292710000000002E-2</v>
      </c>
      <c r="W1681">
        <v>0.1512521</v>
      </c>
      <c r="X1681">
        <v>0.98736330000000005</v>
      </c>
      <c r="Y1681">
        <v>0.1781644</v>
      </c>
      <c r="Z1681">
        <v>-3.2124979999999998E-3</v>
      </c>
      <c r="AA1681">
        <v>0.98399550000000002</v>
      </c>
      <c r="AB1681">
        <v>34</v>
      </c>
      <c r="AC1681">
        <v>20.2135999999999</v>
      </c>
      <c r="AD1681">
        <v>-1.107363894998</v>
      </c>
      <c r="AE1681">
        <v>-4.3280999999999699</v>
      </c>
      <c r="AF1681">
        <v>3.7330663855403001</v>
      </c>
      <c r="AG1681">
        <v>-1.107363894998</v>
      </c>
      <c r="AH1681">
        <v>20.271761067361201</v>
      </c>
      <c r="AI1681">
        <v>93.075123194758504</v>
      </c>
      <c r="AJ1681">
        <v>79.565819765073897</v>
      </c>
      <c r="AK1681">
        <v>20.642343282848898</v>
      </c>
      <c r="AL1681">
        <v>81.300505818568197</v>
      </c>
      <c r="AM1681">
        <v>92.742256411978502</v>
      </c>
      <c r="AN1681">
        <v>1.00000004218022</v>
      </c>
    </row>
    <row r="1682" spans="1:40" x14ac:dyDescent="0.3">
      <c r="A1682" t="str">
        <f>"20200111150827838"</f>
        <v>20200111150827838</v>
      </c>
      <c r="B1682" t="str">
        <f>"1578726507834848"</f>
        <v>1578726507834848</v>
      </c>
      <c r="C1682" t="s">
        <v>40</v>
      </c>
      <c r="D1682">
        <v>5.1070140000000004</v>
      </c>
      <c r="E1682">
        <v>0.58969090000000002</v>
      </c>
      <c r="F1682" t="s">
        <v>54</v>
      </c>
      <c r="G1682">
        <v>-197.45339999999999</v>
      </c>
      <c r="H1682" s="1">
        <v>3.0337779999999999E-6</v>
      </c>
      <c r="I1682">
        <v>210.1405</v>
      </c>
      <c r="J1682">
        <v>-216.95330000000001</v>
      </c>
      <c r="K1682">
        <v>1.1070230000000001</v>
      </c>
      <c r="L1682">
        <v>214.39699999999999</v>
      </c>
      <c r="M1682">
        <v>0.99938629999999995</v>
      </c>
      <c r="N1682">
        <v>0</v>
      </c>
      <c r="O1682">
        <v>-3.2811359999999998E-2</v>
      </c>
      <c r="P1682">
        <v>0.99057240000000002</v>
      </c>
      <c r="Q1682">
        <v>0.13601060000000001</v>
      </c>
      <c r="R1682">
        <v>1.635033E-2</v>
      </c>
      <c r="S1682">
        <v>3.067123</v>
      </c>
      <c r="T1682">
        <v>-0.17118449999999999</v>
      </c>
      <c r="U1682">
        <v>-0.66009519999999899</v>
      </c>
      <c r="V1682">
        <v>-4.7722359999999998E-2</v>
      </c>
      <c r="W1682">
        <v>0.14851059999999999</v>
      </c>
      <c r="X1682">
        <v>0.98775869999999999</v>
      </c>
      <c r="Y1682">
        <v>0.1779907</v>
      </c>
      <c r="Z1682">
        <v>-3.0996420000000001E-3</v>
      </c>
      <c r="AA1682">
        <v>0.98402730000000005</v>
      </c>
      <c r="AB1682">
        <v>34</v>
      </c>
      <c r="AC1682">
        <v>19.4999</v>
      </c>
      <c r="AD1682">
        <v>-1.1070199662219999</v>
      </c>
      <c r="AE1682">
        <v>-4.2565000000000097</v>
      </c>
      <c r="AF1682">
        <v>3.6032566684573202</v>
      </c>
      <c r="AG1682">
        <v>-1.1070199662219999</v>
      </c>
      <c r="AH1682">
        <v>19.5688709697265</v>
      </c>
      <c r="AI1682">
        <v>93.184377834717907</v>
      </c>
      <c r="AJ1682">
        <v>79.566872536969498</v>
      </c>
      <c r="AK1682">
        <v>19.928614172947398</v>
      </c>
      <c r="AL1682">
        <v>81.459376797995304</v>
      </c>
      <c r="AM1682">
        <v>92.766025054023103</v>
      </c>
      <c r="AN1682">
        <v>1.0000000356909999</v>
      </c>
    </row>
    <row r="1683" spans="1:40" x14ac:dyDescent="0.3">
      <c r="A1683" t="str">
        <f>"20200111150827863"</f>
        <v>20200111150827863</v>
      </c>
      <c r="B1683" t="str">
        <f>"1578726507854372"</f>
        <v>1578726507854372</v>
      </c>
      <c r="C1683" t="s">
        <v>40</v>
      </c>
      <c r="D1683">
        <v>5.1491429999999996</v>
      </c>
      <c r="E1683">
        <v>0.59064749999999999</v>
      </c>
      <c r="F1683" t="s">
        <v>54</v>
      </c>
      <c r="G1683">
        <v>-198.3349</v>
      </c>
      <c r="H1683" s="1">
        <v>2.8671500000000002E-6</v>
      </c>
      <c r="I1683">
        <v>210.25790000000001</v>
      </c>
      <c r="J1683">
        <v>-216.6026</v>
      </c>
      <c r="K1683">
        <v>1.106706</v>
      </c>
      <c r="L1683">
        <v>214.3811</v>
      </c>
      <c r="M1683">
        <v>0.99922909999999998</v>
      </c>
      <c r="N1683">
        <v>0</v>
      </c>
      <c r="O1683">
        <v>-3.7286930000000003E-2</v>
      </c>
      <c r="P1683">
        <v>0.99117359999999999</v>
      </c>
      <c r="Q1683">
        <v>0.13217390000000001</v>
      </c>
      <c r="R1683">
        <v>1.0248169999999999E-2</v>
      </c>
      <c r="S1683">
        <v>3.0648040000000001</v>
      </c>
      <c r="T1683">
        <v>-0.1822289</v>
      </c>
      <c r="U1683">
        <v>-0.68135069999999998</v>
      </c>
      <c r="V1683">
        <v>-4.599864E-2</v>
      </c>
      <c r="W1683">
        <v>0.14471919999999999</v>
      </c>
      <c r="X1683">
        <v>0.98840300000000003</v>
      </c>
      <c r="Y1683">
        <v>0.1802243</v>
      </c>
      <c r="Z1683">
        <v>-3.102844E-3</v>
      </c>
      <c r="AA1683">
        <v>0.98362059999999996</v>
      </c>
      <c r="AB1683">
        <v>34</v>
      </c>
      <c r="AC1683">
        <v>18.267699999999898</v>
      </c>
      <c r="AD1683">
        <v>-1.1067031328500001</v>
      </c>
      <c r="AE1683">
        <v>-4.12319999999999</v>
      </c>
      <c r="AF1683">
        <v>3.4271656760417399</v>
      </c>
      <c r="AG1683">
        <v>-1.1067031328500001</v>
      </c>
      <c r="AH1683">
        <v>18.344682224811201</v>
      </c>
      <c r="AI1683">
        <v>93.393795309117294</v>
      </c>
      <c r="AJ1683">
        <v>79.417950630258005</v>
      </c>
      <c r="AK1683">
        <v>18.694855504245101</v>
      </c>
      <c r="AL1683">
        <v>81.678981025526497</v>
      </c>
      <c r="AM1683">
        <v>92.664528247229498</v>
      </c>
      <c r="AN1683">
        <v>1.00000000606974</v>
      </c>
    </row>
    <row r="1684" spans="1:40" x14ac:dyDescent="0.3">
      <c r="A1684" t="str">
        <f>"20200111150827884"</f>
        <v>20200111150827884</v>
      </c>
      <c r="B1684" t="str">
        <f>"1578726507874864"</f>
        <v>1578726507874864</v>
      </c>
      <c r="C1684" t="s">
        <v>40</v>
      </c>
      <c r="D1684">
        <v>5.1151879999999998</v>
      </c>
      <c r="E1684">
        <v>0.59067780000000003</v>
      </c>
      <c r="F1684" t="s">
        <v>54</v>
      </c>
      <c r="G1684">
        <v>-199.27010000000001</v>
      </c>
      <c r="H1684" s="1">
        <v>2.6911770000000002E-6</v>
      </c>
      <c r="I1684">
        <v>210.3733</v>
      </c>
      <c r="J1684">
        <v>-216.27330000000001</v>
      </c>
      <c r="K1684">
        <v>1.10643799999999</v>
      </c>
      <c r="L1684">
        <v>214.3646</v>
      </c>
      <c r="M1684">
        <v>0.99905259999999996</v>
      </c>
      <c r="N1684">
        <v>0</v>
      </c>
      <c r="O1684">
        <v>-4.1745570000000003E-2</v>
      </c>
      <c r="P1684">
        <v>0.99151579999999995</v>
      </c>
      <c r="Q1684">
        <v>0.12996469999999999</v>
      </c>
      <c r="R1684">
        <v>2.4011850000000001E-3</v>
      </c>
      <c r="S1684">
        <v>3.0600890000000001</v>
      </c>
      <c r="T1684">
        <v>-0.19539110000000001</v>
      </c>
      <c r="U1684">
        <v>-0.7075958</v>
      </c>
      <c r="V1684">
        <v>-4.2520599999999999E-2</v>
      </c>
      <c r="W1684">
        <v>0.14252719999999999</v>
      </c>
      <c r="X1684">
        <v>0.98887709999999995</v>
      </c>
      <c r="Y1684">
        <v>0.18414269999999999</v>
      </c>
      <c r="Z1684">
        <v>-3.1719209999999999E-3</v>
      </c>
      <c r="AA1684">
        <v>0.98289439999999995</v>
      </c>
      <c r="AB1684">
        <v>34</v>
      </c>
      <c r="AC1684">
        <v>17.0031999999999</v>
      </c>
      <c r="AD1684">
        <v>-1.1064353088229999</v>
      </c>
      <c r="AE1684">
        <v>-3.9912999999999901</v>
      </c>
      <c r="AF1684">
        <v>3.2648555223242499</v>
      </c>
      <c r="AG1684">
        <v>-1.1064353088229999</v>
      </c>
      <c r="AH1684">
        <v>17.086435167739602</v>
      </c>
      <c r="AI1684">
        <v>93.639364795861198</v>
      </c>
      <c r="AJ1684">
        <v>79.182387684752896</v>
      </c>
      <c r="AK1684">
        <v>17.430712762696398</v>
      </c>
      <c r="AL1684">
        <v>81.805888760011896</v>
      </c>
      <c r="AM1684">
        <v>92.462137228093297</v>
      </c>
      <c r="AN1684">
        <v>0.99999996153430404</v>
      </c>
    </row>
    <row r="1685" spans="1:40" x14ac:dyDescent="0.3">
      <c r="A1685" t="str">
        <f>"20200111150827906"</f>
        <v>20200111150827906</v>
      </c>
      <c r="B1685" t="str">
        <f>"1578726507894385"</f>
        <v>1578726507894385</v>
      </c>
      <c r="C1685" t="s">
        <v>40</v>
      </c>
      <c r="D1685">
        <v>5.0021409999999999</v>
      </c>
      <c r="E1685">
        <v>0.59067780000000003</v>
      </c>
      <c r="F1685" t="s">
        <v>54</v>
      </c>
      <c r="G1685">
        <v>-200.08179999999999</v>
      </c>
      <c r="H1685" s="1">
        <v>2.6152800000000001E-6</v>
      </c>
      <c r="I1685">
        <v>210.47550000000001</v>
      </c>
      <c r="J1685">
        <v>-215.9462</v>
      </c>
      <c r="K1685">
        <v>1.1062160000000001</v>
      </c>
      <c r="L1685">
        <v>214.3466</v>
      </c>
      <c r="M1685">
        <v>0.99884890000000004</v>
      </c>
      <c r="N1685">
        <v>0</v>
      </c>
      <c r="O1685">
        <v>-4.6361960000000001E-2</v>
      </c>
      <c r="P1685">
        <v>0.99162079999999997</v>
      </c>
      <c r="Q1685">
        <v>0.12910579999999999</v>
      </c>
      <c r="R1685">
        <v>-4.5169720000000002E-3</v>
      </c>
      <c r="S1685">
        <v>3.0548250000000001</v>
      </c>
      <c r="T1685">
        <v>-0.2087504</v>
      </c>
      <c r="U1685">
        <v>-0.73376459999999999</v>
      </c>
      <c r="V1685">
        <v>-4.0125750000000002E-2</v>
      </c>
      <c r="W1685">
        <v>0.1416828</v>
      </c>
      <c r="X1685">
        <v>0.98909849999999999</v>
      </c>
      <c r="Y1685">
        <v>0.18790989999999999</v>
      </c>
      <c r="Z1685">
        <v>-3.2079370000000001E-3</v>
      </c>
      <c r="AA1685">
        <v>0.98218099999999997</v>
      </c>
      <c r="AB1685">
        <v>34</v>
      </c>
      <c r="AC1685">
        <v>15.8644</v>
      </c>
      <c r="AD1685">
        <v>-1.10621338472</v>
      </c>
      <c r="AE1685">
        <v>-3.8710999999999798</v>
      </c>
      <c r="AF1685">
        <v>3.1170723607814801</v>
      </c>
      <c r="AG1685">
        <v>-1.10621338472</v>
      </c>
      <c r="AH1685">
        <v>15.9536137111476</v>
      </c>
      <c r="AI1685">
        <v>93.893123332804905</v>
      </c>
      <c r="AJ1685">
        <v>78.9446263168672</v>
      </c>
      <c r="AK1685">
        <v>16.2928707906065</v>
      </c>
      <c r="AL1685">
        <v>81.854765385465996</v>
      </c>
      <c r="AM1685">
        <v>92.323101436343094</v>
      </c>
      <c r="AN1685">
        <v>0.99999996716557504</v>
      </c>
    </row>
    <row r="1686" spans="1:40" x14ac:dyDescent="0.3">
      <c r="A1686" t="str">
        <f>"20200111150827928"</f>
        <v>20200111150827928</v>
      </c>
      <c r="B1686" t="str">
        <f>"1578726507924641"</f>
        <v>1578726507924641</v>
      </c>
      <c r="C1686" t="s">
        <v>40</v>
      </c>
      <c r="D1686">
        <v>4.7960640000000003</v>
      </c>
      <c r="E1686">
        <v>0.66331450000000003</v>
      </c>
      <c r="F1686" t="s">
        <v>54</v>
      </c>
      <c r="G1686">
        <v>-199.79339999999999</v>
      </c>
      <c r="H1686" s="1">
        <v>2.6017469999999998E-6</v>
      </c>
      <c r="I1686">
        <v>210.33439999999999</v>
      </c>
      <c r="J1686">
        <v>-215.607</v>
      </c>
      <c r="K1686">
        <v>1.106025</v>
      </c>
      <c r="L1686">
        <v>214.3261</v>
      </c>
      <c r="M1686">
        <v>0.99860640000000001</v>
      </c>
      <c r="N1686">
        <v>0</v>
      </c>
      <c r="O1686">
        <v>-5.1316319999999999E-2</v>
      </c>
      <c r="P1686">
        <v>0.99161010000000005</v>
      </c>
      <c r="Q1686">
        <v>0.1288472</v>
      </c>
      <c r="R1686">
        <v>-1.03778E-2</v>
      </c>
      <c r="S1686">
        <v>3.0490879999999998</v>
      </c>
      <c r="T1686">
        <v>-0.208815</v>
      </c>
      <c r="U1686">
        <v>-0.75735469999999905</v>
      </c>
      <c r="V1686">
        <v>-3.9123900000000003E-2</v>
      </c>
      <c r="W1686">
        <v>0.1414445</v>
      </c>
      <c r="X1686">
        <v>0.98917279999999996</v>
      </c>
      <c r="Y1686">
        <v>0.19063140000000001</v>
      </c>
      <c r="Z1686">
        <v>-2.971142E-3</v>
      </c>
      <c r="AA1686">
        <v>0.98165720000000001</v>
      </c>
      <c r="AB1686">
        <v>34</v>
      </c>
      <c r="AC1686">
        <v>15.813599999999999</v>
      </c>
      <c r="AD1686">
        <v>-1.106022398253</v>
      </c>
      <c r="AE1686">
        <v>-3.9916999999999998</v>
      </c>
      <c r="AF1686">
        <v>3.1603488682854901</v>
      </c>
      <c r="AG1686">
        <v>-1.106022398253</v>
      </c>
      <c r="AH1686">
        <v>15.924384184999701</v>
      </c>
      <c r="AI1686">
        <v>93.897309480485006</v>
      </c>
      <c r="AJ1686">
        <v>78.774949715290305</v>
      </c>
      <c r="AK1686">
        <v>16.272587445952698</v>
      </c>
      <c r="AL1686">
        <v>81.868558363640005</v>
      </c>
      <c r="AM1686">
        <v>92.264990027626197</v>
      </c>
      <c r="AN1686">
        <v>1.00000002719564</v>
      </c>
    </row>
    <row r="1687" spans="1:40" x14ac:dyDescent="0.3">
      <c r="A1687" t="str">
        <f>"20200111150827951"</f>
        <v>20200111150827951</v>
      </c>
      <c r="B1687" t="str">
        <f>"1578726507944160"</f>
        <v>1578726507944160</v>
      </c>
      <c r="C1687" t="s">
        <v>40</v>
      </c>
      <c r="D1687">
        <v>6.8466750000000003</v>
      </c>
      <c r="E1687">
        <v>0.67149689999999995</v>
      </c>
      <c r="F1687" t="s">
        <v>73</v>
      </c>
      <c r="G1687">
        <v>-169.71780000000001</v>
      </c>
      <c r="H1687">
        <v>13.57621</v>
      </c>
      <c r="I1687">
        <v>193.511</v>
      </c>
      <c r="J1687">
        <v>-215.26169999999999</v>
      </c>
      <c r="K1687">
        <v>1.105855</v>
      </c>
      <c r="L1687">
        <v>214.30340000000001</v>
      </c>
      <c r="M1687">
        <v>0.99832549999999998</v>
      </c>
      <c r="N1687">
        <v>0</v>
      </c>
      <c r="O1687">
        <v>-5.6515339999999997E-2</v>
      </c>
      <c r="P1687">
        <v>0.99158690000000005</v>
      </c>
      <c r="Q1687">
        <v>0.12852640000000001</v>
      </c>
      <c r="R1687">
        <v>-1.53597E-2</v>
      </c>
      <c r="S1687">
        <v>2.9088750000000001</v>
      </c>
      <c r="T1687">
        <v>0.79047429999999996</v>
      </c>
      <c r="U1687">
        <v>-1.3194429999999999</v>
      </c>
      <c r="V1687">
        <v>-3.9252910000000002E-2</v>
      </c>
      <c r="W1687">
        <v>0.14115179999999999</v>
      </c>
      <c r="X1687">
        <v>0.98920949999999996</v>
      </c>
      <c r="Y1687">
        <v>0.35209020000000002</v>
      </c>
      <c r="Z1687">
        <v>3.0530060000000001E-2</v>
      </c>
      <c r="AA1687">
        <v>0.93546799999999997</v>
      </c>
      <c r="AB1687">
        <v>34</v>
      </c>
      <c r="AC1687">
        <v>45.543899999999901</v>
      </c>
      <c r="AD1687">
        <v>12.470355</v>
      </c>
      <c r="AE1687">
        <v>-20.792400000000001</v>
      </c>
      <c r="AF1687">
        <v>17.122729645621199</v>
      </c>
      <c r="AG1687">
        <v>12.470355</v>
      </c>
      <c r="AH1687">
        <v>43.921358515185197</v>
      </c>
      <c r="AI1687">
        <v>75.182770849619601</v>
      </c>
      <c r="AJ1687">
        <v>68.701690057924594</v>
      </c>
      <c r="AK1687">
        <v>48.7625200144793</v>
      </c>
      <c r="AL1687">
        <v>81.885498808348999</v>
      </c>
      <c r="AM1687">
        <v>92.272366733376799</v>
      </c>
      <c r="AN1687">
        <v>1.00000002823847</v>
      </c>
    </row>
    <row r="1688" spans="1:40" x14ac:dyDescent="0.3">
      <c r="A1688" t="str">
        <f>"20200111150827973"</f>
        <v>20200111150827973</v>
      </c>
      <c r="B1688" t="str">
        <f>"1578726507964656"</f>
        <v>1578726507964656</v>
      </c>
      <c r="C1688" t="s">
        <v>40</v>
      </c>
      <c r="D1688">
        <v>5.0383909999999998</v>
      </c>
      <c r="E1688">
        <v>0.67017159999999998</v>
      </c>
      <c r="F1688" t="s">
        <v>73</v>
      </c>
      <c r="G1688">
        <v>-169.7182</v>
      </c>
      <c r="H1688">
        <v>13.759840000000001</v>
      </c>
      <c r="I1688">
        <v>192.32380000000001</v>
      </c>
      <c r="J1688">
        <v>-214.93629999999999</v>
      </c>
      <c r="K1688">
        <v>1.105704</v>
      </c>
      <c r="L1688">
        <v>214.28030000000001</v>
      </c>
      <c r="M1688">
        <v>0.99802780000000002</v>
      </c>
      <c r="N1688">
        <v>0</v>
      </c>
      <c r="O1688">
        <v>-6.1546429999999999E-2</v>
      </c>
      <c r="P1688">
        <v>0.99175610000000003</v>
      </c>
      <c r="Q1688">
        <v>0.12686310000000001</v>
      </c>
      <c r="R1688">
        <v>-1.8038780000000001E-2</v>
      </c>
      <c r="S1688">
        <v>2.8993530000000001</v>
      </c>
      <c r="T1688">
        <v>0.80557060000000003</v>
      </c>
      <c r="U1688">
        <v>-1.399246</v>
      </c>
      <c r="V1688">
        <v>-4.1549629999999997E-2</v>
      </c>
      <c r="W1688">
        <v>0.13953859999999901</v>
      </c>
      <c r="X1688">
        <v>0.98934449999999996</v>
      </c>
      <c r="Y1688">
        <v>0.36897049999999998</v>
      </c>
      <c r="Z1688">
        <v>3.1916159999999999E-2</v>
      </c>
      <c r="AA1688">
        <v>0.92889299999999997</v>
      </c>
      <c r="AB1688">
        <v>34</v>
      </c>
      <c r="AC1688">
        <v>45.2180999999999</v>
      </c>
      <c r="AD1688">
        <v>12.654135999999999</v>
      </c>
      <c r="AE1688">
        <v>-21.956499999999998</v>
      </c>
      <c r="AF1688">
        <v>17.991480546728301</v>
      </c>
      <c r="AG1688">
        <v>12.654135999999999</v>
      </c>
      <c r="AH1688">
        <v>43.7135759439293</v>
      </c>
      <c r="AI1688">
        <v>75.013746034333906</v>
      </c>
      <c r="AJ1688">
        <v>67.629085735246093</v>
      </c>
      <c r="AK1688">
        <v>48.935643982433398</v>
      </c>
      <c r="AL1688">
        <v>81.978851820770998</v>
      </c>
      <c r="AM1688">
        <v>92.404845133564095</v>
      </c>
      <c r="AN1688">
        <v>0.99999996616167197</v>
      </c>
    </row>
    <row r="1689" spans="1:40" x14ac:dyDescent="0.3">
      <c r="A1689" t="str">
        <f>"20200111150827994"</f>
        <v>20200111150827994</v>
      </c>
      <c r="B1689" t="str">
        <f>"1578726507985152"</f>
        <v>1578726507985152</v>
      </c>
      <c r="C1689" t="s">
        <v>40</v>
      </c>
      <c r="D1689">
        <v>5.0110729999999997</v>
      </c>
      <c r="E1689">
        <v>0.66770010000000002</v>
      </c>
      <c r="F1689" t="s">
        <v>73</v>
      </c>
      <c r="G1689">
        <v>-169.7183</v>
      </c>
      <c r="H1689">
        <v>14.150460000000001</v>
      </c>
      <c r="I1689">
        <v>192.46860000000001</v>
      </c>
      <c r="J1689">
        <v>-214.59960000000001</v>
      </c>
      <c r="K1689">
        <v>1.105542</v>
      </c>
      <c r="L1689">
        <v>214.25450000000001</v>
      </c>
      <c r="M1689">
        <v>0.99768389999999996</v>
      </c>
      <c r="N1689">
        <v>0</v>
      </c>
      <c r="O1689">
        <v>-6.689001E-2</v>
      </c>
      <c r="P1689">
        <v>0.99182190000000003</v>
      </c>
      <c r="Q1689">
        <v>0.12606129999999999</v>
      </c>
      <c r="R1689">
        <v>-1.9954240000000002E-2</v>
      </c>
      <c r="S1689">
        <v>2.892792</v>
      </c>
      <c r="T1689">
        <v>0.83453149999999998</v>
      </c>
      <c r="U1689">
        <v>-1.395386</v>
      </c>
      <c r="V1689">
        <v>-4.4904979999999997E-2</v>
      </c>
      <c r="W1689">
        <v>0.13880010000000001</v>
      </c>
      <c r="X1689">
        <v>0.98930180000000001</v>
      </c>
      <c r="Y1689">
        <v>0.36346630000000002</v>
      </c>
      <c r="Z1689">
        <v>3.0936399999999999E-2</v>
      </c>
      <c r="AA1689">
        <v>0.93109359999999997</v>
      </c>
      <c r="AB1689">
        <v>34</v>
      </c>
      <c r="AC1689">
        <v>44.881300000000003</v>
      </c>
      <c r="AD1689">
        <v>13.044917999999999</v>
      </c>
      <c r="AE1689">
        <v>-21.785900000000002</v>
      </c>
      <c r="AF1689">
        <v>17.5358356590888</v>
      </c>
      <c r="AG1689">
        <v>13.044917999999999</v>
      </c>
      <c r="AH1689">
        <v>43.279142972288099</v>
      </c>
      <c r="AI1689">
        <v>74.392099417223704</v>
      </c>
      <c r="AJ1689">
        <v>67.943201627477606</v>
      </c>
      <c r="AK1689">
        <v>48.484632970716099</v>
      </c>
      <c r="AL1689">
        <v>82.021580744403494</v>
      </c>
      <c r="AM1689">
        <v>92.598904653591802</v>
      </c>
      <c r="AN1689">
        <v>0.99999998823602498</v>
      </c>
    </row>
    <row r="1690" spans="1:40" x14ac:dyDescent="0.3">
      <c r="A1690" t="str">
        <f>"20200111150828017"</f>
        <v>20200111150828017</v>
      </c>
      <c r="B1690" t="str">
        <f>"1578726508014432"</f>
        <v>1578726508014432</v>
      </c>
      <c r="C1690" t="s">
        <v>40</v>
      </c>
      <c r="D1690">
        <v>4.9352900000000002</v>
      </c>
      <c r="E1690">
        <v>0.66835140000000004</v>
      </c>
      <c r="F1690" t="s">
        <v>54</v>
      </c>
      <c r="G1690">
        <v>-200.3954</v>
      </c>
      <c r="H1690">
        <v>8.0001260000000005E-2</v>
      </c>
      <c r="I1690">
        <v>207.5718</v>
      </c>
      <c r="J1690">
        <v>-214.26400000000001</v>
      </c>
      <c r="K1690">
        <v>1.105369</v>
      </c>
      <c r="L1690">
        <v>214.2268</v>
      </c>
      <c r="M1690">
        <v>0.99730099999999999</v>
      </c>
      <c r="N1690">
        <v>0</v>
      </c>
      <c r="O1690">
        <v>-7.237275E-2</v>
      </c>
      <c r="P1690">
        <v>0.9918013</v>
      </c>
      <c r="Q1690">
        <v>0.12600149999999999</v>
      </c>
      <c r="R1690">
        <v>-2.1307320000000001E-2</v>
      </c>
      <c r="S1690">
        <v>3.0238489999999998</v>
      </c>
      <c r="T1690">
        <v>-0.2183215</v>
      </c>
      <c r="U1690">
        <v>-1.4226379999999901</v>
      </c>
      <c r="V1690">
        <v>-4.8944429999999997E-2</v>
      </c>
      <c r="W1690">
        <v>0.13881559999999901</v>
      </c>
      <c r="X1690">
        <v>0.98910799999999999</v>
      </c>
      <c r="Y1690">
        <v>0.35849750000000002</v>
      </c>
      <c r="Z1690">
        <v>-7.34558E-3</v>
      </c>
      <c r="AA1690">
        <v>0.93350180000000005</v>
      </c>
      <c r="AB1690">
        <v>34</v>
      </c>
      <c r="AC1690">
        <v>13.868600000000001</v>
      </c>
      <c r="AD1690">
        <v>-1.0253677400000001</v>
      </c>
      <c r="AE1690">
        <v>-6.6550000000000002</v>
      </c>
      <c r="AF1690">
        <v>5.6088390185186201</v>
      </c>
      <c r="AG1690">
        <v>-1.0253677400000001</v>
      </c>
      <c r="AH1690">
        <v>14.2505855908421</v>
      </c>
      <c r="AI1690">
        <v>93.830431843194205</v>
      </c>
      <c r="AJ1690">
        <v>68.516067667662597</v>
      </c>
      <c r="AK1690">
        <v>15.3489297288054</v>
      </c>
      <c r="AL1690">
        <v>82.020683927211607</v>
      </c>
      <c r="AM1690">
        <v>92.832879465738998</v>
      </c>
      <c r="AN1690">
        <v>0.99999998184769201</v>
      </c>
    </row>
    <row r="1691" spans="1:40" x14ac:dyDescent="0.3">
      <c r="A1691" t="str">
        <f>"20200111150828040"</f>
        <v>20200111150828040</v>
      </c>
      <c r="B1691" t="str">
        <f>"1578726508034928"</f>
        <v>1578726508034928</v>
      </c>
      <c r="C1691" t="s">
        <v>40</v>
      </c>
      <c r="D1691">
        <v>4.9360470000000003</v>
      </c>
      <c r="E1691">
        <v>0.66892839999999998</v>
      </c>
      <c r="F1691" t="s">
        <v>54</v>
      </c>
      <c r="G1691">
        <v>-198.91399999999999</v>
      </c>
      <c r="H1691" s="1">
        <v>3.5293170000000001E-6</v>
      </c>
      <c r="I1691">
        <v>206.93969999999999</v>
      </c>
      <c r="J1691">
        <v>-213.922</v>
      </c>
      <c r="K1691">
        <v>1.105189</v>
      </c>
      <c r="L1691">
        <v>214.19649999999999</v>
      </c>
      <c r="M1691">
        <v>0.99686410000000003</v>
      </c>
      <c r="N1691">
        <v>0</v>
      </c>
      <c r="O1691">
        <v>-7.8156799999999998E-2</v>
      </c>
      <c r="P1691">
        <v>0.99164629999999998</v>
      </c>
      <c r="Q1691">
        <v>0.12687979999999999</v>
      </c>
      <c r="R1691">
        <v>-2.3221760000000001E-2</v>
      </c>
      <c r="S1691">
        <v>3.0216059999999998</v>
      </c>
      <c r="T1691">
        <v>-0.217587</v>
      </c>
      <c r="U1691">
        <v>-1.4344479999999999</v>
      </c>
      <c r="V1691">
        <v>-5.2696850000000003E-2</v>
      </c>
      <c r="W1691">
        <v>0.13977229999999999</v>
      </c>
      <c r="X1691">
        <v>0.9887804</v>
      </c>
      <c r="Y1691">
        <v>0.35635299999999998</v>
      </c>
      <c r="Z1691">
        <v>-6.8561749999999999E-3</v>
      </c>
      <c r="AA1691">
        <v>0.9343262</v>
      </c>
      <c r="AB1691">
        <v>34</v>
      </c>
      <c r="AC1691">
        <v>15.0079999999999</v>
      </c>
      <c r="AD1691">
        <v>-1.105185470683</v>
      </c>
      <c r="AE1691">
        <v>-7.2567999999999904</v>
      </c>
      <c r="AF1691">
        <v>6.0350061927253797</v>
      </c>
      <c r="AG1691">
        <v>-1.105185470683</v>
      </c>
      <c r="AH1691">
        <v>15.4613405685595</v>
      </c>
      <c r="AI1691">
        <v>93.809575337902899</v>
      </c>
      <c r="AJ1691">
        <v>68.677867473382705</v>
      </c>
      <c r="AK1691">
        <v>16.6341752680386</v>
      </c>
      <c r="AL1691">
        <v>81.965329281669497</v>
      </c>
      <c r="AM1691">
        <v>93.050680763463703</v>
      </c>
      <c r="AN1691">
        <v>0.99999996663568502</v>
      </c>
    </row>
    <row r="1692" spans="1:40" x14ac:dyDescent="0.3">
      <c r="A1692" t="str">
        <f>"20200111150828062"</f>
        <v>20200111150828062</v>
      </c>
      <c r="B1692" t="str">
        <f>"1578726508054449"</f>
        <v>1578726508054449</v>
      </c>
      <c r="C1692" t="s">
        <v>40</v>
      </c>
      <c r="D1692">
        <v>4.9707739999999996</v>
      </c>
      <c r="E1692">
        <v>0.66980019999999996</v>
      </c>
      <c r="F1692" t="s">
        <v>54</v>
      </c>
      <c r="G1692">
        <v>-198.15129999999999</v>
      </c>
      <c r="H1692" s="1">
        <v>3.7434739999999999E-6</v>
      </c>
      <c r="I1692">
        <v>206.64179999999999</v>
      </c>
      <c r="J1692">
        <v>-213.59139999999999</v>
      </c>
      <c r="K1692">
        <v>1.1049910000000001</v>
      </c>
      <c r="L1692">
        <v>214.16499999999999</v>
      </c>
      <c r="M1692">
        <v>0.99639009999999995</v>
      </c>
      <c r="N1692">
        <v>0</v>
      </c>
      <c r="O1692">
        <v>-8.3982520000000005E-2</v>
      </c>
      <c r="P1692">
        <v>0.99134230000000001</v>
      </c>
      <c r="Q1692">
        <v>0.12848789999999999</v>
      </c>
      <c r="R1692">
        <v>-2.7041079999999999E-2</v>
      </c>
      <c r="S1692">
        <v>3.018494</v>
      </c>
      <c r="T1692">
        <v>-0.21153060000000001</v>
      </c>
      <c r="U1692">
        <v>-1.445953</v>
      </c>
      <c r="V1692">
        <v>-5.4565849999999999E-2</v>
      </c>
      <c r="W1692">
        <v>0.1414435</v>
      </c>
      <c r="X1692">
        <v>0.98844129999999997</v>
      </c>
      <c r="Y1692">
        <v>0.35421380000000002</v>
      </c>
      <c r="Z1692">
        <v>-6.2135899999999997E-3</v>
      </c>
      <c r="AA1692">
        <v>0.93514379999999997</v>
      </c>
      <c r="AB1692">
        <v>34</v>
      </c>
      <c r="AC1692">
        <v>15.440099999999999</v>
      </c>
      <c r="AD1692">
        <v>-1.1049872565259999</v>
      </c>
      <c r="AE1692">
        <v>-7.5232000000000001</v>
      </c>
      <c r="AF1692">
        <v>6.1742644598122398</v>
      </c>
      <c r="AG1692">
        <v>-1.1049872565259999</v>
      </c>
      <c r="AH1692">
        <v>15.9513876818868</v>
      </c>
      <c r="AI1692">
        <v>93.696265783482303</v>
      </c>
      <c r="AJ1692">
        <v>68.840196694116401</v>
      </c>
      <c r="AK1692">
        <v>17.140283178367699</v>
      </c>
      <c r="AL1692">
        <v>81.868615606173293</v>
      </c>
      <c r="AM1692">
        <v>93.159745386377594</v>
      </c>
      <c r="AN1692">
        <v>0.99999994961207905</v>
      </c>
    </row>
    <row r="1693" spans="1:40" x14ac:dyDescent="0.3">
      <c r="A1693" t="str">
        <f>"20200111150828084"</f>
        <v>20200111150828084</v>
      </c>
      <c r="B1693" t="str">
        <f>"1578726508074944"</f>
        <v>1578726508074944</v>
      </c>
      <c r="C1693" t="s">
        <v>40</v>
      </c>
      <c r="D1693">
        <v>5.0162269999999998</v>
      </c>
      <c r="E1693">
        <v>0.67001180000000005</v>
      </c>
      <c r="F1693" t="s">
        <v>54</v>
      </c>
      <c r="G1693">
        <v>-197.56800000000001</v>
      </c>
      <c r="H1693" s="1">
        <v>3.9164310000000001E-6</v>
      </c>
      <c r="I1693">
        <v>206.3794</v>
      </c>
      <c r="J1693">
        <v>-213.25559999999999</v>
      </c>
      <c r="K1693">
        <v>1.104795</v>
      </c>
      <c r="L1693">
        <v>214.13079999999999</v>
      </c>
      <c r="M1693">
        <v>0.99585489999999999</v>
      </c>
      <c r="N1693">
        <v>0</v>
      </c>
      <c r="O1693">
        <v>-9.0105790000000005E-2</v>
      </c>
      <c r="P1693">
        <v>0.9910755</v>
      </c>
      <c r="Q1693">
        <v>0.12945580000000001</v>
      </c>
      <c r="R1693">
        <v>-3.1786780000000001E-2</v>
      </c>
      <c r="S1693">
        <v>3.0132140000000001</v>
      </c>
      <c r="T1693">
        <v>-0.20779320000000001</v>
      </c>
      <c r="U1693">
        <v>-1.464081</v>
      </c>
      <c r="V1693">
        <v>-5.5817810000000002E-2</v>
      </c>
      <c r="W1693">
        <v>0.1424725</v>
      </c>
      <c r="X1693">
        <v>0.98822359999999998</v>
      </c>
      <c r="Y1693">
        <v>0.35369830000000002</v>
      </c>
      <c r="Z1693">
        <v>-5.6951619999999897E-3</v>
      </c>
      <c r="AA1693">
        <v>0.93534220000000001</v>
      </c>
      <c r="AB1693">
        <v>34</v>
      </c>
      <c r="AC1693">
        <v>15.6876</v>
      </c>
      <c r="AD1693">
        <v>-1.104791083569</v>
      </c>
      <c r="AE1693">
        <v>-7.7513999999999896</v>
      </c>
      <c r="AF1693">
        <v>6.2811725572348198</v>
      </c>
      <c r="AG1693">
        <v>-1.104791083569</v>
      </c>
      <c r="AH1693">
        <v>16.257467821324401</v>
      </c>
      <c r="AI1693">
        <v>93.627086963883698</v>
      </c>
      <c r="AJ1693">
        <v>68.8756544430845</v>
      </c>
      <c r="AK1693">
        <v>17.4636465835029</v>
      </c>
      <c r="AL1693">
        <v>81.809055159873594</v>
      </c>
      <c r="AM1693">
        <v>93.232801168761597</v>
      </c>
      <c r="AN1693">
        <v>0.99999996238320199</v>
      </c>
    </row>
    <row r="1694" spans="1:40" x14ac:dyDescent="0.3">
      <c r="A1694" t="str">
        <f>"20200111150828107"</f>
        <v>20200111150828107</v>
      </c>
      <c r="B1694" t="str">
        <f>"1578726508105201"</f>
        <v>1578726508105201</v>
      </c>
      <c r="C1694" t="s">
        <v>40</v>
      </c>
      <c r="D1694">
        <v>6.2903209999999996</v>
      </c>
      <c r="E1694">
        <v>0.6702205</v>
      </c>
      <c r="F1694" t="s">
        <v>54</v>
      </c>
      <c r="G1694">
        <v>-196.822</v>
      </c>
      <c r="H1694" s="1">
        <v>4.1543320000000002E-6</v>
      </c>
      <c r="I1694">
        <v>206.0318</v>
      </c>
      <c r="J1694">
        <v>-212.92140000000001</v>
      </c>
      <c r="K1694">
        <v>1.1045969999999901</v>
      </c>
      <c r="L1694">
        <v>214.09440000000001</v>
      </c>
      <c r="M1694">
        <v>0.99526210000000004</v>
      </c>
      <c r="N1694">
        <v>0</v>
      </c>
      <c r="O1694">
        <v>-9.6429669999999995E-2</v>
      </c>
      <c r="P1694">
        <v>0.9906585</v>
      </c>
      <c r="Q1694">
        <v>0.1309032</v>
      </c>
      <c r="R1694">
        <v>-3.8213940000000002E-2</v>
      </c>
      <c r="S1694">
        <v>3.0059049999999998</v>
      </c>
      <c r="T1694">
        <v>-0.2020798</v>
      </c>
      <c r="U1694">
        <v>-1.4814000000000001</v>
      </c>
      <c r="V1694">
        <v>-5.5577149999999999E-2</v>
      </c>
      <c r="W1694">
        <v>0.14396229999999999</v>
      </c>
      <c r="X1694">
        <v>0.98802129999999999</v>
      </c>
      <c r="Y1694">
        <v>0.35303669999999998</v>
      </c>
      <c r="Z1694">
        <v>-5.127599E-3</v>
      </c>
      <c r="AA1694">
        <v>0.93559539999999997</v>
      </c>
      <c r="AB1694">
        <v>34</v>
      </c>
      <c r="AC1694">
        <v>16.099399999999999</v>
      </c>
      <c r="AD1694">
        <v>-1.1045928456680001</v>
      </c>
      <c r="AE1694">
        <v>-8.0625999999999998</v>
      </c>
      <c r="AF1694">
        <v>6.4481729904218996</v>
      </c>
      <c r="AG1694">
        <v>-1.1045928456680001</v>
      </c>
      <c r="AH1694">
        <v>16.738898430393</v>
      </c>
      <c r="AI1694">
        <v>93.523743425714997</v>
      </c>
      <c r="AJ1694">
        <v>68.932274014054997</v>
      </c>
      <c r="AK1694">
        <v>17.971916451289299</v>
      </c>
      <c r="AL1694">
        <v>81.722807316102703</v>
      </c>
      <c r="AM1694">
        <v>93.219549922385596</v>
      </c>
      <c r="AN1694">
        <v>1.00000002633855</v>
      </c>
    </row>
    <row r="1695" spans="1:40" x14ac:dyDescent="0.3">
      <c r="A1695" t="str">
        <f>"20200111150828130"</f>
        <v>20200111150828130</v>
      </c>
      <c r="B1695" t="str">
        <f>"1578726508124720"</f>
        <v>1578726508124720</v>
      </c>
      <c r="C1695" t="s">
        <v>40</v>
      </c>
      <c r="D1695">
        <v>5.0591419999999996</v>
      </c>
      <c r="E1695">
        <v>0.67975419999999998</v>
      </c>
      <c r="F1695" t="s">
        <v>54</v>
      </c>
      <c r="G1695">
        <v>-195.65649999999999</v>
      </c>
      <c r="H1695" s="1">
        <v>4.6287750000000004E-6</v>
      </c>
      <c r="I1695">
        <v>205.42070000000001</v>
      </c>
      <c r="J1695">
        <v>-212.57550000000001</v>
      </c>
      <c r="K1695">
        <v>1.1043750000000001</v>
      </c>
      <c r="L1695">
        <v>214.05430000000001</v>
      </c>
      <c r="M1695">
        <v>0.99457669999999998</v>
      </c>
      <c r="N1695">
        <v>0</v>
      </c>
      <c r="O1695">
        <v>-0.10325620000000001</v>
      </c>
      <c r="P1695">
        <v>0.9902474</v>
      </c>
      <c r="Q1695">
        <v>0.1310664</v>
      </c>
      <c r="R1695">
        <v>-4.724337E-2</v>
      </c>
      <c r="S1695">
        <v>2.9955599999999998</v>
      </c>
      <c r="T1695">
        <v>-0.1916534</v>
      </c>
      <c r="U1695">
        <v>-1.5049440000000001</v>
      </c>
      <c r="V1695">
        <v>-5.3261849999999999E-2</v>
      </c>
      <c r="W1695">
        <v>0.14414830000000001</v>
      </c>
      <c r="X1695">
        <v>0.98812169999999999</v>
      </c>
      <c r="Y1695">
        <v>0.3538442</v>
      </c>
      <c r="Z1695">
        <v>-4.4898550000000001E-3</v>
      </c>
      <c r="AA1695">
        <v>0.93529359999999995</v>
      </c>
      <c r="AB1695">
        <v>34</v>
      </c>
      <c r="AC1695">
        <v>16.919</v>
      </c>
      <c r="AD1695">
        <v>-1.1043703712249999</v>
      </c>
      <c r="AE1695">
        <v>-8.6335999999999995</v>
      </c>
      <c r="AF1695">
        <v>6.8172717053867302</v>
      </c>
      <c r="AG1695">
        <v>-1.1043703712249999</v>
      </c>
      <c r="AH1695">
        <v>17.660392458835499</v>
      </c>
      <c r="AI1695">
        <v>93.338741816115103</v>
      </c>
      <c r="AJ1695">
        <v>68.892394610821597</v>
      </c>
      <c r="AK1695">
        <v>18.962707855736198</v>
      </c>
      <c r="AL1695">
        <v>81.712037966540095</v>
      </c>
      <c r="AM1695">
        <v>93.085377911725303</v>
      </c>
      <c r="AN1695">
        <v>1.0000000255346</v>
      </c>
    </row>
    <row r="1696" spans="1:40" x14ac:dyDescent="0.3">
      <c r="A1696" t="str">
        <f>"20200111150828152"</f>
        <v>20200111150828152</v>
      </c>
      <c r="B1696" t="str">
        <f>"1578726508145216"</f>
        <v>1578726508145216</v>
      </c>
      <c r="C1696" t="s">
        <v>40</v>
      </c>
      <c r="D1696">
        <v>5.019806</v>
      </c>
      <c r="E1696">
        <v>0.6825196</v>
      </c>
      <c r="F1696" t="s">
        <v>73</v>
      </c>
      <c r="G1696">
        <v>-168.42019999999999</v>
      </c>
      <c r="H1696">
        <v>12.851419999999999</v>
      </c>
      <c r="I1696">
        <v>190.0069</v>
      </c>
      <c r="J1696">
        <v>-212.2381</v>
      </c>
      <c r="K1696">
        <v>1.104131</v>
      </c>
      <c r="L1696">
        <v>214.01259999999999</v>
      </c>
      <c r="M1696">
        <v>0.99382950000000003</v>
      </c>
      <c r="N1696">
        <v>0</v>
      </c>
      <c r="O1696">
        <v>-0.1102147</v>
      </c>
      <c r="P1696">
        <v>0.98970820000000004</v>
      </c>
      <c r="Q1696">
        <v>0.1310481</v>
      </c>
      <c r="R1696">
        <v>-5.7481839999999999E-2</v>
      </c>
      <c r="S1696">
        <v>2.8548279999999999</v>
      </c>
      <c r="T1696">
        <v>0.75949860000000002</v>
      </c>
      <c r="U1696">
        <v>-1.554764</v>
      </c>
      <c r="V1696">
        <v>-4.9869629999999998E-2</v>
      </c>
      <c r="W1696">
        <v>0.14413979999999901</v>
      </c>
      <c r="X1696">
        <v>0.98829990000000001</v>
      </c>
      <c r="Y1696">
        <v>0.37162099999999998</v>
      </c>
      <c r="Z1696">
        <v>1.8765779999999999E-2</v>
      </c>
      <c r="AA1696">
        <v>0.92819490000000004</v>
      </c>
      <c r="AB1696">
        <v>34</v>
      </c>
      <c r="AC1696">
        <v>43.817900000000002</v>
      </c>
      <c r="AD1696">
        <v>11.747289</v>
      </c>
      <c r="AE1696">
        <v>-24.005699999999901</v>
      </c>
      <c r="AF1696">
        <v>18.032793037640101</v>
      </c>
      <c r="AG1696">
        <v>11.747289</v>
      </c>
      <c r="AH1696">
        <v>43.776838399887097</v>
      </c>
      <c r="AI1696">
        <v>76.065258826209899</v>
      </c>
      <c r="AJ1696">
        <v>67.611991523175604</v>
      </c>
      <c r="AK1696">
        <v>48.7810619388069</v>
      </c>
      <c r="AL1696">
        <v>81.712529716467898</v>
      </c>
      <c r="AM1696">
        <v>92.888695939571406</v>
      </c>
      <c r="AN1696">
        <v>0.99999997714019295</v>
      </c>
    </row>
    <row r="1697" spans="1:40" x14ac:dyDescent="0.3">
      <c r="A1697" t="str">
        <f>"20200111150828174"</f>
        <v>20200111150828174</v>
      </c>
      <c r="B1697" t="str">
        <f>"1578726508164737"</f>
        <v>1578726508164737</v>
      </c>
      <c r="C1697" t="s">
        <v>40</v>
      </c>
      <c r="D1697">
        <v>5.0450119999999998</v>
      </c>
      <c r="E1697">
        <v>0.68313040000000003</v>
      </c>
      <c r="F1697" t="s">
        <v>54</v>
      </c>
      <c r="G1697">
        <v>-198.49719999999999</v>
      </c>
      <c r="H1697" s="1">
        <v>3.7716349999999999E-6</v>
      </c>
      <c r="I1697">
        <v>206.3038</v>
      </c>
      <c r="J1697">
        <v>-211.90960000000001</v>
      </c>
      <c r="K1697">
        <v>1.1038760000000001</v>
      </c>
      <c r="L1697">
        <v>213.96940000000001</v>
      </c>
      <c r="M1697">
        <v>0.99301850000000003</v>
      </c>
      <c r="N1697">
        <v>0</v>
      </c>
      <c r="O1697">
        <v>-0.11729299999999999</v>
      </c>
      <c r="P1697">
        <v>0.98918410000000001</v>
      </c>
      <c r="Q1697">
        <v>0.130909</v>
      </c>
      <c r="R1697">
        <v>-6.6164550000000003E-2</v>
      </c>
      <c r="S1697">
        <v>2.9660950000000001</v>
      </c>
      <c r="T1697">
        <v>-0.2383354</v>
      </c>
      <c r="U1697">
        <v>-1.6640009999999901</v>
      </c>
      <c r="V1697">
        <v>-4.8151140000000002E-2</v>
      </c>
      <c r="W1697">
        <v>0.144036</v>
      </c>
      <c r="X1697">
        <v>0.98840030000000001</v>
      </c>
      <c r="Y1697">
        <v>0.3829494</v>
      </c>
      <c r="Z1697">
        <v>-5.6269859999999996E-3</v>
      </c>
      <c r="AA1697">
        <v>0.92375220000000002</v>
      </c>
      <c r="AB1697">
        <v>34</v>
      </c>
      <c r="AC1697">
        <v>13.4124</v>
      </c>
      <c r="AD1697">
        <v>-1.103872228365</v>
      </c>
      <c r="AE1697">
        <v>-7.6656000000000102</v>
      </c>
      <c r="AF1697">
        <v>6.0086953445746403</v>
      </c>
      <c r="AG1697">
        <v>-1.103872228365</v>
      </c>
      <c r="AH1697">
        <v>14.146764588392401</v>
      </c>
      <c r="AI1697">
        <v>94.107938448336299</v>
      </c>
      <c r="AJ1697">
        <v>66.987131946750694</v>
      </c>
      <c r="AK1697">
        <v>15.4095393169252</v>
      </c>
      <c r="AL1697">
        <v>81.718540152091506</v>
      </c>
      <c r="AM1697">
        <v>92.789029604419397</v>
      </c>
      <c r="AN1697">
        <v>1.0000000273096901</v>
      </c>
    </row>
    <row r="1698" spans="1:40" x14ac:dyDescent="0.3">
      <c r="A1698" t="str">
        <f>"20200111150828196"</f>
        <v>20200111150828196</v>
      </c>
      <c r="B1698" t="str">
        <f>"1578726508194992"</f>
        <v>1578726508194992</v>
      </c>
      <c r="C1698" t="s">
        <v>40</v>
      </c>
      <c r="D1698">
        <v>4.9140769999999998</v>
      </c>
      <c r="E1698">
        <v>0.68391400000000002</v>
      </c>
      <c r="F1698" t="s">
        <v>54</v>
      </c>
      <c r="G1698">
        <v>-197.95939999999999</v>
      </c>
      <c r="H1698" s="1">
        <v>3.9602889999999999E-6</v>
      </c>
      <c r="I1698">
        <v>205.95160000000001</v>
      </c>
      <c r="J1698">
        <v>-211.57380000000001</v>
      </c>
      <c r="K1698">
        <v>1.1035980000000001</v>
      </c>
      <c r="L1698">
        <v>213.92250000000001</v>
      </c>
      <c r="M1698">
        <v>0.99209610000000004</v>
      </c>
      <c r="N1698">
        <v>0</v>
      </c>
      <c r="O1698">
        <v>-0.12485209999999999</v>
      </c>
      <c r="P1698">
        <v>0.98852050000000002</v>
      </c>
      <c r="Q1698">
        <v>0.13135260000000001</v>
      </c>
      <c r="R1698">
        <v>-7.4657340000000003E-2</v>
      </c>
      <c r="S1698">
        <v>2.9503020000000002</v>
      </c>
      <c r="T1698">
        <v>-0.2334552</v>
      </c>
      <c r="U1698">
        <v>-1.6956629999999999</v>
      </c>
      <c r="V1698">
        <v>-4.7077349999999997E-2</v>
      </c>
      <c r="W1698">
        <v>0.14452860000000001</v>
      </c>
      <c r="X1698">
        <v>0.98838009999999998</v>
      </c>
      <c r="Y1698">
        <v>0.38554460000000002</v>
      </c>
      <c r="Z1698">
        <v>-5.0776520000000002E-3</v>
      </c>
      <c r="AA1698">
        <v>0.92267529999999998</v>
      </c>
      <c r="AB1698">
        <v>34</v>
      </c>
      <c r="AC1698">
        <v>13.6144</v>
      </c>
      <c r="AD1698">
        <v>-1.10359403971099</v>
      </c>
      <c r="AE1698">
        <v>-7.9709000000000003</v>
      </c>
      <c r="AF1698">
        <v>6.1783670353552296</v>
      </c>
      <c r="AG1698">
        <v>-1.10359403971099</v>
      </c>
      <c r="AH1698">
        <v>14.4324924709372</v>
      </c>
      <c r="AI1698">
        <v>94.021026653534804</v>
      </c>
      <c r="AJ1698">
        <v>66.824846853135995</v>
      </c>
      <c r="AK1698">
        <v>15.738074150025801</v>
      </c>
      <c r="AL1698">
        <v>81.690017644929895</v>
      </c>
      <c r="AM1698">
        <v>92.726983707176103</v>
      </c>
      <c r="AN1698">
        <v>1.0000000075884901</v>
      </c>
    </row>
    <row r="1699" spans="1:40" x14ac:dyDescent="0.3">
      <c r="A1699" t="str">
        <f>"20200111150828218"</f>
        <v>20200111150828218</v>
      </c>
      <c r="B1699" t="str">
        <f>"1578726508214512"</f>
        <v>1578726508214512</v>
      </c>
      <c r="C1699" t="s">
        <v>40</v>
      </c>
      <c r="D1699">
        <v>4.9974040000000004</v>
      </c>
      <c r="E1699">
        <v>0.6841971</v>
      </c>
      <c r="F1699" t="s">
        <v>54</v>
      </c>
      <c r="G1699">
        <v>-196.99979999999999</v>
      </c>
      <c r="H1699" s="1">
        <v>4.3592980000000003E-6</v>
      </c>
      <c r="I1699">
        <v>205.34039999999999</v>
      </c>
      <c r="J1699">
        <v>-211.2484</v>
      </c>
      <c r="K1699">
        <v>1.103324</v>
      </c>
      <c r="L1699">
        <v>213.87430000000001</v>
      </c>
      <c r="M1699">
        <v>0.99110419999999999</v>
      </c>
      <c r="N1699">
        <v>0</v>
      </c>
      <c r="O1699">
        <v>-0.1324922</v>
      </c>
      <c r="P1699">
        <v>0.98778820000000001</v>
      </c>
      <c r="Q1699">
        <v>0.1321312</v>
      </c>
      <c r="R1699">
        <v>-8.2557690000000003E-2</v>
      </c>
      <c r="S1699">
        <v>2.9338839999999999</v>
      </c>
      <c r="T1699">
        <v>-0.22216459999999999</v>
      </c>
      <c r="U1699">
        <v>-1.7276609999999999</v>
      </c>
      <c r="V1699">
        <v>-4.6666260000000001E-2</v>
      </c>
      <c r="W1699">
        <v>0.1453651</v>
      </c>
      <c r="X1699">
        <v>0.98827690000000001</v>
      </c>
      <c r="Y1699">
        <v>0.3882369</v>
      </c>
      <c r="Z1699">
        <v>-4.4169780000000002E-3</v>
      </c>
      <c r="AA1699">
        <v>0.92154899999999995</v>
      </c>
      <c r="AB1699">
        <v>34</v>
      </c>
      <c r="AC1699">
        <v>14.2486</v>
      </c>
      <c r="AD1699">
        <v>-1.1033196407020001</v>
      </c>
      <c r="AE1699">
        <v>-8.5339000000000098</v>
      </c>
      <c r="AF1699">
        <v>6.5418070918275397</v>
      </c>
      <c r="AG1699">
        <v>-1.1033196407020001</v>
      </c>
      <c r="AH1699">
        <v>15.1867114360982</v>
      </c>
      <c r="AI1699">
        <v>93.8173018416567</v>
      </c>
      <c r="AJ1699">
        <v>66.695621523445496</v>
      </c>
      <c r="AK1699">
        <v>16.572530238305799</v>
      </c>
      <c r="AL1699">
        <v>81.641578041814498</v>
      </c>
      <c r="AM1699">
        <v>92.703488410397199</v>
      </c>
      <c r="AN1699">
        <v>0.99999999159700304</v>
      </c>
    </row>
    <row r="1700" spans="1:40" x14ac:dyDescent="0.3">
      <c r="A1700" t="str">
        <f>"20200111150828241"</f>
        <v>20200111150828241</v>
      </c>
      <c r="B1700" t="str">
        <f>"1578726508235008"</f>
        <v>1578726508235008</v>
      </c>
      <c r="C1700" t="s">
        <v>40</v>
      </c>
      <c r="D1700">
        <v>5.0220269999999996</v>
      </c>
      <c r="E1700">
        <v>0.68540639999999997</v>
      </c>
      <c r="F1700" t="s">
        <v>54</v>
      </c>
      <c r="G1700">
        <v>-196.50790000000001</v>
      </c>
      <c r="H1700" s="1">
        <v>4.5815129999999998E-6</v>
      </c>
      <c r="I1700">
        <v>205.0204</v>
      </c>
      <c r="J1700">
        <v>-210.90860000000001</v>
      </c>
      <c r="K1700">
        <v>1.1030310000000001</v>
      </c>
      <c r="L1700">
        <v>213.82089999999999</v>
      </c>
      <c r="M1700">
        <v>0.98995489999999997</v>
      </c>
      <c r="N1700">
        <v>0</v>
      </c>
      <c r="O1700">
        <v>-0.1408189</v>
      </c>
      <c r="P1700">
        <v>0.98700449999999995</v>
      </c>
      <c r="Q1700">
        <v>0.13263920000000001</v>
      </c>
      <c r="R1700">
        <v>-9.0714710000000004E-2</v>
      </c>
      <c r="S1700">
        <v>2.9197540000000002</v>
      </c>
      <c r="T1700">
        <v>-0.2185416</v>
      </c>
      <c r="U1700">
        <v>-1.7537689999999999</v>
      </c>
      <c r="V1700">
        <v>-4.668957E-2</v>
      </c>
      <c r="W1700">
        <v>0.14594389999999999</v>
      </c>
      <c r="X1700">
        <v>0.98819049999999997</v>
      </c>
      <c r="Y1700">
        <v>0.38855129999999999</v>
      </c>
      <c r="Z1700">
        <v>-3.806111E-3</v>
      </c>
      <c r="AA1700">
        <v>0.92141919999999999</v>
      </c>
      <c r="AB1700">
        <v>34</v>
      </c>
      <c r="AC1700">
        <v>14.400700000000001</v>
      </c>
      <c r="AD1700">
        <v>-1.10302641848699</v>
      </c>
      <c r="AE1700">
        <v>-8.8004999999999995</v>
      </c>
      <c r="AF1700">
        <v>6.6563070448279298</v>
      </c>
      <c r="AG1700">
        <v>-1.10302641848699</v>
      </c>
      <c r="AH1700">
        <v>15.4306417760915</v>
      </c>
      <c r="AI1700">
        <v>93.755304320727504</v>
      </c>
      <c r="AJ1700">
        <v>66.666109714542003</v>
      </c>
      <c r="AK1700">
        <v>16.8412528149472</v>
      </c>
      <c r="AL1700">
        <v>81.608057847729597</v>
      </c>
      <c r="AM1700">
        <v>92.705072949139407</v>
      </c>
      <c r="AN1700">
        <v>1.00000000109212</v>
      </c>
    </row>
    <row r="1701" spans="1:40" x14ac:dyDescent="0.3">
      <c r="A1701" t="str">
        <f>"20200111150828263"</f>
        <v>20200111150828263</v>
      </c>
      <c r="B1701" t="str">
        <f>"1578726508254528"</f>
        <v>1578726508254528</v>
      </c>
      <c r="C1701" t="s">
        <v>40</v>
      </c>
      <c r="D1701">
        <v>5.0107679999999997</v>
      </c>
      <c r="E1701">
        <v>0.68527249999999995</v>
      </c>
      <c r="F1701" t="s">
        <v>54</v>
      </c>
      <c r="G1701">
        <v>-195.84530000000001</v>
      </c>
      <c r="H1701" s="1">
        <v>4.8909510000000004E-6</v>
      </c>
      <c r="I1701">
        <v>204.542</v>
      </c>
      <c r="J1701">
        <v>-210.57230000000001</v>
      </c>
      <c r="K1701">
        <v>1.102754</v>
      </c>
      <c r="L1701">
        <v>213.7646</v>
      </c>
      <c r="M1701">
        <v>0.98869720000000005</v>
      </c>
      <c r="N1701">
        <v>0</v>
      </c>
      <c r="O1701">
        <v>-0.14939160000000001</v>
      </c>
      <c r="P1701">
        <v>0.98609139999999995</v>
      </c>
      <c r="Q1701">
        <v>0.13287479999999999</v>
      </c>
      <c r="R1701">
        <v>-9.984171E-2</v>
      </c>
      <c r="S1701">
        <v>2.9036870000000001</v>
      </c>
      <c r="T1701">
        <v>-0.21262529999999999</v>
      </c>
      <c r="U1701">
        <v>-1.78865099999999</v>
      </c>
      <c r="V1701">
        <v>-4.6001470000000003E-2</v>
      </c>
      <c r="W1701">
        <v>0.14623729999999999</v>
      </c>
      <c r="X1701">
        <v>0.98817940000000004</v>
      </c>
      <c r="Y1701">
        <v>0.39092009999999999</v>
      </c>
      <c r="Z1701">
        <v>-3.2310630000000002E-3</v>
      </c>
      <c r="AA1701">
        <v>0.92041899999999999</v>
      </c>
      <c r="AB1701">
        <v>33</v>
      </c>
      <c r="AC1701">
        <v>14.727</v>
      </c>
      <c r="AD1701">
        <v>-1.102749109049</v>
      </c>
      <c r="AE1701">
        <v>-9.2225999999999999</v>
      </c>
      <c r="AF1701">
        <v>6.8910686981594704</v>
      </c>
      <c r="AG1701">
        <v>-1.102749109049</v>
      </c>
      <c r="AH1701">
        <v>15.875659202467901</v>
      </c>
      <c r="AI1701">
        <v>93.6458372064088</v>
      </c>
      <c r="AJ1701">
        <v>66.536020543877498</v>
      </c>
      <c r="AK1701">
        <v>17.3418406898796</v>
      </c>
      <c r="AL1701">
        <v>81.591064984844607</v>
      </c>
      <c r="AM1701">
        <v>92.665294025229699</v>
      </c>
      <c r="AN1701">
        <v>1.0000000048688999</v>
      </c>
    </row>
    <row r="1702" spans="1:40" x14ac:dyDescent="0.3">
      <c r="A1702" t="str">
        <f>"20200111150828285"</f>
        <v>20200111150828285</v>
      </c>
      <c r="B1702" t="str">
        <f>"1578726508275024"</f>
        <v>1578726508275024</v>
      </c>
      <c r="C1702" t="s">
        <v>40</v>
      </c>
      <c r="D1702">
        <v>4.9895199999999997</v>
      </c>
      <c r="E1702">
        <v>0.68531039999999999</v>
      </c>
      <c r="F1702" t="s">
        <v>54</v>
      </c>
      <c r="G1702">
        <v>-195.5549</v>
      </c>
      <c r="H1702" s="1">
        <v>5.0128519999999901E-6</v>
      </c>
      <c r="I1702">
        <v>204.32480000000001</v>
      </c>
      <c r="J1702">
        <v>-210.24539999999999</v>
      </c>
      <c r="K1702">
        <v>1.1025069999999999</v>
      </c>
      <c r="L1702">
        <v>213.70689999999999</v>
      </c>
      <c r="M1702">
        <v>0.98735989999999996</v>
      </c>
      <c r="N1702">
        <v>0</v>
      </c>
      <c r="O1702">
        <v>-0.1579854</v>
      </c>
      <c r="P1702">
        <v>0.98510339999999996</v>
      </c>
      <c r="Q1702">
        <v>0.13306989999999999</v>
      </c>
      <c r="R1702">
        <v>-0.1089218</v>
      </c>
      <c r="S1702">
        <v>2.8871000000000002</v>
      </c>
      <c r="T1702">
        <v>-0.212003</v>
      </c>
      <c r="U1702">
        <v>-1.8148040000000001</v>
      </c>
      <c r="V1702">
        <v>-4.5396649999999997E-2</v>
      </c>
      <c r="W1702">
        <v>0.146485</v>
      </c>
      <c r="X1702">
        <v>0.98817069999999996</v>
      </c>
      <c r="Y1702">
        <v>0.3912911</v>
      </c>
      <c r="Z1702">
        <v>-2.6840000000000002E-3</v>
      </c>
      <c r="AA1702">
        <v>0.9202631</v>
      </c>
      <c r="AB1702">
        <v>33</v>
      </c>
      <c r="AC1702">
        <v>14.690499999999901</v>
      </c>
      <c r="AD1702">
        <v>-1.102501987148</v>
      </c>
      <c r="AE1702">
        <v>-9.3820999999999799</v>
      </c>
      <c r="AF1702">
        <v>6.9155178985623396</v>
      </c>
      <c r="AG1702">
        <v>-1.102501987148</v>
      </c>
      <c r="AH1702">
        <v>15.924625344382999</v>
      </c>
      <c r="AI1702">
        <v>93.633578915767103</v>
      </c>
      <c r="AJ1702">
        <v>66.526349222543899</v>
      </c>
      <c r="AK1702">
        <v>17.396367172371601</v>
      </c>
      <c r="AL1702">
        <v>81.576718467092107</v>
      </c>
      <c r="AM1702">
        <v>92.630323830305301</v>
      </c>
      <c r="AN1702">
        <v>1.0000000216973499</v>
      </c>
    </row>
    <row r="1703" spans="1:40" x14ac:dyDescent="0.3">
      <c r="A1703" t="str">
        <f>"20200111150828308"</f>
        <v>20200111150828308</v>
      </c>
      <c r="B1703" t="str">
        <f>"1578726508304304"</f>
        <v>1578726508304304</v>
      </c>
      <c r="C1703" t="s">
        <v>40</v>
      </c>
      <c r="D1703">
        <v>4.1085779999999996</v>
      </c>
      <c r="E1703">
        <v>0.68507240000000003</v>
      </c>
      <c r="F1703" t="s">
        <v>54</v>
      </c>
      <c r="G1703">
        <v>-195.07990000000001</v>
      </c>
      <c r="H1703" s="1">
        <v>5.2123089999999997E-6</v>
      </c>
      <c r="I1703">
        <v>203.9693</v>
      </c>
      <c r="J1703">
        <v>-209.91300000000001</v>
      </c>
      <c r="K1703">
        <v>1.1022719999999999</v>
      </c>
      <c r="L1703">
        <v>213.64500000000001</v>
      </c>
      <c r="M1703">
        <v>0.9858789</v>
      </c>
      <c r="N1703">
        <v>0</v>
      </c>
      <c r="O1703">
        <v>-0.1669754</v>
      </c>
      <c r="P1703">
        <v>0.98394970000000004</v>
      </c>
      <c r="Q1703">
        <v>0.1334166</v>
      </c>
      <c r="R1703">
        <v>-0.1185032</v>
      </c>
      <c r="S1703">
        <v>2.8698269999999999</v>
      </c>
      <c r="T1703">
        <v>-0.20863039999999999</v>
      </c>
      <c r="U1703">
        <v>-1.8426819999999999</v>
      </c>
      <c r="V1703">
        <v>-4.4685790000000003E-2</v>
      </c>
      <c r="W1703">
        <v>0.14687739999999999</v>
      </c>
      <c r="X1703">
        <v>0.98814480000000005</v>
      </c>
      <c r="Y1703">
        <v>0.39178479999999999</v>
      </c>
      <c r="Z1703">
        <v>-2.0899569999999999E-3</v>
      </c>
      <c r="AA1703">
        <v>0.92005459999999994</v>
      </c>
      <c r="AB1703">
        <v>33</v>
      </c>
      <c r="AC1703">
        <v>14.8330999999999</v>
      </c>
      <c r="AD1703">
        <v>-1.1022667876909999</v>
      </c>
      <c r="AE1703">
        <v>-9.6757000000000009</v>
      </c>
      <c r="AF1703">
        <v>7.0356229244584103</v>
      </c>
      <c r="AG1703">
        <v>-1.1022667876909999</v>
      </c>
      <c r="AH1703">
        <v>16.1778892166394</v>
      </c>
      <c r="AI1703">
        <v>93.575267624332895</v>
      </c>
      <c r="AJ1703">
        <v>66.496198088340506</v>
      </c>
      <c r="AK1703">
        <v>17.675946410652799</v>
      </c>
      <c r="AL1703">
        <v>81.553989309897801</v>
      </c>
      <c r="AM1703">
        <v>92.5892602135727</v>
      </c>
      <c r="AN1703">
        <v>0.99999996811286096</v>
      </c>
    </row>
    <row r="1704" spans="1:40" x14ac:dyDescent="0.3">
      <c r="A1704" t="str">
        <f>"20200111150828330"</f>
        <v>20200111150828330</v>
      </c>
      <c r="B1704" t="str">
        <f>"1578726508324811"</f>
        <v>1578726508324811</v>
      </c>
      <c r="C1704" t="s">
        <v>40</v>
      </c>
      <c r="D1704">
        <v>4.9154150000000003</v>
      </c>
      <c r="E1704">
        <v>0.68420289999999995</v>
      </c>
      <c r="F1704" t="s">
        <v>54</v>
      </c>
      <c r="G1704">
        <v>-194.91659999999999</v>
      </c>
      <c r="H1704" s="1">
        <v>5.2893859999999997E-6</v>
      </c>
      <c r="I1704">
        <v>203.81489999999999</v>
      </c>
      <c r="J1704">
        <v>-209.57499999999999</v>
      </c>
      <c r="K1704">
        <v>1.102041</v>
      </c>
      <c r="L1704">
        <v>213.5787</v>
      </c>
      <c r="M1704">
        <v>0.98424109999999998</v>
      </c>
      <c r="N1704">
        <v>0</v>
      </c>
      <c r="O1704">
        <v>-0.17637120000000001</v>
      </c>
      <c r="P1704">
        <v>0.98258599999999996</v>
      </c>
      <c r="Q1704">
        <v>0.13428670000000001</v>
      </c>
      <c r="R1704">
        <v>-0.12842089999999901</v>
      </c>
      <c r="S1704">
        <v>2.8521879999999999</v>
      </c>
      <c r="T1704">
        <v>-0.20964150000000001</v>
      </c>
      <c r="U1704">
        <v>-1.8695980000000001</v>
      </c>
      <c r="V1704">
        <v>-4.4025250000000002E-2</v>
      </c>
      <c r="W1704">
        <v>0.14779139999999999</v>
      </c>
      <c r="X1704">
        <v>0.98803819999999998</v>
      </c>
      <c r="Y1704">
        <v>0.39170460000000001</v>
      </c>
      <c r="Z1704">
        <v>-1.499762E-3</v>
      </c>
      <c r="AA1704">
        <v>0.92008979999999996</v>
      </c>
      <c r="AB1704">
        <v>33</v>
      </c>
      <c r="AC1704">
        <v>14.6584</v>
      </c>
      <c r="AD1704">
        <v>-1.102035710614</v>
      </c>
      <c r="AE1704">
        <v>-9.7637999999999998</v>
      </c>
      <c r="AF1704">
        <v>6.9977876073303698</v>
      </c>
      <c r="AG1704">
        <v>-1.102035710614</v>
      </c>
      <c r="AH1704">
        <v>16.087780292729299</v>
      </c>
      <c r="AI1704">
        <v>93.594378664369501</v>
      </c>
      <c r="AJ1704">
        <v>66.492148168449305</v>
      </c>
      <c r="AK1704">
        <v>17.5784012029509</v>
      </c>
      <c r="AL1704">
        <v>81.501043443696602</v>
      </c>
      <c r="AM1704">
        <v>92.551311889323799</v>
      </c>
      <c r="AN1704">
        <v>1.0000000026053799</v>
      </c>
    </row>
    <row r="1705" spans="1:40" x14ac:dyDescent="0.3">
      <c r="A1705" t="str">
        <f>"20200111150828353"</f>
        <v>20200111150828353</v>
      </c>
      <c r="B1705" t="str">
        <f>"1578726508344320"</f>
        <v>1578726508344320</v>
      </c>
      <c r="C1705" t="s">
        <v>40</v>
      </c>
      <c r="D1705">
        <v>4.1775140000000004</v>
      </c>
      <c r="E1705">
        <v>0.68416140000000003</v>
      </c>
      <c r="F1705" t="s">
        <v>54</v>
      </c>
      <c r="G1705">
        <v>-194.35820000000001</v>
      </c>
      <c r="H1705" s="1">
        <v>5.5173999999999999E-6</v>
      </c>
      <c r="I1705">
        <v>203.42140000000001</v>
      </c>
      <c r="J1705">
        <v>-209.24</v>
      </c>
      <c r="K1705">
        <v>1.1018239999999999</v>
      </c>
      <c r="L1705">
        <v>213.5095</v>
      </c>
      <c r="M1705">
        <v>0.98248139999999995</v>
      </c>
      <c r="N1705">
        <v>0</v>
      </c>
      <c r="O1705">
        <v>-0.18592139999999999</v>
      </c>
      <c r="P1705">
        <v>0.98110379999999997</v>
      </c>
      <c r="Q1705">
        <v>0.13530490000000001</v>
      </c>
      <c r="R1705">
        <v>-0.13830410000000001</v>
      </c>
      <c r="S1705">
        <v>2.8340000000000001</v>
      </c>
      <c r="T1705">
        <v>-0.2052447</v>
      </c>
      <c r="U1705">
        <v>-1.8916930000000001</v>
      </c>
      <c r="V1705">
        <v>-4.3550859999999997E-2</v>
      </c>
      <c r="W1705">
        <v>0.1488534</v>
      </c>
      <c r="X1705">
        <v>0.98789979999999999</v>
      </c>
      <c r="Y1705">
        <v>0.39048630000000001</v>
      </c>
      <c r="Z1705">
        <v>-8.3244690000000001E-4</v>
      </c>
      <c r="AA1705">
        <v>0.92060839999999999</v>
      </c>
      <c r="AB1705">
        <v>33</v>
      </c>
      <c r="AC1705">
        <v>14.881799999999901</v>
      </c>
      <c r="AD1705">
        <v>-1.1018184825999999</v>
      </c>
      <c r="AE1705">
        <v>-10.088099999999899</v>
      </c>
      <c r="AF1705">
        <v>7.1183748493934598</v>
      </c>
      <c r="AG1705">
        <v>-1.1018184825999999</v>
      </c>
      <c r="AH1705">
        <v>16.436303561578399</v>
      </c>
      <c r="AI1705">
        <v>93.520082265209297</v>
      </c>
      <c r="AJ1705">
        <v>66.5831161341941</v>
      </c>
      <c r="AK1705">
        <v>17.9453988318296</v>
      </c>
      <c r="AL1705">
        <v>81.439514851528997</v>
      </c>
      <c r="AM1705">
        <v>92.524209329083405</v>
      </c>
      <c r="AN1705">
        <v>1.00000001346916</v>
      </c>
    </row>
    <row r="1706" spans="1:40" x14ac:dyDescent="0.3">
      <c r="A1706" t="str">
        <f>"20200111150828374"</f>
        <v>20200111150828374</v>
      </c>
      <c r="B1706" t="str">
        <f>"1578726508364818"</f>
        <v>1578726508364818</v>
      </c>
      <c r="C1706" t="s">
        <v>40</v>
      </c>
      <c r="D1706">
        <v>5.0715459999999997</v>
      </c>
      <c r="E1706">
        <v>0.65133540000000001</v>
      </c>
      <c r="F1706" t="s">
        <v>54</v>
      </c>
      <c r="G1706">
        <v>-193.81870000000001</v>
      </c>
      <c r="H1706" s="1">
        <v>5.7522849999999998E-6</v>
      </c>
      <c r="I1706">
        <v>202.9862</v>
      </c>
      <c r="J1706">
        <v>-208.92269999999999</v>
      </c>
      <c r="K1706">
        <v>1.101618</v>
      </c>
      <c r="L1706">
        <v>213.44059999999999</v>
      </c>
      <c r="M1706">
        <v>0.98068480000000002</v>
      </c>
      <c r="N1706">
        <v>0</v>
      </c>
      <c r="O1706">
        <v>-0.19517570000000001</v>
      </c>
      <c r="P1706">
        <v>0.97955179999999997</v>
      </c>
      <c r="Q1706">
        <v>0.1357843</v>
      </c>
      <c r="R1706">
        <v>-0.14846229999999999</v>
      </c>
      <c r="S1706">
        <v>2.8147579999999999</v>
      </c>
      <c r="T1706">
        <v>-0.2011078</v>
      </c>
      <c r="U1706">
        <v>-1.9207460000000001</v>
      </c>
      <c r="V1706">
        <v>-4.2530980000000003E-2</v>
      </c>
      <c r="W1706">
        <v>0.14935979999999999</v>
      </c>
      <c r="X1706">
        <v>0.98786779999999996</v>
      </c>
      <c r="Y1706">
        <v>0.39124989999999998</v>
      </c>
      <c r="Z1706">
        <v>-2.7332080000000002E-4</v>
      </c>
      <c r="AA1706">
        <v>0.92028449999999995</v>
      </c>
      <c r="AB1706">
        <v>33</v>
      </c>
      <c r="AC1706">
        <v>15.1039999999999</v>
      </c>
      <c r="AD1706">
        <v>-1.1016122477150001</v>
      </c>
      <c r="AE1706">
        <v>-10.4543999999999</v>
      </c>
      <c r="AF1706">
        <v>7.2789568459871496</v>
      </c>
      <c r="AG1706">
        <v>-1.1016122477150001</v>
      </c>
      <c r="AH1706">
        <v>16.793689725181899</v>
      </c>
      <c r="AI1706">
        <v>93.444277465868097</v>
      </c>
      <c r="AJ1706">
        <v>66.566449324547307</v>
      </c>
      <c r="AK1706">
        <v>18.3364330472352</v>
      </c>
      <c r="AL1706">
        <v>81.410172240640307</v>
      </c>
      <c r="AM1706">
        <v>92.465250602552899</v>
      </c>
      <c r="AN1706">
        <v>1.00000001219632</v>
      </c>
    </row>
    <row r="1707" spans="1:40" x14ac:dyDescent="0.3">
      <c r="A1707" t="str">
        <f>"20200111150828423"</f>
        <v>20200111150828423</v>
      </c>
      <c r="B1707" t="str">
        <f>"1578726508414593"</f>
        <v>1578726508414593</v>
      </c>
      <c r="C1707" t="s">
        <v>40</v>
      </c>
      <c r="D1707">
        <v>4.8272789999999999</v>
      </c>
      <c r="E1707">
        <v>0.73558349999999995</v>
      </c>
      <c r="F1707" t="s">
        <v>73</v>
      </c>
      <c r="G1707">
        <v>-168.4169</v>
      </c>
      <c r="H1707">
        <v>2.191459</v>
      </c>
      <c r="I1707">
        <v>189.30170000000001</v>
      </c>
      <c r="J1707">
        <v>-208.3563</v>
      </c>
      <c r="K1707">
        <v>1.101256</v>
      </c>
      <c r="L1707">
        <v>213.3092</v>
      </c>
      <c r="M1707">
        <v>0.97714999999999996</v>
      </c>
      <c r="N1707">
        <v>0</v>
      </c>
      <c r="O1707">
        <v>-0.2121622</v>
      </c>
      <c r="P1707">
        <v>0.97651710000000003</v>
      </c>
      <c r="Q1707">
        <v>0.1357495</v>
      </c>
      <c r="R1707">
        <v>-0.16729160000000001</v>
      </c>
      <c r="S1707">
        <v>2.799347</v>
      </c>
      <c r="T1707">
        <v>7.532084E-2</v>
      </c>
      <c r="U1707">
        <v>-1.6682279999999901</v>
      </c>
      <c r="V1707">
        <v>-4.0528450000000001E-2</v>
      </c>
      <c r="W1707">
        <v>0.14936169999999999</v>
      </c>
      <c r="X1707">
        <v>0.98795169999999999</v>
      </c>
      <c r="Y1707">
        <v>0.3179727</v>
      </c>
      <c r="Z1707">
        <v>-1.2173259999999999E-3</v>
      </c>
      <c r="AA1707">
        <v>0.94809909999999997</v>
      </c>
      <c r="AB1707">
        <v>33</v>
      </c>
      <c r="AC1707">
        <v>39.939399999999999</v>
      </c>
      <c r="AD1707">
        <v>1.090203</v>
      </c>
      <c r="AE1707">
        <v>-24.0075</v>
      </c>
      <c r="AF1707">
        <v>14.978336541513301</v>
      </c>
      <c r="AG1707">
        <v>1.090203</v>
      </c>
      <c r="AH1707">
        <v>44.0997735601876</v>
      </c>
      <c r="AI1707">
        <v>88.659067701053402</v>
      </c>
      <c r="AJ1707">
        <v>71.240120775195194</v>
      </c>
      <c r="AK1707">
        <v>46.586791434824796</v>
      </c>
      <c r="AL1707">
        <v>81.410062186201401</v>
      </c>
      <c r="AM1707">
        <v>92.349110642044593</v>
      </c>
      <c r="AN1707">
        <v>1.00000001710959</v>
      </c>
    </row>
    <row r="1708" spans="1:40" x14ac:dyDescent="0.3">
      <c r="A1708" t="str">
        <f>"20200111150828438"</f>
        <v>20200111150828438</v>
      </c>
      <c r="B1708" t="str">
        <f>"1578726508435088"</f>
        <v>1578726508435088</v>
      </c>
      <c r="C1708" t="s">
        <v>40</v>
      </c>
      <c r="D1708">
        <v>4.6524070000000002</v>
      </c>
      <c r="E1708">
        <v>0.73558349999999995</v>
      </c>
      <c r="F1708" t="s">
        <v>73</v>
      </c>
      <c r="G1708">
        <v>-168.42019999999999</v>
      </c>
      <c r="H1708">
        <v>0.2386866</v>
      </c>
      <c r="I1708">
        <v>177.45750000000001</v>
      </c>
      <c r="J1708">
        <v>-207.9802</v>
      </c>
      <c r="K1708">
        <v>1.1010279999999999</v>
      </c>
      <c r="L1708">
        <v>213.21629999999999</v>
      </c>
      <c r="M1708">
        <v>0.9745644</v>
      </c>
      <c r="N1708">
        <v>0</v>
      </c>
      <c r="O1708">
        <v>-0.22373699999999999</v>
      </c>
      <c r="P1708">
        <v>0.97408550000000005</v>
      </c>
      <c r="Q1708">
        <v>0.13528280000000001</v>
      </c>
      <c r="R1708">
        <v>-0.1812627</v>
      </c>
      <c r="S1708">
        <v>2.6696010000000001</v>
      </c>
      <c r="T1708">
        <v>-5.7657840000000002E-2</v>
      </c>
      <c r="U1708">
        <v>-2.396576</v>
      </c>
      <c r="V1708">
        <v>-3.8037090000000003E-2</v>
      </c>
      <c r="W1708">
        <v>0.14889059999999901</v>
      </c>
      <c r="X1708">
        <v>0.98812180000000005</v>
      </c>
      <c r="Y1708">
        <v>0.48455569999999998</v>
      </c>
      <c r="Z1708">
        <v>-4.524563E-4</v>
      </c>
      <c r="AA1708">
        <v>0.87476030000000005</v>
      </c>
      <c r="AB1708">
        <v>33</v>
      </c>
      <c r="AC1708">
        <v>39.56</v>
      </c>
      <c r="AD1708">
        <v>-0.86234140000000004</v>
      </c>
      <c r="AE1708">
        <v>-35.758799999999901</v>
      </c>
      <c r="AF1708">
        <v>25.9935782708794</v>
      </c>
      <c r="AG1708">
        <v>-0.86234140000000004</v>
      </c>
      <c r="AH1708">
        <v>46.546026510529202</v>
      </c>
      <c r="AI1708">
        <v>90.926694913278695</v>
      </c>
      <c r="AJ1708">
        <v>60.818872396475399</v>
      </c>
      <c r="AK1708">
        <v>53.319249131372601</v>
      </c>
      <c r="AL1708">
        <v>81.437358979582797</v>
      </c>
      <c r="AM1708">
        <v>92.204474394946601</v>
      </c>
      <c r="AN1708">
        <v>0.99999996130963298</v>
      </c>
    </row>
    <row r="1709" spans="1:40" x14ac:dyDescent="0.3">
      <c r="A1709" t="str">
        <f>"20200111150828453"</f>
        <v>20200111150828453</v>
      </c>
      <c r="B1709" t="str">
        <f>"1578726508444848"</f>
        <v>1578726508444848</v>
      </c>
      <c r="C1709" t="s">
        <v>40</v>
      </c>
      <c r="D1709">
        <v>4.9917299999999996</v>
      </c>
      <c r="E1709">
        <v>0.70080259999999905</v>
      </c>
      <c r="F1709" t="s">
        <v>73</v>
      </c>
      <c r="G1709">
        <v>-168.4205</v>
      </c>
      <c r="H1709">
        <v>0.24670030000000001</v>
      </c>
      <c r="I1709">
        <v>176.6525</v>
      </c>
      <c r="J1709">
        <v>-207.76140000000001</v>
      </c>
      <c r="K1709">
        <v>1.1009070000000001</v>
      </c>
      <c r="L1709">
        <v>213.15950000000001</v>
      </c>
      <c r="M1709">
        <v>0.97296349999999998</v>
      </c>
      <c r="N1709">
        <v>0</v>
      </c>
      <c r="O1709">
        <v>-0.2305989</v>
      </c>
      <c r="P1709">
        <v>0.97233720000000001</v>
      </c>
      <c r="Q1709">
        <v>0.134576799999999</v>
      </c>
      <c r="R1709">
        <v>-0.1909179</v>
      </c>
      <c r="S1709">
        <v>2.6345830000000001</v>
      </c>
      <c r="T1709">
        <v>-5.6893939999999997E-2</v>
      </c>
      <c r="U1709">
        <v>-2.4350589999999999</v>
      </c>
      <c r="V1709">
        <v>-3.5186990000000001E-2</v>
      </c>
      <c r="W1709">
        <v>0.14815130000000001</v>
      </c>
      <c r="X1709">
        <v>0.98833850000000001</v>
      </c>
      <c r="Y1709">
        <v>0.49106569999999999</v>
      </c>
      <c r="Z1709">
        <v>-3.925124E-4</v>
      </c>
      <c r="AA1709">
        <v>0.87112250000000002</v>
      </c>
      <c r="AB1709">
        <v>33</v>
      </c>
      <c r="AC1709">
        <v>39.340899999999998</v>
      </c>
      <c r="AD1709">
        <v>-0.85420669999999999</v>
      </c>
      <c r="AE1709">
        <v>-36.506999999999998</v>
      </c>
      <c r="AF1709">
        <v>26.443509432817901</v>
      </c>
      <c r="AG1709">
        <v>-0.85420669999999999</v>
      </c>
      <c r="AH1709">
        <v>46.687787341419401</v>
      </c>
      <c r="AI1709">
        <v>90.912068450246906</v>
      </c>
      <c r="AJ1709">
        <v>60.473205428521297</v>
      </c>
      <c r="AK1709">
        <v>53.663193597171002</v>
      </c>
      <c r="AL1709">
        <v>81.480192810586104</v>
      </c>
      <c r="AM1709">
        <v>92.038992582596507</v>
      </c>
      <c r="AN1709">
        <v>0.999999961269599</v>
      </c>
    </row>
    <row r="1710" spans="1:40" x14ac:dyDescent="0.3">
      <c r="A1710" t="str">
        <f>"20200111150828476"</f>
        <v>20200111150828476</v>
      </c>
      <c r="B1710" t="str">
        <f>"1578726508464368"</f>
        <v>1578726508464368</v>
      </c>
      <c r="C1710" t="s">
        <v>40</v>
      </c>
      <c r="D1710">
        <v>4.88659</v>
      </c>
      <c r="E1710">
        <v>0.73101709999999998</v>
      </c>
      <c r="F1710" t="s">
        <v>73</v>
      </c>
      <c r="G1710">
        <v>-169.7218</v>
      </c>
      <c r="H1710">
        <v>13.85807</v>
      </c>
      <c r="I1710">
        <v>181.7705</v>
      </c>
      <c r="J1710">
        <v>-207.435</v>
      </c>
      <c r="K1710">
        <v>1.1007340000000001</v>
      </c>
      <c r="L1710">
        <v>213.07210000000001</v>
      </c>
      <c r="M1710">
        <v>0.97045029999999999</v>
      </c>
      <c r="N1710">
        <v>0</v>
      </c>
      <c r="O1710">
        <v>-0.24095469999999999</v>
      </c>
      <c r="P1710">
        <v>0.96950420000000004</v>
      </c>
      <c r="Q1710">
        <v>0.1344776</v>
      </c>
      <c r="R1710">
        <v>-0.20488429999999999</v>
      </c>
      <c r="S1710">
        <v>2.5531619999999999</v>
      </c>
      <c r="T1710">
        <v>0.85624359999999999</v>
      </c>
      <c r="U1710">
        <v>-2.1067809999999998</v>
      </c>
      <c r="V1710">
        <v>-3.1441730000000001E-2</v>
      </c>
      <c r="W1710">
        <v>0.14800739999999901</v>
      </c>
      <c r="X1710">
        <v>0.98848630000000004</v>
      </c>
      <c r="Y1710">
        <v>0.42590640000000002</v>
      </c>
      <c r="Z1710">
        <v>-6.1016530000000003E-3</v>
      </c>
      <c r="AA1710">
        <v>0.90474670000000001</v>
      </c>
      <c r="AB1710">
        <v>33</v>
      </c>
      <c r="AC1710">
        <v>37.713200000000001</v>
      </c>
      <c r="AD1710">
        <v>12.757336</v>
      </c>
      <c r="AE1710">
        <v>-31.301600000000001</v>
      </c>
      <c r="AF1710">
        <v>19.9402275999417</v>
      </c>
      <c r="AG1710">
        <v>12.757336</v>
      </c>
      <c r="AH1710">
        <v>41.343560105428701</v>
      </c>
      <c r="AI1710">
        <v>74.467712981128003</v>
      </c>
      <c r="AJ1710">
        <v>64.251729721628493</v>
      </c>
      <c r="AK1710">
        <v>47.640867548204596</v>
      </c>
      <c r="AL1710">
        <v>81.488529649308703</v>
      </c>
      <c r="AM1710">
        <v>91.821847456911499</v>
      </c>
      <c r="AN1710">
        <v>0.99999996906392097</v>
      </c>
    </row>
    <row r="1711" spans="1:40" x14ac:dyDescent="0.3">
      <c r="A1711" t="str">
        <f>"20200111150828498"</f>
        <v>20200111150828498</v>
      </c>
      <c r="B1711" t="str">
        <f>"1578726508494625"</f>
        <v>1578726508494625</v>
      </c>
      <c r="C1711" t="s">
        <v>40</v>
      </c>
      <c r="D1711">
        <v>4.8651710000000001</v>
      </c>
      <c r="E1711">
        <v>0.73117019999999899</v>
      </c>
      <c r="F1711" t="s">
        <v>73</v>
      </c>
      <c r="G1711">
        <v>-168.42060000000001</v>
      </c>
      <c r="H1711">
        <v>-1.6803740000000001E-2</v>
      </c>
      <c r="I1711">
        <v>175.87289999999999</v>
      </c>
      <c r="J1711">
        <v>-207.11449999999999</v>
      </c>
      <c r="K1711">
        <v>1.1005720000000001</v>
      </c>
      <c r="L1711">
        <v>212.98249999999999</v>
      </c>
      <c r="M1711">
        <v>0.96782539999999995</v>
      </c>
      <c r="N1711">
        <v>0</v>
      </c>
      <c r="O1711">
        <v>-0.25129020000000002</v>
      </c>
      <c r="P1711">
        <v>0.96626880000000004</v>
      </c>
      <c r="Q1711">
        <v>0.13446649999999999</v>
      </c>
      <c r="R1711">
        <v>-0.21964359999999999</v>
      </c>
      <c r="S1711">
        <v>2.5839840000000001</v>
      </c>
      <c r="T1711">
        <v>-7.4014070000000001E-2</v>
      </c>
      <c r="U1711">
        <v>-2.4637600000000002</v>
      </c>
      <c r="V1711">
        <v>-2.6844690000000001E-2</v>
      </c>
      <c r="W1711">
        <v>0.147925799999999</v>
      </c>
      <c r="X1711">
        <v>0.98863400000000001</v>
      </c>
      <c r="Y1711">
        <v>0.48598940000000002</v>
      </c>
      <c r="Z1711" s="1">
        <v>6.1518509999999996E-6</v>
      </c>
      <c r="AA1711">
        <v>0.87396469999999904</v>
      </c>
      <c r="AB1711">
        <v>33</v>
      </c>
      <c r="AC1711">
        <v>38.6938999999999</v>
      </c>
      <c r="AD1711">
        <v>-1.11737574</v>
      </c>
      <c r="AE1711">
        <v>-37.1096</v>
      </c>
      <c r="AF1711">
        <v>26.183032801220001</v>
      </c>
      <c r="AG1711">
        <v>-1.11737574</v>
      </c>
      <c r="AH1711">
        <v>46.757819363626901</v>
      </c>
      <c r="AI1711">
        <v>91.194478829806897</v>
      </c>
      <c r="AJ1711">
        <v>60.752429315524303</v>
      </c>
      <c r="AK1711">
        <v>53.601244452490697</v>
      </c>
      <c r="AL1711">
        <v>81.493256711701804</v>
      </c>
      <c r="AM1711">
        <v>91.555388136128897</v>
      </c>
      <c r="AN1711">
        <v>0.99999993282141497</v>
      </c>
    </row>
    <row r="1712" spans="1:40" x14ac:dyDescent="0.3">
      <c r="A1712" t="str">
        <f>"20200111150828521"</f>
        <v>20200111150828521</v>
      </c>
      <c r="B1712" t="str">
        <f>"1578726508514144"</f>
        <v>1578726508514144</v>
      </c>
      <c r="C1712" t="s">
        <v>40</v>
      </c>
      <c r="D1712">
        <v>4.9031449999999897</v>
      </c>
      <c r="E1712">
        <v>0.73203439999999997</v>
      </c>
      <c r="F1712" t="s">
        <v>43</v>
      </c>
      <c r="G1712">
        <v>-176.75579999999999</v>
      </c>
      <c r="H1712">
        <v>7.9986539999999995E-2</v>
      </c>
      <c r="I1712">
        <v>183.12309999999999</v>
      </c>
      <c r="J1712">
        <v>-206.7713</v>
      </c>
      <c r="K1712">
        <v>1.10039</v>
      </c>
      <c r="L1712">
        <v>212.88220000000001</v>
      </c>
      <c r="M1712">
        <v>0.96483430000000003</v>
      </c>
      <c r="N1712">
        <v>0</v>
      </c>
      <c r="O1712">
        <v>-0.26253969999999999</v>
      </c>
      <c r="P1712">
        <v>0.96255349999999995</v>
      </c>
      <c r="Q1712">
        <v>0.13475039999999999</v>
      </c>
      <c r="R1712">
        <v>-0.2352293</v>
      </c>
      <c r="S1712">
        <v>2.5471650000000001</v>
      </c>
      <c r="T1712">
        <v>-8.5629579999999997E-2</v>
      </c>
      <c r="U1712">
        <v>-2.50528</v>
      </c>
      <c r="V1712">
        <v>-2.2290770000000001E-2</v>
      </c>
      <c r="W1712">
        <v>0.1481343</v>
      </c>
      <c r="X1712">
        <v>0.98871600000000004</v>
      </c>
      <c r="Y1712">
        <v>0.48936380000000002</v>
      </c>
      <c r="Z1712">
        <v>2.47593E-4</v>
      </c>
      <c r="AA1712">
        <v>0.87207969999999901</v>
      </c>
      <c r="AB1712">
        <v>33</v>
      </c>
      <c r="AC1712">
        <v>30.015499999999999</v>
      </c>
      <c r="AD1712">
        <v>-1.02040346</v>
      </c>
      <c r="AE1712">
        <v>-29.7591</v>
      </c>
      <c r="AF1712">
        <v>20.821951454145498</v>
      </c>
      <c r="AG1712">
        <v>-1.02040346</v>
      </c>
      <c r="AH1712">
        <v>36.754591323726103</v>
      </c>
      <c r="AI1712">
        <v>91.383749481124696</v>
      </c>
      <c r="AJ1712">
        <v>60.467885370908803</v>
      </c>
      <c r="AK1712">
        <v>42.255116482552701</v>
      </c>
      <c r="AL1712">
        <v>81.481177943876105</v>
      </c>
      <c r="AM1712">
        <v>91.291524280904795</v>
      </c>
      <c r="AN1712">
        <v>0.99999998895984099</v>
      </c>
    </row>
    <row r="1713" spans="1:40" x14ac:dyDescent="0.3">
      <c r="A1713" t="str">
        <f>"20200111150828542"</f>
        <v>20200111150828542</v>
      </c>
      <c r="B1713" t="str">
        <f>"1578726508534640"</f>
        <v>1578726508534640</v>
      </c>
      <c r="C1713" t="s">
        <v>40</v>
      </c>
      <c r="D1713">
        <v>4.9090550000000004</v>
      </c>
      <c r="E1713">
        <v>0.73118930000000004</v>
      </c>
      <c r="F1713" t="s">
        <v>43</v>
      </c>
      <c r="G1713">
        <v>-178.11349999999999</v>
      </c>
      <c r="H1713">
        <v>7.9986630000000003E-2</v>
      </c>
      <c r="I1713">
        <v>183.67349999999999</v>
      </c>
      <c r="J1713">
        <v>-206.46440000000001</v>
      </c>
      <c r="K1713">
        <v>1.1002379999999901</v>
      </c>
      <c r="L1713">
        <v>212.7886</v>
      </c>
      <c r="M1713">
        <v>0.96199420000000002</v>
      </c>
      <c r="N1713">
        <v>0</v>
      </c>
      <c r="O1713">
        <v>-0.27276159999999999</v>
      </c>
      <c r="P1713">
        <v>0.95888969999999996</v>
      </c>
      <c r="Q1713">
        <v>0.13563149999999999</v>
      </c>
      <c r="R1713">
        <v>-0.2492682</v>
      </c>
      <c r="S1713">
        <v>2.505188</v>
      </c>
      <c r="T1713">
        <v>-8.9200849999999998E-2</v>
      </c>
      <c r="U1713">
        <v>-2.5533450000000002</v>
      </c>
      <c r="V1713">
        <v>-1.8218740000000001E-2</v>
      </c>
      <c r="W1713">
        <v>0.14894350000000001</v>
      </c>
      <c r="X1713">
        <v>0.9886779</v>
      </c>
      <c r="Y1713">
        <v>0.49562539999999999</v>
      </c>
      <c r="Z1713">
        <v>4.3872650000000002E-4</v>
      </c>
      <c r="AA1713">
        <v>0.86853630000000004</v>
      </c>
      <c r="AB1713">
        <v>33</v>
      </c>
      <c r="AC1713">
        <v>28.350899999999999</v>
      </c>
      <c r="AD1713">
        <v>-1.02025136999999</v>
      </c>
      <c r="AE1713">
        <v>-29.115100000000002</v>
      </c>
      <c r="AF1713">
        <v>20.264453934187301</v>
      </c>
      <c r="AG1713">
        <v>-1.02025136999999</v>
      </c>
      <c r="AH1713">
        <v>35.195662040299197</v>
      </c>
      <c r="AI1713">
        <v>91.439056229755593</v>
      </c>
      <c r="AJ1713">
        <v>60.0681398583882</v>
      </c>
      <c r="AK1713">
        <v>40.625406244907197</v>
      </c>
      <c r="AL1713">
        <v>81.434294528833107</v>
      </c>
      <c r="AM1713">
        <v>91.055691424449506</v>
      </c>
      <c r="AN1713">
        <v>1.0000000393139199</v>
      </c>
    </row>
    <row r="1714" spans="1:40" x14ac:dyDescent="0.3">
      <c r="A1714" t="str">
        <f>"20200111150828564"</f>
        <v>20200111150828564</v>
      </c>
      <c r="B1714" t="str">
        <f>"1578726508554160"</f>
        <v>1578726508554160</v>
      </c>
      <c r="C1714" t="s">
        <v>40</v>
      </c>
      <c r="D1714">
        <v>4.8823740000000004</v>
      </c>
      <c r="E1714">
        <v>0.73067269999999995</v>
      </c>
      <c r="F1714" t="s">
        <v>43</v>
      </c>
      <c r="G1714">
        <v>-179.37039999999999</v>
      </c>
      <c r="H1714">
        <v>7.9986799999999997E-2</v>
      </c>
      <c r="I1714">
        <v>184.44210000000001</v>
      </c>
      <c r="J1714">
        <v>-206.14179999999999</v>
      </c>
      <c r="K1714">
        <v>1.100088</v>
      </c>
      <c r="L1714">
        <v>212.68620000000001</v>
      </c>
      <c r="M1714">
        <v>0.95884130000000001</v>
      </c>
      <c r="N1714">
        <v>0</v>
      </c>
      <c r="O1714">
        <v>-0.28364539999999999</v>
      </c>
      <c r="P1714">
        <v>0.95469409999999999</v>
      </c>
      <c r="Q1714">
        <v>0.13681279999999901</v>
      </c>
      <c r="R1714">
        <v>-0.26427499999999998</v>
      </c>
      <c r="S1714">
        <v>2.4700009999999999</v>
      </c>
      <c r="T1714">
        <v>-9.3010190000000006E-2</v>
      </c>
      <c r="U1714">
        <v>-2.5841829999999999</v>
      </c>
      <c r="V1714">
        <v>-1.3780489999999999E-2</v>
      </c>
      <c r="W1714">
        <v>0.1500406</v>
      </c>
      <c r="X1714">
        <v>0.98858380000000001</v>
      </c>
      <c r="Y1714">
        <v>0.4971293</v>
      </c>
      <c r="Z1714">
        <v>7.3953619999999904E-4</v>
      </c>
      <c r="AA1714">
        <v>0.86767619999999901</v>
      </c>
      <c r="AB1714">
        <v>33</v>
      </c>
      <c r="AC1714">
        <v>26.7714</v>
      </c>
      <c r="AD1714">
        <v>-1.02010119999999</v>
      </c>
      <c r="AE1714">
        <v>-28.2441</v>
      </c>
      <c r="AF1714">
        <v>19.476285991562001</v>
      </c>
      <c r="AG1714">
        <v>-1.02010119999999</v>
      </c>
      <c r="AH1714">
        <v>33.660544513461403</v>
      </c>
      <c r="AI1714">
        <v>91.5025848727241</v>
      </c>
      <c r="AJ1714">
        <v>59.945949722406702</v>
      </c>
      <c r="AK1714">
        <v>38.902423824564899</v>
      </c>
      <c r="AL1714">
        <v>81.370720662714007</v>
      </c>
      <c r="AM1714">
        <v>90.798630102660198</v>
      </c>
      <c r="AN1714">
        <v>1.0000000065877199</v>
      </c>
    </row>
    <row r="1715" spans="1:40" x14ac:dyDescent="0.3">
      <c r="A1715" t="str">
        <f>"20200111150828632"</f>
        <v>20200111150828632</v>
      </c>
      <c r="B1715" t="str">
        <f>"1578726508624443"</f>
        <v>1578726508624443</v>
      </c>
      <c r="C1715" t="s">
        <v>40</v>
      </c>
      <c r="D1715">
        <v>4.7457539999999998</v>
      </c>
      <c r="E1715">
        <v>0.73009780000000002</v>
      </c>
      <c r="F1715" t="s">
        <v>43</v>
      </c>
      <c r="G1715">
        <v>-179.9367</v>
      </c>
      <c r="H1715">
        <v>7.1032929999999994E-2</v>
      </c>
      <c r="I1715">
        <v>184.44640000000001</v>
      </c>
      <c r="J1715">
        <v>-205.17500000000001</v>
      </c>
      <c r="K1715">
        <v>1.099634</v>
      </c>
      <c r="L1715">
        <v>212.35419999999999</v>
      </c>
      <c r="M1715">
        <v>0.94827879999999998</v>
      </c>
      <c r="N1715">
        <v>0</v>
      </c>
      <c r="O1715">
        <v>-0.31717220000000002</v>
      </c>
      <c r="P1715">
        <v>0.94061130000000004</v>
      </c>
      <c r="Q1715">
        <v>0.13936689999999999</v>
      </c>
      <c r="R1715">
        <v>-0.30956030000000001</v>
      </c>
      <c r="S1715">
        <v>2.4308930000000002</v>
      </c>
      <c r="T1715">
        <v>-9.5459340000000004E-2</v>
      </c>
      <c r="U1715">
        <v>-2.6196440000000001</v>
      </c>
      <c r="V1715">
        <v>-9.5085790000000003E-4</v>
      </c>
      <c r="W1715">
        <v>0.15230779999999999</v>
      </c>
      <c r="X1715">
        <v>0.98833260000000001</v>
      </c>
      <c r="Y1715">
        <v>0.47935030000000001</v>
      </c>
      <c r="Z1715">
        <v>2.005288E-3</v>
      </c>
      <c r="AA1715">
        <v>0.8776214</v>
      </c>
      <c r="AB1715">
        <v>33</v>
      </c>
      <c r="AC1715">
        <v>25.238299999999999</v>
      </c>
      <c r="AD1715">
        <v>-1.0286010699999999</v>
      </c>
      <c r="AE1715">
        <v>-27.907799999999899</v>
      </c>
      <c r="AF1715">
        <v>18.447263647030798</v>
      </c>
      <c r="AG1715">
        <v>-1.0286010699999999</v>
      </c>
      <c r="AH1715">
        <v>32.762812469537103</v>
      </c>
      <c r="AI1715">
        <v>91.5670474352968</v>
      </c>
      <c r="AJ1715">
        <v>60.618098443772602</v>
      </c>
      <c r="AK1715">
        <v>37.613314625785499</v>
      </c>
      <c r="AL1715">
        <v>81.239308842502894</v>
      </c>
      <c r="AM1715">
        <v>90.055123273053695</v>
      </c>
      <c r="AN1715">
        <v>0.99999994914717105</v>
      </c>
    </row>
    <row r="1716" spans="1:40" x14ac:dyDescent="0.3">
      <c r="A1716" t="str">
        <f>"20200111150828654"</f>
        <v>20200111150828654</v>
      </c>
      <c r="B1716" t="str">
        <f>"1578726508644928"</f>
        <v>1578726508644928</v>
      </c>
      <c r="C1716" t="s">
        <v>40</v>
      </c>
      <c r="D1716">
        <v>4.7107780000000004</v>
      </c>
      <c r="E1716">
        <v>0.72924019999999901</v>
      </c>
      <c r="F1716" t="s">
        <v>43</v>
      </c>
      <c r="G1716">
        <v>-179.88099999999901</v>
      </c>
      <c r="H1716">
        <v>7.9986169999999995E-2</v>
      </c>
      <c r="I1716">
        <v>182.41319999999999</v>
      </c>
      <c r="J1716">
        <v>-204.8631</v>
      </c>
      <c r="K1716">
        <v>1.0994839999999999</v>
      </c>
      <c r="L1716">
        <v>212.2388</v>
      </c>
      <c r="M1716">
        <v>0.9444882</v>
      </c>
      <c r="N1716">
        <v>0</v>
      </c>
      <c r="O1716">
        <v>-0.32828839999999998</v>
      </c>
      <c r="P1716">
        <v>0.93576029999999999</v>
      </c>
      <c r="Q1716">
        <v>0.1403982</v>
      </c>
      <c r="R1716">
        <v>-0.3234823</v>
      </c>
      <c r="S1716">
        <v>2.3051910000000002</v>
      </c>
      <c r="T1716">
        <v>-9.2926739999999994E-2</v>
      </c>
      <c r="U1716">
        <v>-2.7287140000000001</v>
      </c>
      <c r="V1716">
        <v>2.2400670000000001E-3</v>
      </c>
      <c r="W1716">
        <v>0.15325549999999999</v>
      </c>
      <c r="X1716">
        <v>0.98818399999999995</v>
      </c>
      <c r="Y1716">
        <v>0.50962159999999901</v>
      </c>
      <c r="Z1716">
        <v>1.8095209999999999E-3</v>
      </c>
      <c r="AA1716">
        <v>0.86039669999999902</v>
      </c>
      <c r="AB1716">
        <v>33</v>
      </c>
      <c r="AC1716">
        <v>24.982099999999999</v>
      </c>
      <c r="AD1716">
        <v>-1.0194978299999999</v>
      </c>
      <c r="AE1716">
        <v>-29.825600000000001</v>
      </c>
      <c r="AF1716">
        <v>19.9565754926358</v>
      </c>
      <c r="AG1716">
        <v>-1.0194978299999999</v>
      </c>
      <c r="AH1716">
        <v>33.366603331125397</v>
      </c>
      <c r="AI1716">
        <v>91.502075235872496</v>
      </c>
      <c r="AJ1716">
        <v>59.1163434450579</v>
      </c>
      <c r="AK1716">
        <v>38.892602112423901</v>
      </c>
      <c r="AL1716">
        <v>81.184364516538295</v>
      </c>
      <c r="AM1716">
        <v>89.870119162943098</v>
      </c>
      <c r="AN1716">
        <v>0.99999994201820497</v>
      </c>
    </row>
    <row r="1717" spans="1:40" x14ac:dyDescent="0.3">
      <c r="A1717" t="str">
        <f>"20200111150828677"</f>
        <v>20200111150828677</v>
      </c>
      <c r="B1717" t="str">
        <f>"1578726508674208"</f>
        <v>1578726508674208</v>
      </c>
      <c r="C1717" t="s">
        <v>40</v>
      </c>
      <c r="D1717">
        <v>4.734674</v>
      </c>
      <c r="E1717">
        <v>0.72701789999999999</v>
      </c>
      <c r="F1717" t="s">
        <v>43</v>
      </c>
      <c r="G1717">
        <v>-178.88800000000001</v>
      </c>
      <c r="H1717">
        <v>7.9985699999999896E-2</v>
      </c>
      <c r="I1717">
        <v>180.64830000000001</v>
      </c>
      <c r="J1717">
        <v>-204.54689999999999</v>
      </c>
      <c r="K1717">
        <v>1.09934</v>
      </c>
      <c r="L1717">
        <v>212.1173</v>
      </c>
      <c r="M1717">
        <v>0.9404399</v>
      </c>
      <c r="N1717">
        <v>0</v>
      </c>
      <c r="O1717">
        <v>-0.33971200000000001</v>
      </c>
      <c r="P1717">
        <v>0.92977770000000004</v>
      </c>
      <c r="Q1717">
        <v>0.14411789999999999</v>
      </c>
      <c r="R1717">
        <v>-0.3387384</v>
      </c>
      <c r="S1717">
        <v>2.2664339999999998</v>
      </c>
      <c r="T1717">
        <v>-8.8955279999999998E-2</v>
      </c>
      <c r="U1717">
        <v>-2.7563930000000001</v>
      </c>
      <c r="V1717">
        <v>6.7702639999999998E-3</v>
      </c>
      <c r="W1717">
        <v>0.15684690000000001</v>
      </c>
      <c r="X1717">
        <v>0.98759969999999997</v>
      </c>
      <c r="Y1717">
        <v>0.51064569999999998</v>
      </c>
      <c r="Z1717">
        <v>2.0313110000000001E-3</v>
      </c>
      <c r="AA1717">
        <v>0.85978880000000002</v>
      </c>
      <c r="AB1717">
        <v>33</v>
      </c>
      <c r="AC1717">
        <v>25.6588999999999</v>
      </c>
      <c r="AD1717">
        <v>-1.0193543</v>
      </c>
      <c r="AE1717">
        <v>-31.468999999999902</v>
      </c>
      <c r="AF1717">
        <v>20.866675435578699</v>
      </c>
      <c r="AG1717">
        <v>-1.0193543</v>
      </c>
      <c r="AH1717">
        <v>34.802051133569897</v>
      </c>
      <c r="AI1717">
        <v>91.439004950650698</v>
      </c>
      <c r="AJ1717">
        <v>59.053866414190502</v>
      </c>
      <c r="AK1717">
        <v>40.591131913588299</v>
      </c>
      <c r="AL1717">
        <v>80.976073655384099</v>
      </c>
      <c r="AM1717">
        <v>89.607228032752801</v>
      </c>
      <c r="AN1717">
        <v>0.99999997697716403</v>
      </c>
    </row>
    <row r="1718" spans="1:40" x14ac:dyDescent="0.3">
      <c r="A1718" t="str">
        <f>"20200111150828711"</f>
        <v>20200111150828711</v>
      </c>
      <c r="B1718" t="str">
        <f>"1578726508704464"</f>
        <v>1578726508704464</v>
      </c>
      <c r="C1718" t="s">
        <v>40</v>
      </c>
      <c r="D1718">
        <v>4.8743879999999997</v>
      </c>
      <c r="E1718">
        <v>0.72628340000000002</v>
      </c>
      <c r="F1718" t="s">
        <v>43</v>
      </c>
      <c r="G1718">
        <v>-175.3167</v>
      </c>
      <c r="H1718">
        <v>7.9985860000000006E-2</v>
      </c>
      <c r="I1718">
        <v>175.648</v>
      </c>
      <c r="J1718">
        <v>-204.0744</v>
      </c>
      <c r="K1718">
        <v>1.099145</v>
      </c>
      <c r="L1718">
        <v>211.92689999999999</v>
      </c>
      <c r="M1718">
        <v>0.93398159999999997</v>
      </c>
      <c r="N1718">
        <v>0</v>
      </c>
      <c r="O1718">
        <v>-0.35708509999999999</v>
      </c>
      <c r="P1718">
        <v>0.92042060000000003</v>
      </c>
      <c r="Q1718">
        <v>0.15269170000000001</v>
      </c>
      <c r="R1718">
        <v>-0.35987619999999998</v>
      </c>
      <c r="S1718">
        <v>2.2265470000000001</v>
      </c>
      <c r="T1718">
        <v>-7.7647090000000002E-2</v>
      </c>
      <c r="U1718">
        <v>-2.7779690000000001</v>
      </c>
      <c r="V1718">
        <v>1.182069E-2</v>
      </c>
      <c r="W1718">
        <v>0.1652595</v>
      </c>
      <c r="X1718">
        <v>0.98617929999999998</v>
      </c>
      <c r="Y1718">
        <v>0.50546629999999904</v>
      </c>
      <c r="Z1718">
        <v>2.2607030000000002E-3</v>
      </c>
      <c r="AA1718">
        <v>0.86284349999999999</v>
      </c>
      <c r="AB1718">
        <v>33</v>
      </c>
      <c r="AC1718">
        <v>28.7577</v>
      </c>
      <c r="AD1718">
        <v>-1.01915914</v>
      </c>
      <c r="AE1718">
        <v>-36.278899999999901</v>
      </c>
      <c r="AF1718">
        <v>23.6054295181236</v>
      </c>
      <c r="AG1718">
        <v>-1.01915914</v>
      </c>
      <c r="AH1718">
        <v>39.797886002679597</v>
      </c>
      <c r="AI1718">
        <v>91.261761176687202</v>
      </c>
      <c r="AJ1718">
        <v>59.326432313901698</v>
      </c>
      <c r="AK1718">
        <v>46.283114830033099</v>
      </c>
      <c r="AL1718">
        <v>80.487690527400602</v>
      </c>
      <c r="AM1718">
        <v>89.313265634945907</v>
      </c>
      <c r="AN1718">
        <v>1.0000000214003999</v>
      </c>
    </row>
    <row r="1719" spans="1:40" x14ac:dyDescent="0.3">
      <c r="A1719" t="str">
        <f>"20200111150828732"</f>
        <v>20200111150828732</v>
      </c>
      <c r="B1719" t="str">
        <f>"1578726508724960"</f>
        <v>1578726508724960</v>
      </c>
      <c r="C1719" t="s">
        <v>40</v>
      </c>
      <c r="D1719">
        <v>4.9258540000000002</v>
      </c>
      <c r="E1719">
        <v>0.72556309999999902</v>
      </c>
      <c r="F1719" t="s">
        <v>43</v>
      </c>
      <c r="G1719">
        <v>-159.99430000000001</v>
      </c>
      <c r="H1719">
        <v>7.9985139999999996E-2</v>
      </c>
      <c r="I1719">
        <v>154.37280000000001</v>
      </c>
      <c r="J1719">
        <v>-203.761</v>
      </c>
      <c r="K1719">
        <v>1.099013</v>
      </c>
      <c r="L1719">
        <v>211.79499999999999</v>
      </c>
      <c r="M1719">
        <v>0.92942789999999997</v>
      </c>
      <c r="N1719">
        <v>0</v>
      </c>
      <c r="O1719">
        <v>-0.36877480000000001</v>
      </c>
      <c r="P1719">
        <v>0.91398559999999995</v>
      </c>
      <c r="Q1719">
        <v>0.157477799999999</v>
      </c>
      <c r="R1719">
        <v>-0.37393999999999999</v>
      </c>
      <c r="S1719">
        <v>2.1633</v>
      </c>
      <c r="T1719">
        <v>-5.001676E-2</v>
      </c>
      <c r="U1719">
        <v>-2.824554</v>
      </c>
      <c r="V1719">
        <v>1.5047710000000001E-2</v>
      </c>
      <c r="W1719">
        <v>0.1699407</v>
      </c>
      <c r="X1719">
        <v>0.98533939999999998</v>
      </c>
      <c r="Y1719">
        <v>0.51367429999999903</v>
      </c>
      <c r="Z1719">
        <v>1.572017E-3</v>
      </c>
      <c r="AA1719">
        <v>0.85798379999999996</v>
      </c>
      <c r="AB1719">
        <v>33</v>
      </c>
      <c r="AC1719">
        <v>43.766699999999901</v>
      </c>
      <c r="AD1719">
        <v>-1.01902786</v>
      </c>
      <c r="AE1719">
        <v>-57.422199999999897</v>
      </c>
      <c r="AF1719">
        <v>37.225468180101998</v>
      </c>
      <c r="AG1719">
        <v>-1.01902786</v>
      </c>
      <c r="AH1719">
        <v>61.8467572743291</v>
      </c>
      <c r="AI1719">
        <v>90.808778203598905</v>
      </c>
      <c r="AJ1719">
        <v>58.956329606634299</v>
      </c>
      <c r="AK1719">
        <v>72.192764764600994</v>
      </c>
      <c r="AL1719">
        <v>80.215628792389595</v>
      </c>
      <c r="AM1719">
        <v>89.125069739338301</v>
      </c>
      <c r="AN1719">
        <v>1.0000000041425401</v>
      </c>
    </row>
    <row r="1720" spans="1:40" x14ac:dyDescent="0.3">
      <c r="A1720" t="str">
        <f>"20200111150829023"</f>
        <v>20200111150829023</v>
      </c>
      <c r="B1720" t="str">
        <f>"1578726509014435"</f>
        <v>1578726509014435</v>
      </c>
      <c r="C1720" t="s">
        <v>40</v>
      </c>
      <c r="D1720">
        <v>4.8195589999999999</v>
      </c>
      <c r="E1720">
        <v>0.72559830000000003</v>
      </c>
      <c r="F1720" t="s">
        <v>43</v>
      </c>
      <c r="G1720">
        <v>-144.70429999999999</v>
      </c>
      <c r="H1720" s="1">
        <v>-3.7224109999999998E-6</v>
      </c>
      <c r="I1720">
        <v>132.3468</v>
      </c>
      <c r="J1720">
        <v>-199.8631</v>
      </c>
      <c r="K1720">
        <v>1.0981559999999999</v>
      </c>
      <c r="L1720">
        <v>209.71950000000001</v>
      </c>
      <c r="M1720">
        <v>0.85409429999999997</v>
      </c>
      <c r="N1720">
        <v>0</v>
      </c>
      <c r="O1720">
        <v>-0.51995740000000001</v>
      </c>
      <c r="P1720">
        <v>0.81468799999999997</v>
      </c>
      <c r="Q1720">
        <v>0.16063179999999999</v>
      </c>
      <c r="R1720">
        <v>-0.55720809999999998</v>
      </c>
      <c r="S1720">
        <v>2.1214750000000002</v>
      </c>
      <c r="T1720">
        <v>-3.9479609999999998E-2</v>
      </c>
      <c r="U1720">
        <v>-2.8539889999999999</v>
      </c>
      <c r="V1720">
        <v>5.7261649999999997E-2</v>
      </c>
      <c r="W1720">
        <v>0.1718045</v>
      </c>
      <c r="X1720">
        <v>0.98346540000000005</v>
      </c>
      <c r="Y1720">
        <v>0.37530609999999998</v>
      </c>
      <c r="Z1720">
        <v>3.925853E-3</v>
      </c>
      <c r="AA1720">
        <v>0.92689259999999996</v>
      </c>
      <c r="AB1720">
        <v>33</v>
      </c>
      <c r="AC1720">
        <v>55.158799999999999</v>
      </c>
      <c r="AD1720">
        <v>-1.098159722411</v>
      </c>
      <c r="AE1720">
        <v>-77.372699999999995</v>
      </c>
      <c r="AF1720">
        <v>37.401488164317001</v>
      </c>
      <c r="AG1720">
        <v>-1.098159722411</v>
      </c>
      <c r="AH1720">
        <v>87.336963419869804</v>
      </c>
      <c r="AI1720">
        <v>90.662226122464105</v>
      </c>
      <c r="AJ1720">
        <v>66.817284067378196</v>
      </c>
      <c r="AK1720">
        <v>95.014853844465506</v>
      </c>
      <c r="AL1720">
        <v>80.107246281995302</v>
      </c>
      <c r="AM1720">
        <v>86.667751656227097</v>
      </c>
      <c r="AN1720">
        <v>0.99999993788906405</v>
      </c>
    </row>
    <row r="1721" spans="1:40" x14ac:dyDescent="0.3">
      <c r="A1721" t="str">
        <f>"20200111150829045"</f>
        <v>20200111150829045</v>
      </c>
      <c r="B1721" t="str">
        <f>"1578726509034931"</f>
        <v>1578726509034931</v>
      </c>
      <c r="C1721" t="s">
        <v>40</v>
      </c>
      <c r="D1721">
        <v>4.8145800000000003</v>
      </c>
      <c r="E1721">
        <v>0.72634549999999998</v>
      </c>
      <c r="F1721" t="s">
        <v>75</v>
      </c>
      <c r="G1721">
        <v>-157.55539999999999</v>
      </c>
      <c r="H1721">
        <v>3.9092540000000002E-2</v>
      </c>
      <c r="I1721">
        <v>117.0724</v>
      </c>
      <c r="J1721">
        <v>-199.583</v>
      </c>
      <c r="K1721">
        <v>1.0981270000000001</v>
      </c>
      <c r="L1721">
        <v>209.53550000000001</v>
      </c>
      <c r="M1721">
        <v>0.84729089999999996</v>
      </c>
      <c r="N1721">
        <v>0</v>
      </c>
      <c r="O1721">
        <v>-0.53097150000000004</v>
      </c>
      <c r="P1721">
        <v>0.80606540000000004</v>
      </c>
      <c r="Q1721">
        <v>0.1605085</v>
      </c>
      <c r="R1721">
        <v>-0.56964550000000003</v>
      </c>
      <c r="S1721">
        <v>1.477203</v>
      </c>
      <c r="T1721">
        <v>-3.6977530000000002E-2</v>
      </c>
      <c r="U1721">
        <v>-3.2348330000000001</v>
      </c>
      <c r="V1721">
        <v>5.9617330000000003E-2</v>
      </c>
      <c r="W1721">
        <v>0.17160999999999901</v>
      </c>
      <c r="X1721">
        <v>0.98335950000000005</v>
      </c>
      <c r="Y1721">
        <v>0.55021249999999999</v>
      </c>
      <c r="Z1721">
        <v>2.8796080000000001E-3</v>
      </c>
      <c r="AA1721">
        <v>0.83501970000000003</v>
      </c>
      <c r="AB1721">
        <v>33</v>
      </c>
      <c r="AC1721">
        <v>42.0276</v>
      </c>
      <c r="AD1721">
        <v>-1.0590344599999999</v>
      </c>
      <c r="AE1721">
        <v>-92.463099999999997</v>
      </c>
      <c r="AF1721">
        <v>56.026284103032303</v>
      </c>
      <c r="AG1721">
        <v>-1.0590344599999999</v>
      </c>
      <c r="AH1721">
        <v>84.702755390618606</v>
      </c>
      <c r="AI1721">
        <v>90.597466994705002</v>
      </c>
      <c r="AJ1721">
        <v>56.517523214386699</v>
      </c>
      <c r="AK1721">
        <v>101.56093163783</v>
      </c>
      <c r="AL1721">
        <v>80.118559558561302</v>
      </c>
      <c r="AM1721">
        <v>86.530622207808605</v>
      </c>
      <c r="AN1721">
        <v>1.0000000621882801</v>
      </c>
    </row>
    <row r="1722" spans="1:40" x14ac:dyDescent="0.3">
      <c r="A1722" t="str">
        <f>"20200111150829068"</f>
        <v>20200111150829068</v>
      </c>
      <c r="B1722" t="str">
        <f>"1578726509064211"</f>
        <v>1578726509064211</v>
      </c>
      <c r="C1722" t="s">
        <v>40</v>
      </c>
      <c r="D1722">
        <v>5.527603</v>
      </c>
      <c r="E1722">
        <v>0.72667660000000001</v>
      </c>
      <c r="F1722" t="s">
        <v>43</v>
      </c>
      <c r="G1722">
        <v>-164.66909999999999</v>
      </c>
      <c r="H1722">
        <v>2.9210259999999998E-2</v>
      </c>
      <c r="I1722">
        <v>129.6163</v>
      </c>
      <c r="J1722">
        <v>-199.3006</v>
      </c>
      <c r="K1722">
        <v>1.0980989999999999</v>
      </c>
      <c r="L1722">
        <v>209.34479999999999</v>
      </c>
      <c r="M1722">
        <v>0.84022799999999997</v>
      </c>
      <c r="N1722">
        <v>0</v>
      </c>
      <c r="O1722">
        <v>-0.54207899999999998</v>
      </c>
      <c r="P1722">
        <v>0.79766749999999997</v>
      </c>
      <c r="Q1722">
        <v>0.1590433</v>
      </c>
      <c r="R1722">
        <v>-0.58174910000000002</v>
      </c>
      <c r="S1722">
        <v>1.425125</v>
      </c>
      <c r="T1722">
        <v>-4.3631320000000001E-2</v>
      </c>
      <c r="U1722">
        <v>-3.2621609999999999</v>
      </c>
      <c r="V1722">
        <v>6.1326850000000002E-2</v>
      </c>
      <c r="W1722">
        <v>0.1700953</v>
      </c>
      <c r="X1722">
        <v>0.98351750000000004</v>
      </c>
      <c r="Y1722">
        <v>0.55299160000000003</v>
      </c>
      <c r="Z1722">
        <v>3.5375720000000001E-3</v>
      </c>
      <c r="AA1722">
        <v>0.83317929999999996</v>
      </c>
      <c r="AB1722">
        <v>33</v>
      </c>
      <c r="AC1722">
        <v>34.631500000000003</v>
      </c>
      <c r="AD1722">
        <v>-1.06888874</v>
      </c>
      <c r="AE1722">
        <v>-79.728499999999997</v>
      </c>
      <c r="AF1722">
        <v>48.213851935571597</v>
      </c>
      <c r="AG1722">
        <v>-1.06888874</v>
      </c>
      <c r="AH1722">
        <v>72.312616174004702</v>
      </c>
      <c r="AI1722">
        <v>90.704617883584007</v>
      </c>
      <c r="AJ1722">
        <v>56.306947891691699</v>
      </c>
      <c r="AK1722">
        <v>86.918539446614304</v>
      </c>
      <c r="AL1722">
        <v>80.206640284110094</v>
      </c>
      <c r="AM1722">
        <v>86.431963528240502</v>
      </c>
      <c r="AN1722">
        <v>1.0000000332096299</v>
      </c>
    </row>
    <row r="1723" spans="1:40" x14ac:dyDescent="0.3">
      <c r="A1723" t="str">
        <f>"20200111150829090"</f>
        <v>20200111150829090</v>
      </c>
      <c r="B1723" t="str">
        <f>"1578726509084706"</f>
        <v>1578726509084706</v>
      </c>
      <c r="C1723" t="s">
        <v>40</v>
      </c>
      <c r="D1723">
        <v>4.960102</v>
      </c>
      <c r="E1723">
        <v>0.68656399999999995</v>
      </c>
      <c r="F1723" t="s">
        <v>43</v>
      </c>
      <c r="G1723">
        <v>-168.94799999999901</v>
      </c>
      <c r="H1723" s="1">
        <v>-1.13708E-6</v>
      </c>
      <c r="I1723">
        <v>136.80170000000001</v>
      </c>
      <c r="J1723">
        <v>-199.01679999999999</v>
      </c>
      <c r="K1723">
        <v>1.0980760000000001</v>
      </c>
      <c r="L1723">
        <v>209.14760000000001</v>
      </c>
      <c r="M1723">
        <v>0.83291579999999998</v>
      </c>
      <c r="N1723">
        <v>0</v>
      </c>
      <c r="O1723">
        <v>-0.55324839999999997</v>
      </c>
      <c r="P1723">
        <v>0.78894259999999905</v>
      </c>
      <c r="Q1723">
        <v>0.15756809999999999</v>
      </c>
      <c r="R1723">
        <v>-0.59392119999999904</v>
      </c>
      <c r="S1723">
        <v>1.374695</v>
      </c>
      <c r="T1723">
        <v>-4.9733880000000001E-2</v>
      </c>
      <c r="U1723">
        <v>-3.2855379999999998</v>
      </c>
      <c r="V1723">
        <v>6.309149E-2</v>
      </c>
      <c r="W1723">
        <v>0.16856940000000001</v>
      </c>
      <c r="X1723">
        <v>0.9836686</v>
      </c>
      <c r="Y1723">
        <v>0.55486610000000003</v>
      </c>
      <c r="Z1723">
        <v>4.2028999999999999E-3</v>
      </c>
      <c r="AA1723">
        <v>0.83192900000000003</v>
      </c>
      <c r="AB1723">
        <v>33</v>
      </c>
      <c r="AC1723">
        <v>30.0688</v>
      </c>
      <c r="AD1723">
        <v>-1.09807713708</v>
      </c>
      <c r="AE1723">
        <v>-72.3459</v>
      </c>
      <c r="AF1723">
        <v>43.617612718522203</v>
      </c>
      <c r="AG1723">
        <v>-1.09807713708</v>
      </c>
      <c r="AH1723">
        <v>65.062700563354397</v>
      </c>
      <c r="AI1723">
        <v>90.803150077458</v>
      </c>
      <c r="AJ1723">
        <v>56.162356210153803</v>
      </c>
      <c r="AK1723">
        <v>78.338093653462707</v>
      </c>
      <c r="AL1723">
        <v>80.295349093983205</v>
      </c>
      <c r="AM1723">
        <v>86.330134629095497</v>
      </c>
      <c r="AN1723">
        <v>1.0000000466763601</v>
      </c>
    </row>
    <row r="1724" spans="1:40" x14ac:dyDescent="0.3">
      <c r="A1724" t="str">
        <f>"20200111150829113"</f>
        <v>20200111150829113</v>
      </c>
      <c r="B1724" t="str">
        <f>"1578726509105203"</f>
        <v>1578726509105203</v>
      </c>
      <c r="C1724" t="s">
        <v>40</v>
      </c>
      <c r="D1724">
        <v>5.0147139999999997</v>
      </c>
      <c r="E1724">
        <v>0.73998640000000004</v>
      </c>
      <c r="F1724" t="s">
        <v>75</v>
      </c>
      <c r="G1724">
        <v>-154.13239999999999</v>
      </c>
      <c r="H1724">
        <v>29.484000000000002</v>
      </c>
      <c r="I1724">
        <v>117.90989999999999</v>
      </c>
      <c r="J1724">
        <v>-198.7364</v>
      </c>
      <c r="K1724">
        <v>1.0980510000000001</v>
      </c>
      <c r="L1724">
        <v>208.94730000000001</v>
      </c>
      <c r="M1724">
        <v>0.82547559999999998</v>
      </c>
      <c r="N1724">
        <v>0</v>
      </c>
      <c r="O1724">
        <v>-0.56428959999999995</v>
      </c>
      <c r="P1724">
        <v>0.77977450000000004</v>
      </c>
      <c r="Q1724">
        <v>0.15724759999999999</v>
      </c>
      <c r="R1724">
        <v>-0.60599119999999995</v>
      </c>
      <c r="S1724">
        <v>1.431381</v>
      </c>
      <c r="T1724">
        <v>0.9052384</v>
      </c>
      <c r="U1724">
        <v>-2.9096069999999998</v>
      </c>
      <c r="V1724">
        <v>6.509355E-2</v>
      </c>
      <c r="W1724">
        <v>0.16818920000000001</v>
      </c>
      <c r="X1724">
        <v>0.98360320000000001</v>
      </c>
      <c r="Y1724">
        <v>0.4918592</v>
      </c>
      <c r="Z1724">
        <v>-9.4575019999999996E-2</v>
      </c>
      <c r="AA1724">
        <v>0.86552299999999904</v>
      </c>
      <c r="AB1724">
        <v>33</v>
      </c>
      <c r="AC1724">
        <v>44.603999999999999</v>
      </c>
      <c r="AD1724">
        <v>28.385949</v>
      </c>
      <c r="AE1724">
        <v>-91.037400000000005</v>
      </c>
      <c r="AF1724">
        <v>46.349842850399</v>
      </c>
      <c r="AG1724">
        <v>28.385949</v>
      </c>
      <c r="AH1724">
        <v>81.786156565432805</v>
      </c>
      <c r="AI1724">
        <v>73.197980866683395</v>
      </c>
      <c r="AJ1724">
        <v>60.458908894473801</v>
      </c>
      <c r="AK1724">
        <v>98.199009356677195</v>
      </c>
      <c r="AL1724">
        <v>80.317448178856594</v>
      </c>
      <c r="AM1724">
        <v>86.213762588940497</v>
      </c>
      <c r="AN1724">
        <v>1.0000000161492399</v>
      </c>
    </row>
    <row r="1725" spans="1:40" x14ac:dyDescent="0.3">
      <c r="A1725" t="str">
        <f>"20200111150829135"</f>
        <v>20200111150829135</v>
      </c>
      <c r="B1725" t="str">
        <f>"1578726509124723"</f>
        <v>1578726509124723</v>
      </c>
      <c r="C1725" t="s">
        <v>40</v>
      </c>
      <c r="D1725">
        <v>5.0523199999999999</v>
      </c>
      <c r="E1725">
        <v>0.73995759999999999</v>
      </c>
      <c r="F1725" t="s">
        <v>43</v>
      </c>
      <c r="G1725">
        <v>-188.03829999999999</v>
      </c>
      <c r="H1725" s="1">
        <v>-4.2878260000000001E-6</v>
      </c>
      <c r="I1725">
        <v>178.8167</v>
      </c>
      <c r="J1725">
        <v>-198.46340000000001</v>
      </c>
      <c r="K1725">
        <v>1.0980430000000001</v>
      </c>
      <c r="L1725">
        <v>208.74680000000001</v>
      </c>
      <c r="M1725">
        <v>0.81801959999999996</v>
      </c>
      <c r="N1725">
        <v>0</v>
      </c>
      <c r="O1725">
        <v>-0.57504469999999996</v>
      </c>
      <c r="P1725">
        <v>0.77132919999999905</v>
      </c>
      <c r="Q1725">
        <v>0.1568746</v>
      </c>
      <c r="R1725">
        <v>-0.61679949999999995</v>
      </c>
      <c r="S1725">
        <v>1.214386</v>
      </c>
      <c r="T1725">
        <v>-0.1246444</v>
      </c>
      <c r="U1725">
        <v>-3.420242</v>
      </c>
      <c r="V1725">
        <v>6.5879699999999999E-2</v>
      </c>
      <c r="W1725">
        <v>0.16779340000000001</v>
      </c>
      <c r="X1725">
        <v>0.9836184</v>
      </c>
      <c r="Y1725">
        <v>0.57847760000000004</v>
      </c>
      <c r="Z1725">
        <v>1.0794969999999999E-2</v>
      </c>
      <c r="AA1725">
        <v>0.81562690000000004</v>
      </c>
      <c r="AB1725">
        <v>33</v>
      </c>
      <c r="AC1725">
        <v>10.4251</v>
      </c>
      <c r="AD1725">
        <v>-1.0980472878259999</v>
      </c>
      <c r="AE1725">
        <v>-29.930099999999999</v>
      </c>
      <c r="AF1725">
        <v>18.467891514121899</v>
      </c>
      <c r="AG1725">
        <v>-1.0980472878259999</v>
      </c>
      <c r="AH1725">
        <v>25.710377245314199</v>
      </c>
      <c r="AI1725">
        <v>91.986629943562804</v>
      </c>
      <c r="AJ1725">
        <v>54.310125315548397</v>
      </c>
      <c r="AK1725">
        <v>31.674788443177501</v>
      </c>
      <c r="AL1725">
        <v>80.340452215250906</v>
      </c>
      <c r="AM1725">
        <v>86.168229771047095</v>
      </c>
      <c r="AN1725">
        <v>0.99999995838710398</v>
      </c>
    </row>
    <row r="1726" spans="1:40" x14ac:dyDescent="0.3">
      <c r="A1726" t="str">
        <f>"20200111150829160"</f>
        <v>20200111150829160</v>
      </c>
      <c r="B1726" t="str">
        <f>"1578726509154978"</f>
        <v>1578726509154978</v>
      </c>
      <c r="C1726" t="s">
        <v>40</v>
      </c>
      <c r="D1726">
        <v>5.072139</v>
      </c>
      <c r="E1726">
        <v>0.73703169999999996</v>
      </c>
      <c r="F1726" t="s">
        <v>43</v>
      </c>
      <c r="G1726">
        <v>-189.1285</v>
      </c>
      <c r="H1726" s="1">
        <v>-8.5499430000000004E-7</v>
      </c>
      <c r="I1726">
        <v>181.2654</v>
      </c>
      <c r="J1726">
        <v>-198.1942</v>
      </c>
      <c r="K1726">
        <v>1.098034</v>
      </c>
      <c r="L1726">
        <v>208.5437</v>
      </c>
      <c r="M1726">
        <v>0.81045999999999996</v>
      </c>
      <c r="N1726">
        <v>0</v>
      </c>
      <c r="O1726">
        <v>-0.58565080000000003</v>
      </c>
      <c r="P1726">
        <v>0.76279989999999998</v>
      </c>
      <c r="Q1726">
        <v>0.1562954</v>
      </c>
      <c r="R1726">
        <v>-0.62746169999999901</v>
      </c>
      <c r="S1726">
        <v>1.1679079999999999</v>
      </c>
      <c r="T1726">
        <v>-0.13737849999999999</v>
      </c>
      <c r="U1726">
        <v>-3.4382480000000002</v>
      </c>
      <c r="V1726">
        <v>6.6658949999999995E-2</v>
      </c>
      <c r="W1726">
        <v>0.16719589999999901</v>
      </c>
      <c r="X1726">
        <v>0.98366770000000003</v>
      </c>
      <c r="Y1726">
        <v>0.57904049999999996</v>
      </c>
      <c r="Z1726">
        <v>1.237155E-2</v>
      </c>
      <c r="AA1726">
        <v>0.81520490000000001</v>
      </c>
      <c r="AB1726">
        <v>33</v>
      </c>
      <c r="AC1726">
        <v>9.0656999999999908</v>
      </c>
      <c r="AD1726">
        <v>-1.0980348549943</v>
      </c>
      <c r="AE1726">
        <v>-27.278300000000002</v>
      </c>
      <c r="AF1726">
        <v>16.7755675627781</v>
      </c>
      <c r="AG1726">
        <v>-1.0980348549943</v>
      </c>
      <c r="AH1726">
        <v>23.290916829944202</v>
      </c>
      <c r="AI1726">
        <v>92.190752705093402</v>
      </c>
      <c r="AJ1726">
        <v>54.236219120891697</v>
      </c>
      <c r="AK1726">
        <v>28.7244173896616</v>
      </c>
      <c r="AL1726">
        <v>80.375177546495706</v>
      </c>
      <c r="AM1726">
        <v>86.123237275373995</v>
      </c>
      <c r="AN1726">
        <v>1.0000000143076</v>
      </c>
    </row>
    <row r="1727" spans="1:40" x14ac:dyDescent="0.3">
      <c r="A1727" t="str">
        <f>"20200111150829181"</f>
        <v>20200111150829181</v>
      </c>
      <c r="B1727" t="str">
        <f>"1578726509174498"</f>
        <v>1578726509174498</v>
      </c>
      <c r="C1727" t="s">
        <v>40</v>
      </c>
      <c r="D1727">
        <v>5.1780239999999997</v>
      </c>
      <c r="E1727">
        <v>0.73420830000000004</v>
      </c>
      <c r="F1727" t="s">
        <v>43</v>
      </c>
      <c r="G1727">
        <v>-189.18360000000001</v>
      </c>
      <c r="H1727" s="1">
        <v>-8.4826580000000002E-7</v>
      </c>
      <c r="I1727">
        <v>181.27250000000001</v>
      </c>
      <c r="J1727">
        <v>-197.917</v>
      </c>
      <c r="K1727">
        <v>1.09802</v>
      </c>
      <c r="L1727">
        <v>208.32859999999999</v>
      </c>
      <c r="M1727">
        <v>0.80244729999999997</v>
      </c>
      <c r="N1727">
        <v>0</v>
      </c>
      <c r="O1727">
        <v>-0.59658219999999995</v>
      </c>
      <c r="P1727">
        <v>0.7537355</v>
      </c>
      <c r="Q1727">
        <v>0.1556689</v>
      </c>
      <c r="R1727">
        <v>-0.63847480000000001</v>
      </c>
      <c r="S1727">
        <v>1.1351469999999999</v>
      </c>
      <c r="T1727">
        <v>-0.13832910000000001</v>
      </c>
      <c r="U1727">
        <v>-3.4355929999999999</v>
      </c>
      <c r="V1727">
        <v>6.752234E-2</v>
      </c>
      <c r="W1727">
        <v>0.16655220000000001</v>
      </c>
      <c r="X1727">
        <v>0.98371799999999998</v>
      </c>
      <c r="Y1727">
        <v>0.57478370000000001</v>
      </c>
      <c r="Z1727">
        <v>1.310483E-2</v>
      </c>
      <c r="AA1727">
        <v>0.81820039999999905</v>
      </c>
      <c r="AB1727">
        <v>33</v>
      </c>
      <c r="AC1727">
        <v>8.7333999999999801</v>
      </c>
      <c r="AD1727">
        <v>-1.0980208482658</v>
      </c>
      <c r="AE1727">
        <v>-27.056099999999901</v>
      </c>
      <c r="AF1727">
        <v>16.477711941394901</v>
      </c>
      <c r="AG1727">
        <v>-1.0980208482658</v>
      </c>
      <c r="AH1727">
        <v>23.1167453728476</v>
      </c>
      <c r="AI1727">
        <v>92.215014138589495</v>
      </c>
      <c r="AJ1727">
        <v>54.518570973030002</v>
      </c>
      <c r="AK1727">
        <v>28.409585657659399</v>
      </c>
      <c r="AL1727">
        <v>80.412583222588594</v>
      </c>
      <c r="AM1727">
        <v>86.073380343833193</v>
      </c>
      <c r="AN1727">
        <v>1.0000000026239499</v>
      </c>
    </row>
    <row r="1728" spans="1:40" x14ac:dyDescent="0.3">
      <c r="A1728" t="str">
        <f>"20200111150829202"</f>
        <v>20200111150829202</v>
      </c>
      <c r="B1728" t="str">
        <f>"1578726509194994"</f>
        <v>1578726509194994</v>
      </c>
      <c r="C1728" t="s">
        <v>40</v>
      </c>
      <c r="D1728">
        <v>5.1203329999999996</v>
      </c>
      <c r="E1728">
        <v>0.732340199999999</v>
      </c>
      <c r="F1728" t="s">
        <v>43</v>
      </c>
      <c r="G1728">
        <v>-189.23580000000001</v>
      </c>
      <c r="H1728" s="1">
        <v>-8.2616799999999999E-7</v>
      </c>
      <c r="I1728">
        <v>181.24260000000001</v>
      </c>
      <c r="J1728">
        <v>-197.65469999999999</v>
      </c>
      <c r="K1728">
        <v>1.0980160000000001</v>
      </c>
      <c r="L1728">
        <v>208.11920000000001</v>
      </c>
      <c r="M1728">
        <v>0.79464399999999902</v>
      </c>
      <c r="N1728">
        <v>0</v>
      </c>
      <c r="O1728">
        <v>-0.60693710000000001</v>
      </c>
      <c r="P1728">
        <v>0.74511899999999998</v>
      </c>
      <c r="Q1728">
        <v>0.15491250000000001</v>
      </c>
      <c r="R1728">
        <v>-0.64869089999999996</v>
      </c>
      <c r="S1728">
        <v>1.1004640000000001</v>
      </c>
      <c r="T1728">
        <v>-0.13918949999999999</v>
      </c>
      <c r="U1728">
        <v>-3.4335330000000002</v>
      </c>
      <c r="V1728">
        <v>6.8063559999999995E-2</v>
      </c>
      <c r="W1728">
        <v>0.16579050000000001</v>
      </c>
      <c r="X1728">
        <v>0.98380939999999995</v>
      </c>
      <c r="Y1728">
        <v>0.57149989999999995</v>
      </c>
      <c r="Z1728">
        <v>1.3794819999999999E-2</v>
      </c>
      <c r="AA1728">
        <v>0.82048619999999906</v>
      </c>
      <c r="AB1728">
        <v>33</v>
      </c>
      <c r="AC1728">
        <v>8.4188999999999794</v>
      </c>
      <c r="AD1728">
        <v>-1.0980168261679999</v>
      </c>
      <c r="AE1728">
        <v>-26.8766</v>
      </c>
      <c r="AF1728">
        <v>16.224293803805299</v>
      </c>
      <c r="AG1728">
        <v>-1.0980168261679999</v>
      </c>
      <c r="AH1728">
        <v>22.9694579764125</v>
      </c>
      <c r="AI1728">
        <v>92.235997086634598</v>
      </c>
      <c r="AJ1728">
        <v>54.764831812316601</v>
      </c>
      <c r="AK1728">
        <v>28.143016009534598</v>
      </c>
      <c r="AL1728">
        <v>80.456841065130703</v>
      </c>
      <c r="AM1728">
        <v>86.042373016226506</v>
      </c>
      <c r="AN1728">
        <v>1.0000000368092401</v>
      </c>
    </row>
    <row r="1729" spans="1:40" x14ac:dyDescent="0.3">
      <c r="A1729" t="str">
        <f>"20200111150829224"</f>
        <v>20200111150829224</v>
      </c>
      <c r="B1729" t="str">
        <f>"1578726509214515"</f>
        <v>1578726509214515</v>
      </c>
      <c r="C1729" t="s">
        <v>40</v>
      </c>
      <c r="D1729">
        <v>5.1619060000000001</v>
      </c>
      <c r="E1729">
        <v>0.6998299</v>
      </c>
      <c r="F1729" t="s">
        <v>43</v>
      </c>
      <c r="G1729">
        <v>-189.73519999999999</v>
      </c>
      <c r="H1729" s="1">
        <v>-1.294169E-6</v>
      </c>
      <c r="I1729">
        <v>182.54</v>
      </c>
      <c r="J1729">
        <v>-197.39750000000001</v>
      </c>
      <c r="K1729">
        <v>1.0979989999999999</v>
      </c>
      <c r="L1729">
        <v>207.9085</v>
      </c>
      <c r="M1729">
        <v>0.78678049999999999</v>
      </c>
      <c r="N1729">
        <v>0</v>
      </c>
      <c r="O1729">
        <v>-0.61709630000000004</v>
      </c>
      <c r="P1729">
        <v>0.73612149999999998</v>
      </c>
      <c r="Q1729">
        <v>0.15442829999999999</v>
      </c>
      <c r="R1729">
        <v>-0.65899680000000005</v>
      </c>
      <c r="S1729">
        <v>1.06427</v>
      </c>
      <c r="T1729">
        <v>-0.147557299999999</v>
      </c>
      <c r="U1729">
        <v>-3.4374690000000001</v>
      </c>
      <c r="V1729">
        <v>6.9041469999999994E-2</v>
      </c>
      <c r="W1729">
        <v>0.16528779999999901</v>
      </c>
      <c r="X1729">
        <v>0.98382579999999997</v>
      </c>
      <c r="Y1729">
        <v>0.56908910000000001</v>
      </c>
      <c r="Z1729">
        <v>1.522153E-2</v>
      </c>
      <c r="AA1729">
        <v>0.82213499999999995</v>
      </c>
      <c r="AB1729">
        <v>33</v>
      </c>
      <c r="AC1729">
        <v>7.6623000000000099</v>
      </c>
      <c r="AD1729">
        <v>-1.0980002941689999</v>
      </c>
      <c r="AE1729">
        <v>-25.368500000000001</v>
      </c>
      <c r="AF1729">
        <v>15.206243404712399</v>
      </c>
      <c r="AG1729">
        <v>-1.0980002941689999</v>
      </c>
      <c r="AH1729">
        <v>21.648020247684801</v>
      </c>
      <c r="AI1729">
        <v>92.376666583970106</v>
      </c>
      <c r="AJ1729">
        <v>54.914600831793599</v>
      </c>
      <c r="AK1729">
        <v>26.477768481757099</v>
      </c>
      <c r="AL1729">
        <v>80.486046175098394</v>
      </c>
      <c r="AM1729">
        <v>85.985762702276503</v>
      </c>
      <c r="AN1729">
        <v>0.99999999307711995</v>
      </c>
    </row>
    <row r="1730" spans="1:40" x14ac:dyDescent="0.3">
      <c r="A1730" t="str">
        <f>"20200111150829246"</f>
        <v>20200111150829246</v>
      </c>
      <c r="B1730" t="str">
        <f>"1578726509244771"</f>
        <v>1578726509244771</v>
      </c>
      <c r="C1730" t="s">
        <v>40</v>
      </c>
      <c r="D1730">
        <v>5.1939820000000001</v>
      </c>
      <c r="E1730">
        <v>0.7015285</v>
      </c>
      <c r="F1730" t="s">
        <v>43</v>
      </c>
      <c r="G1730">
        <v>-190.77629999999999</v>
      </c>
      <c r="H1730" s="1">
        <v>-2.9125659999999998E-7</v>
      </c>
      <c r="I1730">
        <v>189.78649999999999</v>
      </c>
      <c r="J1730">
        <v>-197.1371</v>
      </c>
      <c r="K1730">
        <v>1.0979909999999999</v>
      </c>
      <c r="L1730">
        <v>207.6893</v>
      </c>
      <c r="M1730">
        <v>0.77859509999999998</v>
      </c>
      <c r="N1730">
        <v>0</v>
      </c>
      <c r="O1730">
        <v>-0.62739230000000001</v>
      </c>
      <c r="P1730">
        <v>0.72715450000000004</v>
      </c>
      <c r="Q1730">
        <v>0.1535271</v>
      </c>
      <c r="R1730">
        <v>-0.66908599999999996</v>
      </c>
      <c r="S1730">
        <v>1.1932529999999999</v>
      </c>
      <c r="T1730">
        <v>-0.1978782</v>
      </c>
      <c r="U1730">
        <v>-3.2658839999999998</v>
      </c>
      <c r="V1730">
        <v>6.9525260000000005E-2</v>
      </c>
      <c r="W1730">
        <v>0.16438239999999901</v>
      </c>
      <c r="X1730">
        <v>0.98394340000000002</v>
      </c>
      <c r="Y1730">
        <v>0.51606229999999997</v>
      </c>
      <c r="Z1730">
        <v>2.3363450000000001E-2</v>
      </c>
      <c r="AA1730">
        <v>0.85623229999999995</v>
      </c>
      <c r="AB1730">
        <v>33</v>
      </c>
      <c r="AC1730">
        <v>6.36080000000001</v>
      </c>
      <c r="AD1730">
        <v>-1.0979912912566001</v>
      </c>
      <c r="AE1730">
        <v>-17.902799999999999</v>
      </c>
      <c r="AF1730">
        <v>9.9160359758455208</v>
      </c>
      <c r="AG1730">
        <v>-1.0979912912566001</v>
      </c>
      <c r="AH1730">
        <v>16.132052290275801</v>
      </c>
      <c r="AI1730">
        <v>93.318547201986405</v>
      </c>
      <c r="AJ1730">
        <v>58.421825184572803</v>
      </c>
      <c r="AK1730">
        <v>18.967774393590101</v>
      </c>
      <c r="AL1730">
        <v>80.538641041996399</v>
      </c>
      <c r="AM1730">
        <v>85.958208438024101</v>
      </c>
      <c r="AN1730">
        <v>0.99999997480569303</v>
      </c>
    </row>
    <row r="1731" spans="1:40" x14ac:dyDescent="0.3">
      <c r="A1731" t="str">
        <f>"20200111150829270"</f>
        <v>20200111150829270</v>
      </c>
      <c r="B1731" t="str">
        <f>"1578726509264293"</f>
        <v>1578726509264293</v>
      </c>
      <c r="C1731" t="s">
        <v>40</v>
      </c>
      <c r="D1731">
        <v>5.2002579999999998</v>
      </c>
      <c r="E1731">
        <v>0.69957639999999999</v>
      </c>
      <c r="F1731" t="s">
        <v>43</v>
      </c>
      <c r="G1731">
        <v>-189.83359999999999</v>
      </c>
      <c r="H1731" s="1">
        <v>-3.0074460000000002E-6</v>
      </c>
      <c r="I1731">
        <v>186.5744</v>
      </c>
      <c r="J1731">
        <v>-196.87610000000001</v>
      </c>
      <c r="K1731">
        <v>1.0979920000000001</v>
      </c>
      <c r="L1731">
        <v>207.4639</v>
      </c>
      <c r="M1731">
        <v>0.77016600000000002</v>
      </c>
      <c r="N1731">
        <v>0</v>
      </c>
      <c r="O1731">
        <v>-0.63771109999999998</v>
      </c>
      <c r="P1731">
        <v>0.71826429999999997</v>
      </c>
      <c r="Q1731">
        <v>0.15301600000000001</v>
      </c>
      <c r="R1731">
        <v>-0.67873629999999996</v>
      </c>
      <c r="S1731">
        <v>1.137024</v>
      </c>
      <c r="T1731">
        <v>-0.1709386</v>
      </c>
      <c r="U1731">
        <v>-3.2872309999999998</v>
      </c>
      <c r="V1731">
        <v>6.9470859999999995E-2</v>
      </c>
      <c r="W1731">
        <v>0.16388339999999901</v>
      </c>
      <c r="X1731">
        <v>0.98403050000000003</v>
      </c>
      <c r="Y1731">
        <v>0.51945109999999906</v>
      </c>
      <c r="Z1731">
        <v>2.0721980000000001E-2</v>
      </c>
      <c r="AA1731">
        <v>0.85424889999999998</v>
      </c>
      <c r="AB1731">
        <v>33</v>
      </c>
      <c r="AC1731">
        <v>7.0425000000000102</v>
      </c>
      <c r="AD1731">
        <v>-1.0979950074459901</v>
      </c>
      <c r="AE1731">
        <v>-20.889500000000002</v>
      </c>
      <c r="AF1731">
        <v>11.5695797679692</v>
      </c>
      <c r="AG1731">
        <v>-1.0979950074459901</v>
      </c>
      <c r="AH1731">
        <v>18.700550723575901</v>
      </c>
      <c r="AI1731">
        <v>92.858476935702598</v>
      </c>
      <c r="AJ1731">
        <v>58.255920458155103</v>
      </c>
      <c r="AK1731">
        <v>22.017524075354501</v>
      </c>
      <c r="AL1731">
        <v>80.567624918502304</v>
      </c>
      <c r="AM1731">
        <v>85.961716758063702</v>
      </c>
      <c r="AN1731">
        <v>0.999999997057474</v>
      </c>
    </row>
    <row r="1732" spans="1:40" x14ac:dyDescent="0.3">
      <c r="A1732" t="str">
        <f>"20200111150829293"</f>
        <v>20200111150829293</v>
      </c>
      <c r="B1732" t="str">
        <f>"1578726509284787"</f>
        <v>1578726509284787</v>
      </c>
      <c r="C1732" t="s">
        <v>40</v>
      </c>
      <c r="D1732">
        <v>5.2351369999999999</v>
      </c>
      <c r="E1732">
        <v>0.69906590000000002</v>
      </c>
      <c r="F1732" t="s">
        <v>43</v>
      </c>
      <c r="G1732">
        <v>-189.6454</v>
      </c>
      <c r="H1732" s="1">
        <v>-2.7533969999999999E-6</v>
      </c>
      <c r="I1732">
        <v>185.90440000000001</v>
      </c>
      <c r="J1732">
        <v>-196.614</v>
      </c>
      <c r="K1732">
        <v>1.0979890000000001</v>
      </c>
      <c r="L1732">
        <v>207.2313</v>
      </c>
      <c r="M1732">
        <v>0.76145790000000002</v>
      </c>
      <c r="N1732">
        <v>0</v>
      </c>
      <c r="O1732">
        <v>-0.64808390000000005</v>
      </c>
      <c r="P1732">
        <v>0.70964759999999905</v>
      </c>
      <c r="Q1732">
        <v>0.15286029999999901</v>
      </c>
      <c r="R1732">
        <v>-0.68777489999999997</v>
      </c>
      <c r="S1732">
        <v>1.103424</v>
      </c>
      <c r="T1732">
        <v>-0.1675576</v>
      </c>
      <c r="U1732">
        <v>-3.290054</v>
      </c>
      <c r="V1732">
        <v>6.8574120000000002E-2</v>
      </c>
      <c r="W1732">
        <v>0.16376250000000001</v>
      </c>
      <c r="X1732">
        <v>0.98411349999999997</v>
      </c>
      <c r="Y1732">
        <v>0.51592490000000002</v>
      </c>
      <c r="Z1732">
        <v>2.106005E-2</v>
      </c>
      <c r="AA1732">
        <v>0.85637489999999905</v>
      </c>
      <c r="AB1732">
        <v>33</v>
      </c>
      <c r="AC1732">
        <v>6.9686000000000003</v>
      </c>
      <c r="AD1732">
        <v>-1.0979917533969901</v>
      </c>
      <c r="AE1732">
        <v>-21.326899999999899</v>
      </c>
      <c r="AF1732">
        <v>11.696279129594</v>
      </c>
      <c r="AG1732">
        <v>-1.0979917533969901</v>
      </c>
      <c r="AH1732">
        <v>19.083829974439698</v>
      </c>
      <c r="AI1732">
        <v>92.808385981191094</v>
      </c>
      <c r="AJ1732">
        <v>58.496304704979302</v>
      </c>
      <c r="AK1732">
        <v>22.409843771459599</v>
      </c>
      <c r="AL1732">
        <v>80.574646623214207</v>
      </c>
      <c r="AM1732">
        <v>86.014009482704296</v>
      </c>
      <c r="AN1732">
        <v>0.99999997361113602</v>
      </c>
    </row>
    <row r="1733" spans="1:40" x14ac:dyDescent="0.3">
      <c r="A1733" t="str">
        <f>"20200111150829315"</f>
        <v>20200111150829315</v>
      </c>
      <c r="B1733" t="str">
        <f>"1578726509304307"</f>
        <v>1578726509304307</v>
      </c>
      <c r="C1733" t="s">
        <v>40</v>
      </c>
      <c r="D1733">
        <v>5.2149269999999897</v>
      </c>
      <c r="E1733">
        <v>0.68184339999999999</v>
      </c>
      <c r="F1733" t="s">
        <v>43</v>
      </c>
      <c r="G1733">
        <v>-189.6009</v>
      </c>
      <c r="H1733" s="1">
        <v>-2.5830929999999999E-6</v>
      </c>
      <c r="I1733">
        <v>185.489</v>
      </c>
      <c r="J1733">
        <v>-196.36060000000001</v>
      </c>
      <c r="K1733">
        <v>1.097985</v>
      </c>
      <c r="L1733">
        <v>207.00040000000001</v>
      </c>
      <c r="M1733">
        <v>0.75280760000000002</v>
      </c>
      <c r="N1733">
        <v>0</v>
      </c>
      <c r="O1733">
        <v>-0.65811200000000003</v>
      </c>
      <c r="P1733">
        <v>0.70113649999999905</v>
      </c>
      <c r="Q1733">
        <v>0.15229609999999999</v>
      </c>
      <c r="R1733">
        <v>-0.69657279999999999</v>
      </c>
      <c r="S1733">
        <v>1.0645899999999999</v>
      </c>
      <c r="T1733">
        <v>-0.16667580000000001</v>
      </c>
      <c r="U1733">
        <v>-3.3004910000000001</v>
      </c>
      <c r="V1733">
        <v>6.7717810000000003E-2</v>
      </c>
      <c r="W1733">
        <v>0.1632323</v>
      </c>
      <c r="X1733">
        <v>0.98426089999999999</v>
      </c>
      <c r="Y1733">
        <v>0.51449659999999997</v>
      </c>
      <c r="Z1733">
        <v>2.159208E-2</v>
      </c>
      <c r="AA1733">
        <v>0.8572206</v>
      </c>
      <c r="AB1733">
        <v>33</v>
      </c>
      <c r="AC1733">
        <v>6.7596999999999996</v>
      </c>
      <c r="AD1733">
        <v>-1.0979875830929999</v>
      </c>
      <c r="AE1733">
        <v>-21.511399999999998</v>
      </c>
      <c r="AF1733">
        <v>11.718513721751901</v>
      </c>
      <c r="AG1733">
        <v>-1.0979875830929999</v>
      </c>
      <c r="AH1733">
        <v>19.2017630841965</v>
      </c>
      <c r="AI1733">
        <v>92.794388913975297</v>
      </c>
      <c r="AJ1733">
        <v>58.604983989164701</v>
      </c>
      <c r="AK1733">
        <v>22.521919237070499</v>
      </c>
      <c r="AL1733">
        <v>80.605439471885902</v>
      </c>
      <c r="AM1733">
        <v>86.064214181915105</v>
      </c>
      <c r="AN1733">
        <v>1.00000000241164</v>
      </c>
    </row>
    <row r="1734" spans="1:40" x14ac:dyDescent="0.3">
      <c r="A1734" t="str">
        <f>"20200111150829336"</f>
        <v>20200111150829336</v>
      </c>
      <c r="B1734" t="str">
        <f>"1578726509324803"</f>
        <v>1578726509324803</v>
      </c>
      <c r="C1734" t="s">
        <v>40</v>
      </c>
      <c r="D1734">
        <v>5.2030159999999999</v>
      </c>
      <c r="E1734">
        <v>0.68353189999999997</v>
      </c>
      <c r="F1734" t="s">
        <v>43</v>
      </c>
      <c r="G1734">
        <v>-189.9365</v>
      </c>
      <c r="H1734" s="1">
        <v>-3.8441390000000002E-6</v>
      </c>
      <c r="I1734">
        <v>188.56729999999999</v>
      </c>
      <c r="J1734">
        <v>-196.12129999999999</v>
      </c>
      <c r="K1734">
        <v>1.097979</v>
      </c>
      <c r="L1734">
        <v>206.7766</v>
      </c>
      <c r="M1734">
        <v>0.74441429999999997</v>
      </c>
      <c r="N1734">
        <v>0</v>
      </c>
      <c r="O1734">
        <v>-0.66759119999999905</v>
      </c>
      <c r="P1734">
        <v>0.69273109999999904</v>
      </c>
      <c r="Q1734">
        <v>0.15167639999999999</v>
      </c>
      <c r="R1734">
        <v>-0.70506599999999997</v>
      </c>
      <c r="S1734">
        <v>1.1219790000000001</v>
      </c>
      <c r="T1734">
        <v>-0.19176589999999999</v>
      </c>
      <c r="U1734">
        <v>-3.219376</v>
      </c>
      <c r="V1734">
        <v>6.7142129999999994E-2</v>
      </c>
      <c r="W1734">
        <v>0.16263759999999999</v>
      </c>
      <c r="X1734">
        <v>0.98439880000000002</v>
      </c>
      <c r="Y1734">
        <v>0.48336170000000001</v>
      </c>
      <c r="Z1734">
        <v>2.6729889999999999E-2</v>
      </c>
      <c r="AA1734">
        <v>0.87501260000000003</v>
      </c>
      <c r="AB1734">
        <v>33</v>
      </c>
      <c r="AC1734">
        <v>6.1847999999999903</v>
      </c>
      <c r="AD1734">
        <v>-1.097982844139</v>
      </c>
      <c r="AE1734">
        <v>-18.209299999999999</v>
      </c>
      <c r="AF1734">
        <v>9.3965129043484907</v>
      </c>
      <c r="AG1734">
        <v>-1.097982844139</v>
      </c>
      <c r="AH1734">
        <v>16.707378870791299</v>
      </c>
      <c r="AI1734">
        <v>93.278355164278594</v>
      </c>
      <c r="AJ1734">
        <v>60.6458617098709</v>
      </c>
      <c r="AK1734">
        <v>19.1999096305106</v>
      </c>
      <c r="AL1734">
        <v>80.639974996869597</v>
      </c>
      <c r="AM1734">
        <v>86.098114093758497</v>
      </c>
      <c r="AN1734">
        <v>1.0000000259980599</v>
      </c>
    </row>
    <row r="1735" spans="1:40" x14ac:dyDescent="0.3">
      <c r="A1735" t="str">
        <f>"20200111150829359"</f>
        <v>20200111150829359</v>
      </c>
      <c r="B1735" t="str">
        <f>"1578726509355061"</f>
        <v>1578726509355061</v>
      </c>
      <c r="C1735" t="s">
        <v>40</v>
      </c>
      <c r="D1735">
        <v>5.5106169999999999</v>
      </c>
      <c r="E1735">
        <v>0.68157129999999999</v>
      </c>
      <c r="F1735" t="s">
        <v>43</v>
      </c>
      <c r="G1735">
        <v>-190.2664</v>
      </c>
      <c r="H1735" s="1">
        <v>-4.1439350000000002E-6</v>
      </c>
      <c r="I1735">
        <v>189.08349999999999</v>
      </c>
      <c r="J1735">
        <v>-195.87739999999999</v>
      </c>
      <c r="K1735">
        <v>1.0979650000000001</v>
      </c>
      <c r="L1735">
        <v>206.54259999999999</v>
      </c>
      <c r="M1735">
        <v>0.73562830000000001</v>
      </c>
      <c r="N1735">
        <v>0</v>
      </c>
      <c r="O1735">
        <v>-0.67725999999999997</v>
      </c>
      <c r="P1735">
        <v>0.68339099999999997</v>
      </c>
      <c r="Q1735">
        <v>0.15129129999999999</v>
      </c>
      <c r="R1735">
        <v>-0.71420430000000001</v>
      </c>
      <c r="S1735">
        <v>1.07338</v>
      </c>
      <c r="T1735">
        <v>-0.2012911</v>
      </c>
      <c r="U1735">
        <v>-3.2436370000000001</v>
      </c>
      <c r="V1735">
        <v>6.7287310000000003E-2</v>
      </c>
      <c r="W1735">
        <v>0.16225510000000001</v>
      </c>
      <c r="X1735">
        <v>0.98445190000000005</v>
      </c>
      <c r="Y1735">
        <v>0.48573309999999997</v>
      </c>
      <c r="Z1735">
        <v>2.8633369999999998E-2</v>
      </c>
      <c r="AA1735">
        <v>0.87363809999999997</v>
      </c>
      <c r="AB1735">
        <v>33</v>
      </c>
      <c r="AC1735">
        <v>5.61099999999999</v>
      </c>
      <c r="AD1735">
        <v>-1.0979691439349999</v>
      </c>
      <c r="AE1735">
        <v>-17.459099999999999</v>
      </c>
      <c r="AF1735">
        <v>9.0117663169403492</v>
      </c>
      <c r="AG1735">
        <v>-1.0979691439349999</v>
      </c>
      <c r="AH1735">
        <v>15.896332653464301</v>
      </c>
      <c r="AI1735">
        <v>93.438580935108902</v>
      </c>
      <c r="AJ1735">
        <v>60.450730073336501</v>
      </c>
      <c r="AK1735">
        <v>18.306033437688502</v>
      </c>
      <c r="AL1735">
        <v>80.662184663158897</v>
      </c>
      <c r="AM1735">
        <v>86.089913536239706</v>
      </c>
      <c r="AN1735">
        <v>0.99999992148832495</v>
      </c>
    </row>
    <row r="1736" spans="1:40" x14ac:dyDescent="0.3">
      <c r="A1736" t="str">
        <f>"20200111150829382"</f>
        <v>20200111150829382</v>
      </c>
      <c r="B1736" t="str">
        <f>"1578726509374578"</f>
        <v>1578726509374578</v>
      </c>
      <c r="C1736" t="s">
        <v>40</v>
      </c>
      <c r="D1736">
        <v>5.3317379999999996</v>
      </c>
      <c r="E1736">
        <v>0.65097510000000003</v>
      </c>
      <c r="F1736" t="s">
        <v>43</v>
      </c>
      <c r="G1736">
        <v>-190.2978</v>
      </c>
      <c r="H1736" s="1">
        <v>-4.1847519999999997E-6</v>
      </c>
      <c r="I1736">
        <v>189.1592</v>
      </c>
      <c r="J1736">
        <v>-195.62479999999999</v>
      </c>
      <c r="K1736">
        <v>1.097963</v>
      </c>
      <c r="L1736">
        <v>206.29329999999999</v>
      </c>
      <c r="M1736">
        <v>0.72627019999999998</v>
      </c>
      <c r="N1736">
        <v>0</v>
      </c>
      <c r="O1736">
        <v>-0.68728579999999995</v>
      </c>
      <c r="P1736">
        <v>0.67338920000000002</v>
      </c>
      <c r="Q1736">
        <v>0.15133389999999999</v>
      </c>
      <c r="R1736">
        <v>-0.72363330000000003</v>
      </c>
      <c r="S1736">
        <v>1.0420990000000001</v>
      </c>
      <c r="T1736">
        <v>-0.20506750000000001</v>
      </c>
      <c r="U1736">
        <v>-3.2466889999999999</v>
      </c>
      <c r="V1736">
        <v>6.7476170000000002E-2</v>
      </c>
      <c r="W1736">
        <v>0.16229749999999901</v>
      </c>
      <c r="X1736">
        <v>0.98443199999999997</v>
      </c>
      <c r="Y1736">
        <v>0.48160839999999999</v>
      </c>
      <c r="Z1736">
        <v>3.0084070000000001E-2</v>
      </c>
      <c r="AA1736">
        <v>0.87587000000000004</v>
      </c>
      <c r="AB1736">
        <v>34</v>
      </c>
      <c r="AC1736">
        <v>5.3269999999999902</v>
      </c>
      <c r="AD1736">
        <v>-1.0979671847520001</v>
      </c>
      <c r="AE1736">
        <v>-17.134099999999901</v>
      </c>
      <c r="AF1736">
        <v>8.7507940041435894</v>
      </c>
      <c r="AG1736">
        <v>-1.0979671847520001</v>
      </c>
      <c r="AH1736">
        <v>15.587826243135201</v>
      </c>
      <c r="AI1736">
        <v>93.5147365454838</v>
      </c>
      <c r="AJ1736">
        <v>60.690737315009997</v>
      </c>
      <c r="AK1736">
        <v>17.909836811872999</v>
      </c>
      <c r="AL1736">
        <v>80.659722838565301</v>
      </c>
      <c r="AM1736">
        <v>86.078893993581104</v>
      </c>
      <c r="AN1736">
        <v>0.99999993732405701</v>
      </c>
    </row>
    <row r="1737" spans="1:40" x14ac:dyDescent="0.3">
      <c r="A1737" t="str">
        <f>"20200111150829403"</f>
        <v>20200111150829403</v>
      </c>
      <c r="B1737" t="str">
        <f>"1578726509395074"</f>
        <v>1578726509395074</v>
      </c>
      <c r="C1737" t="s">
        <v>40</v>
      </c>
      <c r="D1737">
        <v>5.2897589999999903</v>
      </c>
      <c r="E1737">
        <v>0.64797469999999902</v>
      </c>
      <c r="F1737" t="s">
        <v>75</v>
      </c>
      <c r="G1737">
        <v>-160.57929999999999</v>
      </c>
      <c r="H1737">
        <v>32.617229999999999</v>
      </c>
      <c r="I1737">
        <v>114.06489999999999</v>
      </c>
      <c r="J1737">
        <v>-195.3904</v>
      </c>
      <c r="K1737">
        <v>1.097963</v>
      </c>
      <c r="L1737">
        <v>206.0558</v>
      </c>
      <c r="M1737">
        <v>0.71734750000000003</v>
      </c>
      <c r="N1737">
        <v>0</v>
      </c>
      <c r="O1737">
        <v>-0.69659359999999904</v>
      </c>
      <c r="P1737">
        <v>0.663987199999999</v>
      </c>
      <c r="Q1737">
        <v>0.15132660000000001</v>
      </c>
      <c r="R1737">
        <v>-0.73227149999999996</v>
      </c>
      <c r="S1737">
        <v>1.1054379999999999</v>
      </c>
      <c r="T1737">
        <v>0.99420949999999997</v>
      </c>
      <c r="U1737">
        <v>-2.9091490000000002</v>
      </c>
      <c r="V1737">
        <v>6.7497810000000005E-2</v>
      </c>
      <c r="W1737">
        <v>0.1622942</v>
      </c>
      <c r="X1737">
        <v>0.9844311</v>
      </c>
      <c r="Y1737">
        <v>0.42794110000000002</v>
      </c>
      <c r="Z1737">
        <v>-0.164766</v>
      </c>
      <c r="AA1737">
        <v>0.88866109999999898</v>
      </c>
      <c r="AB1737">
        <v>34</v>
      </c>
      <c r="AC1737">
        <v>34.811100000000003</v>
      </c>
      <c r="AD1737">
        <v>31.519266999999999</v>
      </c>
      <c r="AE1737">
        <v>-91.990899999999996</v>
      </c>
      <c r="AF1737">
        <v>37.856237049298599</v>
      </c>
      <c r="AG1737">
        <v>31.519266999999999</v>
      </c>
      <c r="AH1737">
        <v>80.765464300352207</v>
      </c>
      <c r="AI1737">
        <v>70.538334694445396</v>
      </c>
      <c r="AJ1737">
        <v>64.886662403885794</v>
      </c>
      <c r="AK1737">
        <v>94.602426498485997</v>
      </c>
      <c r="AL1737">
        <v>80.659914821220696</v>
      </c>
      <c r="AM1737">
        <v>86.077636821946996</v>
      </c>
      <c r="AN1737">
        <v>0.99999997617782199</v>
      </c>
    </row>
    <row r="1738" spans="1:40" x14ac:dyDescent="0.3">
      <c r="A1738" t="str">
        <f>"20200111150829425"</f>
        <v>20200111150829425</v>
      </c>
      <c r="B1738" t="str">
        <f>"1578726509414594"</f>
        <v>1578726509414594</v>
      </c>
      <c r="C1738" t="s">
        <v>40</v>
      </c>
      <c r="D1738">
        <v>5.1896100000000001</v>
      </c>
      <c r="E1738">
        <v>0.66883859999999995</v>
      </c>
      <c r="F1738" t="s">
        <v>75</v>
      </c>
      <c r="G1738">
        <v>-160.91679999999999</v>
      </c>
      <c r="H1738">
        <v>29.639620000000001</v>
      </c>
      <c r="I1738">
        <v>113.72490000000001</v>
      </c>
      <c r="J1738">
        <v>-195.1636</v>
      </c>
      <c r="K1738">
        <v>1.0979669999999999</v>
      </c>
      <c r="L1738">
        <v>205.82</v>
      </c>
      <c r="M1738">
        <v>0.70848129999999998</v>
      </c>
      <c r="N1738">
        <v>0</v>
      </c>
      <c r="O1738">
        <v>-0.70560929999999999</v>
      </c>
      <c r="P1738">
        <v>0.65473300000000001</v>
      </c>
      <c r="Q1738">
        <v>0.15161939999999999</v>
      </c>
      <c r="R1738">
        <v>-0.74049750000000003</v>
      </c>
      <c r="S1738">
        <v>1.0906979999999999</v>
      </c>
      <c r="T1738">
        <v>0.90301750000000003</v>
      </c>
      <c r="U1738">
        <v>-2.9212189999999998</v>
      </c>
      <c r="V1738">
        <v>6.7385920000000002E-2</v>
      </c>
      <c r="W1738">
        <v>0.1625943</v>
      </c>
      <c r="X1738">
        <v>0.98438919999999996</v>
      </c>
      <c r="Y1738">
        <v>0.42114960000000001</v>
      </c>
      <c r="Z1738">
        <v>-0.1541515</v>
      </c>
      <c r="AA1738">
        <v>0.89379549999999997</v>
      </c>
      <c r="AB1738">
        <v>34</v>
      </c>
      <c r="AC1738">
        <v>34.2468</v>
      </c>
      <c r="AD1738">
        <v>28.541653</v>
      </c>
      <c r="AE1738">
        <v>-92.095100000000002</v>
      </c>
      <c r="AF1738">
        <v>37.889222637054601</v>
      </c>
      <c r="AG1738">
        <v>28.541653</v>
      </c>
      <c r="AH1738">
        <v>82.308805352480206</v>
      </c>
      <c r="AI1738">
        <v>72.516019091543001</v>
      </c>
      <c r="AJ1738">
        <v>65.281960342718094</v>
      </c>
      <c r="AK1738">
        <v>94.999782034303493</v>
      </c>
      <c r="AL1738">
        <v>80.6424884922465</v>
      </c>
      <c r="AM1738">
        <v>86.083952454185095</v>
      </c>
      <c r="AN1738">
        <v>0.99999993284168498</v>
      </c>
    </row>
    <row r="1739" spans="1:40" x14ac:dyDescent="0.3">
      <c r="A1739" t="str">
        <f>"20200111150829447"</f>
        <v>20200111150829447</v>
      </c>
      <c r="B1739" t="str">
        <f>"1578726509444851"</f>
        <v>1578726509444851</v>
      </c>
      <c r="C1739" t="s">
        <v>40</v>
      </c>
      <c r="D1739">
        <v>4.8309480000000002</v>
      </c>
      <c r="E1739">
        <v>0.66562359999999998</v>
      </c>
      <c r="F1739" t="s">
        <v>43</v>
      </c>
      <c r="G1739">
        <v>-189.91720000000001</v>
      </c>
      <c r="H1739" s="1">
        <v>-3.9299430000000004E-6</v>
      </c>
      <c r="I1739">
        <v>188.7593</v>
      </c>
      <c r="J1739">
        <v>-194.93049999999999</v>
      </c>
      <c r="K1739">
        <v>1.0979680000000001</v>
      </c>
      <c r="L1739">
        <v>205.57130000000001</v>
      </c>
      <c r="M1739">
        <v>0.69912489999999905</v>
      </c>
      <c r="N1739">
        <v>0</v>
      </c>
      <c r="O1739">
        <v>-0.71488050000000003</v>
      </c>
      <c r="P1739">
        <v>0.64525250000000001</v>
      </c>
      <c r="Q1739">
        <v>0.151978</v>
      </c>
      <c r="R1739">
        <v>-0.74870029999999999</v>
      </c>
      <c r="S1739">
        <v>0.98976140000000001</v>
      </c>
      <c r="T1739">
        <v>-0.20713960000000001</v>
      </c>
      <c r="U1739">
        <v>-3.2185969999999999</v>
      </c>
      <c r="V1739">
        <v>6.6910570000000003E-2</v>
      </c>
      <c r="W1739">
        <v>0.16297029999999901</v>
      </c>
      <c r="X1739">
        <v>0.98435950000000005</v>
      </c>
      <c r="Y1739">
        <v>0.45829110000000001</v>
      </c>
      <c r="Z1739">
        <v>3.3493910000000002E-2</v>
      </c>
      <c r="AA1739">
        <v>0.88817080000000004</v>
      </c>
      <c r="AB1739">
        <v>34</v>
      </c>
      <c r="AC1739">
        <v>5.0132999999999797</v>
      </c>
      <c r="AD1739">
        <v>-1.097971929943</v>
      </c>
      <c r="AE1739">
        <v>-16.812000000000001</v>
      </c>
      <c r="AF1739">
        <v>8.1385945369130006</v>
      </c>
      <c r="AG1739">
        <v>-1.097971929943</v>
      </c>
      <c r="AH1739">
        <v>15.464242872709599</v>
      </c>
      <c r="AI1739">
        <v>93.595202845298701</v>
      </c>
      <c r="AJ1739">
        <v>62.2428539779199</v>
      </c>
      <c r="AK1739">
        <v>17.5095708405821</v>
      </c>
      <c r="AL1739">
        <v>80.620654535542698</v>
      </c>
      <c r="AM1739">
        <v>86.111374808669098</v>
      </c>
      <c r="AN1739">
        <v>0.999999984150032</v>
      </c>
    </row>
    <row r="1740" spans="1:40" x14ac:dyDescent="0.3">
      <c r="A1740" t="str">
        <f>"20200111150829472"</f>
        <v>20200111150829472</v>
      </c>
      <c r="B1740" t="str">
        <f>"1578726509464374"</f>
        <v>1578726509464374</v>
      </c>
      <c r="C1740" t="s">
        <v>40</v>
      </c>
      <c r="D1740">
        <v>7.3041140000000002</v>
      </c>
      <c r="E1740">
        <v>0.71940340000000003</v>
      </c>
      <c r="F1740" t="s">
        <v>43</v>
      </c>
      <c r="G1740">
        <v>-189.31710000000001</v>
      </c>
      <c r="H1740" s="1">
        <v>-3.254702E-6</v>
      </c>
      <c r="I1740">
        <v>186.93719999999999</v>
      </c>
      <c r="J1740">
        <v>-194.68610000000001</v>
      </c>
      <c r="K1740">
        <v>1.0979760000000001</v>
      </c>
      <c r="L1740">
        <v>205.30350000000001</v>
      </c>
      <c r="M1740">
        <v>0.68904100000000001</v>
      </c>
      <c r="N1740">
        <v>0</v>
      </c>
      <c r="O1740">
        <v>-0.72460480000000005</v>
      </c>
      <c r="P1740">
        <v>0.63457529999999995</v>
      </c>
      <c r="Q1740">
        <v>0.1524943</v>
      </c>
      <c r="R1740">
        <v>-0.75766709999999904</v>
      </c>
      <c r="S1740">
        <v>0.96746829999999995</v>
      </c>
      <c r="T1740">
        <v>-0.18923380000000001</v>
      </c>
      <c r="U1740">
        <v>-3.2115629999999999</v>
      </c>
      <c r="V1740">
        <v>6.7016709999999993E-2</v>
      </c>
      <c r="W1740">
        <v>0.163486299999999</v>
      </c>
      <c r="X1740">
        <v>0.98426670000000005</v>
      </c>
      <c r="Y1740">
        <v>0.45090930000000001</v>
      </c>
      <c r="Z1740">
        <v>3.1582069999999997E-2</v>
      </c>
      <c r="AA1740">
        <v>0.89201090000000005</v>
      </c>
      <c r="AB1740">
        <v>34</v>
      </c>
      <c r="AC1740">
        <v>5.3689999999999998</v>
      </c>
      <c r="AD1740">
        <v>-1.097979254702</v>
      </c>
      <c r="AE1740">
        <v>-18.366299999999999</v>
      </c>
      <c r="AF1740">
        <v>8.7367112529789601</v>
      </c>
      <c r="AG1740">
        <v>-1.097979254702</v>
      </c>
      <c r="AH1740">
        <v>16.9533994323466</v>
      </c>
      <c r="AI1740">
        <v>93.294863536537207</v>
      </c>
      <c r="AJ1740">
        <v>62.736280948835599</v>
      </c>
      <c r="AK1740">
        <v>19.1037544549331</v>
      </c>
      <c r="AL1740">
        <v>80.590687907369102</v>
      </c>
      <c r="AM1740">
        <v>86.104859183975606</v>
      </c>
      <c r="AN1740">
        <v>0.99999997321790102</v>
      </c>
    </row>
    <row r="1741" spans="1:40" x14ac:dyDescent="0.3">
      <c r="A1741" t="str">
        <f>"20200111150829516"</f>
        <v>20200111150829516</v>
      </c>
      <c r="B1741" t="str">
        <f>"1578726509504387"</f>
        <v>1578726509504387</v>
      </c>
      <c r="C1741" t="s">
        <v>40</v>
      </c>
      <c r="D1741">
        <v>6.0740600000000002</v>
      </c>
      <c r="E1741">
        <v>0.75589569999999995</v>
      </c>
      <c r="F1741" t="s">
        <v>76</v>
      </c>
      <c r="G1741">
        <v>-169.10140000000001</v>
      </c>
      <c r="H1741">
        <v>58.6226699999999</v>
      </c>
      <c r="I1741">
        <v>44.338999999999999</v>
      </c>
      <c r="J1741">
        <v>-194.24359999999999</v>
      </c>
      <c r="K1741">
        <v>1.097974</v>
      </c>
      <c r="L1741">
        <v>204.7989</v>
      </c>
      <c r="M1741">
        <v>0.67001599999999994</v>
      </c>
      <c r="N1741">
        <v>0</v>
      </c>
      <c r="O1741">
        <v>-0.742232</v>
      </c>
      <c r="P1741">
        <v>0.61346259999999997</v>
      </c>
      <c r="Q1741">
        <v>0.15245980000000001</v>
      </c>
      <c r="R1741">
        <v>-0.77486759999999999</v>
      </c>
      <c r="S1741">
        <v>0.52226260000000002</v>
      </c>
      <c r="T1741">
        <v>1.174256</v>
      </c>
      <c r="U1741">
        <v>-3.2857820000000002</v>
      </c>
      <c r="V1741">
        <v>6.8610669999999999E-2</v>
      </c>
      <c r="W1741">
        <v>0.16340969999999999</v>
      </c>
      <c r="X1741">
        <v>0.98416959999999998</v>
      </c>
      <c r="Y1741">
        <v>0.54493080000000005</v>
      </c>
      <c r="Z1741">
        <v>-0.18301120000000001</v>
      </c>
      <c r="AA1741">
        <v>0.81826480000000001</v>
      </c>
      <c r="AB1741">
        <v>34</v>
      </c>
      <c r="AC1741">
        <v>25.1421999999999</v>
      </c>
      <c r="AD1741">
        <v>57.524695999999899</v>
      </c>
      <c r="AE1741">
        <v>-160.4599</v>
      </c>
      <c r="AF1741">
        <v>78.952927990341394</v>
      </c>
      <c r="AG1741">
        <v>57.524695999999899</v>
      </c>
      <c r="AH1741">
        <v>120.80209915502</v>
      </c>
      <c r="AI1741">
        <v>68.2674707396299</v>
      </c>
      <c r="AJ1741">
        <v>56.832473939855198</v>
      </c>
      <c r="AK1741">
        <v>155.357016733715</v>
      </c>
      <c r="AL1741">
        <v>80.595136634061006</v>
      </c>
      <c r="AM1741">
        <v>86.012118401922095</v>
      </c>
      <c r="AN1741">
        <v>0.99999997782804895</v>
      </c>
    </row>
    <row r="1742" spans="1:40" x14ac:dyDescent="0.3">
      <c r="A1742" t="str">
        <f>"20200111150829604"</f>
        <v>20200111150829604</v>
      </c>
      <c r="B1742" t="str">
        <f>"1578726509595155"</f>
        <v>1578726509595155</v>
      </c>
      <c r="C1742" t="s">
        <v>40</v>
      </c>
      <c r="D1742">
        <v>6.2969879999999998</v>
      </c>
      <c r="E1742">
        <v>0.74428719999999904</v>
      </c>
      <c r="F1742" t="s">
        <v>53</v>
      </c>
      <c r="G1742">
        <v>-177.55599999999899</v>
      </c>
      <c r="H1742">
        <v>96.603859999999997</v>
      </c>
      <c r="I1742">
        <v>-80.980669999999904</v>
      </c>
      <c r="J1742">
        <v>-193.38470000000001</v>
      </c>
      <c r="K1742">
        <v>1.0979760000000001</v>
      </c>
      <c r="L1742">
        <v>203.73759999999999</v>
      </c>
      <c r="M1742">
        <v>0.62993500000000002</v>
      </c>
      <c r="N1742">
        <v>0</v>
      </c>
      <c r="O1742">
        <v>-0.77653809999999901</v>
      </c>
      <c r="P1742">
        <v>0.57195929999999995</v>
      </c>
      <c r="Q1742">
        <v>0.15335889999999999</v>
      </c>
      <c r="R1742">
        <v>-0.8058189</v>
      </c>
      <c r="S1742">
        <v>0.20330809999999999</v>
      </c>
      <c r="T1742">
        <v>1.1635660000000001</v>
      </c>
      <c r="U1742">
        <v>-3.4817049999999998</v>
      </c>
      <c r="V1742">
        <v>6.8261790000000003E-2</v>
      </c>
      <c r="W1742">
        <v>0.1643241</v>
      </c>
      <c r="X1742">
        <v>0.98404159999999996</v>
      </c>
      <c r="Y1742">
        <v>0.58132740000000005</v>
      </c>
      <c r="Z1742">
        <v>-0.18342320000000001</v>
      </c>
      <c r="AA1742">
        <v>0.79272589999999998</v>
      </c>
      <c r="AB1742">
        <v>34</v>
      </c>
      <c r="AC1742">
        <v>15.8287</v>
      </c>
      <c r="AD1742">
        <v>95.505883999999995</v>
      </c>
      <c r="AE1742">
        <v>-284.71827000000002</v>
      </c>
      <c r="AF1742">
        <v>150.22538431687201</v>
      </c>
      <c r="AG1742">
        <v>95.505883999999995</v>
      </c>
      <c r="AH1742">
        <v>207.778177382574</v>
      </c>
      <c r="AI1742">
        <v>69.570032056269795</v>
      </c>
      <c r="AJ1742">
        <v>54.132751668019203</v>
      </c>
      <c r="AK1742">
        <v>273.60703749757198</v>
      </c>
      <c r="AL1742">
        <v>80.542027448797697</v>
      </c>
      <c r="AM1742">
        <v>86.031817095061101</v>
      </c>
      <c r="AN1742">
        <v>0.99999997617268599</v>
      </c>
    </row>
    <row r="1743" spans="1:40" x14ac:dyDescent="0.3">
      <c r="A1743" t="str">
        <f>"20200111150829628"</f>
        <v>20200111150829628</v>
      </c>
      <c r="B1743" t="str">
        <f>"1578726509624435"</f>
        <v>1578726509624435</v>
      </c>
      <c r="C1743" t="s">
        <v>40</v>
      </c>
      <c r="D1743">
        <v>4.9408690000000002</v>
      </c>
      <c r="E1743">
        <v>0.74876609999999999</v>
      </c>
      <c r="F1743" t="s">
        <v>53</v>
      </c>
      <c r="G1743">
        <v>-185.30279999999999</v>
      </c>
      <c r="H1743">
        <v>93.341350000000006</v>
      </c>
      <c r="I1743">
        <v>-81.846119999999999</v>
      </c>
      <c r="J1743">
        <v>-193.18119999999999</v>
      </c>
      <c r="K1743">
        <v>1.0979730000000001</v>
      </c>
      <c r="L1743">
        <v>203.4684</v>
      </c>
      <c r="M1743">
        <v>0.6197549</v>
      </c>
      <c r="N1743">
        <v>0</v>
      </c>
      <c r="O1743">
        <v>-0.78468660000000001</v>
      </c>
      <c r="P1743">
        <v>0.56200399999999995</v>
      </c>
      <c r="Q1743">
        <v>0.15364620000000001</v>
      </c>
      <c r="R1743">
        <v>-0.81273879999999998</v>
      </c>
      <c r="S1743">
        <v>9.7412109999999996E-2</v>
      </c>
      <c r="T1743">
        <v>1.111823</v>
      </c>
      <c r="U1743">
        <v>-3.4421840000000001</v>
      </c>
      <c r="V1743">
        <v>6.7507429999999993E-2</v>
      </c>
      <c r="W1743">
        <v>0.16463449999999999</v>
      </c>
      <c r="X1743">
        <v>0.98404179999999997</v>
      </c>
      <c r="Y1743">
        <v>0.59450769999999997</v>
      </c>
      <c r="Z1743">
        <v>-0.17971860000000001</v>
      </c>
      <c r="AA1743">
        <v>0.78374860000000002</v>
      </c>
      <c r="AB1743">
        <v>34</v>
      </c>
      <c r="AC1743">
        <v>7.8783999999999903</v>
      </c>
      <c r="AD1743">
        <v>92.243376999999995</v>
      </c>
      <c r="AE1743">
        <v>-285.31452000000002</v>
      </c>
      <c r="AF1743">
        <v>154.518717025939</v>
      </c>
      <c r="AG1743">
        <v>92.243376999999995</v>
      </c>
      <c r="AH1743">
        <v>207.148838801398</v>
      </c>
      <c r="AI1743">
        <v>70.356690899215195</v>
      </c>
      <c r="AJ1743">
        <v>53.279605549600802</v>
      </c>
      <c r="AK1743">
        <v>274.40028412608098</v>
      </c>
      <c r="AL1743">
        <v>80.5239976762862</v>
      </c>
      <c r="AM1743">
        <v>86.075532428892501</v>
      </c>
      <c r="AN1743">
        <v>1.00000001792134</v>
      </c>
    </row>
    <row r="1744" spans="1:40" x14ac:dyDescent="0.3">
      <c r="A1744" t="str">
        <f>"20200111150829649"</f>
        <v>20200111150829649</v>
      </c>
      <c r="B1744" t="str">
        <f>"1578726509644931"</f>
        <v>1578726509644931</v>
      </c>
      <c r="C1744" t="s">
        <v>40</v>
      </c>
      <c r="D1744">
        <v>5.1175819999999996</v>
      </c>
      <c r="E1744">
        <v>0.71077270000000004</v>
      </c>
      <c r="F1744" t="s">
        <v>53</v>
      </c>
      <c r="G1744">
        <v>-191.0804</v>
      </c>
      <c r="H1744">
        <v>92.902410000000003</v>
      </c>
      <c r="I1744">
        <v>-81.845969999999994</v>
      </c>
      <c r="J1744">
        <v>-192.97749999999999</v>
      </c>
      <c r="K1744">
        <v>1.097977</v>
      </c>
      <c r="L1744">
        <v>203.19159999999999</v>
      </c>
      <c r="M1744">
        <v>0.60927959999999903</v>
      </c>
      <c r="N1744">
        <v>0</v>
      </c>
      <c r="O1744">
        <v>-0.79284759999999999</v>
      </c>
      <c r="P1744">
        <v>0.55168859999999997</v>
      </c>
      <c r="Q1744">
        <v>0.1538571</v>
      </c>
      <c r="R1744">
        <v>-0.81973609999999897</v>
      </c>
      <c r="S1744">
        <v>2.549744E-2</v>
      </c>
      <c r="T1744">
        <v>1.114255</v>
      </c>
      <c r="U1744">
        <v>-3.462936</v>
      </c>
      <c r="V1744">
        <v>6.6855709999999999E-2</v>
      </c>
      <c r="W1744">
        <v>0.16486589999999901</v>
      </c>
      <c r="X1744">
        <v>0.98404749999999996</v>
      </c>
      <c r="Y1744">
        <v>0.60024009999999905</v>
      </c>
      <c r="Z1744">
        <v>-0.1819133</v>
      </c>
      <c r="AA1744">
        <v>0.77885769999999999</v>
      </c>
      <c r="AB1744">
        <v>34</v>
      </c>
      <c r="AC1744">
        <v>1.89709999999999</v>
      </c>
      <c r="AD1744">
        <v>91.804432999999904</v>
      </c>
      <c r="AE1744">
        <v>-285.03757000000002</v>
      </c>
      <c r="AF1744">
        <v>155.996676120769</v>
      </c>
      <c r="AG1744">
        <v>91.804432999999904</v>
      </c>
      <c r="AH1744">
        <v>205.81724958097499</v>
      </c>
      <c r="AI1744">
        <v>70.430736023290507</v>
      </c>
      <c r="AJ1744">
        <v>52.840135601690797</v>
      </c>
      <c r="AK1744">
        <v>274.08713414579898</v>
      </c>
      <c r="AL1744">
        <v>80.510555262081496</v>
      </c>
      <c r="AM1744">
        <v>86.113325187851302</v>
      </c>
      <c r="AN1744">
        <v>0.99999996659933099</v>
      </c>
    </row>
    <row r="1745" spans="1:40" x14ac:dyDescent="0.3">
      <c r="A1745" t="str">
        <f>"20200111150829672"</f>
        <v>20200111150829672</v>
      </c>
      <c r="B1745" t="str">
        <f>"1578726509664453"</f>
        <v>1578726509664453</v>
      </c>
      <c r="C1745" t="s">
        <v>40</v>
      </c>
      <c r="D1745">
        <v>5.1505159999999997</v>
      </c>
      <c r="E1745">
        <v>0.70921679999999998</v>
      </c>
      <c r="F1745" t="s">
        <v>43</v>
      </c>
      <c r="G1745">
        <v>-190.09479999999999</v>
      </c>
      <c r="H1745" s="1">
        <v>-3.607809E-6</v>
      </c>
      <c r="I1745">
        <v>167.1705</v>
      </c>
      <c r="J1745">
        <v>-192.7764</v>
      </c>
      <c r="K1745">
        <v>1.0979810000000001</v>
      </c>
      <c r="L1745">
        <v>202.91059999999999</v>
      </c>
      <c r="M1745">
        <v>0.59863869999999997</v>
      </c>
      <c r="N1745">
        <v>0</v>
      </c>
      <c r="O1745">
        <v>-0.80091259999999997</v>
      </c>
      <c r="P1745">
        <v>0.54121490000000005</v>
      </c>
      <c r="Q1745">
        <v>0.1541487</v>
      </c>
      <c r="R1745">
        <v>-0.82663469999999994</v>
      </c>
      <c r="S1745">
        <v>0.27943420000000002</v>
      </c>
      <c r="T1745">
        <v>-0.10642939999999999</v>
      </c>
      <c r="U1745">
        <v>-3.4915919999999998</v>
      </c>
      <c r="V1745">
        <v>6.6211049999999994E-2</v>
      </c>
      <c r="W1745">
        <v>0.1651772</v>
      </c>
      <c r="X1745">
        <v>0.98403890000000005</v>
      </c>
      <c r="Y1745">
        <v>0.53287689999999999</v>
      </c>
      <c r="Z1745">
        <v>1.9079289999999999E-2</v>
      </c>
      <c r="AA1745">
        <v>0.8459776</v>
      </c>
      <c r="AB1745">
        <v>34</v>
      </c>
      <c r="AC1745">
        <v>2.6816</v>
      </c>
      <c r="AD1745">
        <v>-1.0979846078090001</v>
      </c>
      <c r="AE1745">
        <v>-35.740099999999899</v>
      </c>
      <c r="AF1745">
        <v>19.231273998046099</v>
      </c>
      <c r="AG1745">
        <v>-1.0979846078090001</v>
      </c>
      <c r="AH1745">
        <v>30.204239382776901</v>
      </c>
      <c r="AI1745">
        <v>91.756367685638594</v>
      </c>
      <c r="AJ1745">
        <v>57.514775613989201</v>
      </c>
      <c r="AK1745">
        <v>35.823784647619298</v>
      </c>
      <c r="AL1745">
        <v>80.492471314770299</v>
      </c>
      <c r="AM1745">
        <v>86.150655916011999</v>
      </c>
      <c r="AN1745">
        <v>0.99999998362757603</v>
      </c>
    </row>
    <row r="1746" spans="1:40" x14ac:dyDescent="0.3">
      <c r="A1746" t="str">
        <f>"20200111150829694"</f>
        <v>20200111150829694</v>
      </c>
      <c r="B1746" t="str">
        <f>"1578726509684950"</f>
        <v>1578726509684950</v>
      </c>
      <c r="C1746" t="s">
        <v>40</v>
      </c>
      <c r="D1746">
        <v>4.8291019999999998</v>
      </c>
      <c r="E1746">
        <v>0.71225760000000005</v>
      </c>
      <c r="F1746" t="s">
        <v>43</v>
      </c>
      <c r="G1746">
        <v>-190.42750000000001</v>
      </c>
      <c r="H1746" s="1">
        <v>-4.7902670000000003E-6</v>
      </c>
      <c r="I1746">
        <v>169.56280000000001</v>
      </c>
      <c r="J1746">
        <v>-192.5831</v>
      </c>
      <c r="K1746">
        <v>1.09798</v>
      </c>
      <c r="L1746">
        <v>202.63290000000001</v>
      </c>
      <c r="M1746">
        <v>0.58811930000000001</v>
      </c>
      <c r="N1746">
        <v>0</v>
      </c>
      <c r="O1746">
        <v>-0.80866859999999996</v>
      </c>
      <c r="P1746">
        <v>0.53073139999999996</v>
      </c>
      <c r="Q1746">
        <v>0.1539102</v>
      </c>
      <c r="R1746">
        <v>-0.83344810000000003</v>
      </c>
      <c r="S1746">
        <v>0.24580379999999999</v>
      </c>
      <c r="T1746">
        <v>-0.114898</v>
      </c>
      <c r="U1746">
        <v>-3.489655</v>
      </c>
      <c r="V1746">
        <v>6.5795919999999994E-2</v>
      </c>
      <c r="W1746">
        <v>0.1649525</v>
      </c>
      <c r="X1746">
        <v>0.98410450000000005</v>
      </c>
      <c r="Y1746">
        <v>0.52988269999999904</v>
      </c>
      <c r="Z1746">
        <v>2.1013480000000001E-2</v>
      </c>
      <c r="AA1746">
        <v>0.84781059999999997</v>
      </c>
      <c r="AB1746">
        <v>34</v>
      </c>
      <c r="AC1746">
        <v>2.15559999999999</v>
      </c>
      <c r="AD1746">
        <v>-1.0979847902669999</v>
      </c>
      <c r="AE1746">
        <v>-33.070099999999996</v>
      </c>
      <c r="AF1746">
        <v>17.688094104925501</v>
      </c>
      <c r="AG1746">
        <v>-1.0979847902669999</v>
      </c>
      <c r="AH1746">
        <v>27.9821778161987</v>
      </c>
      <c r="AI1746">
        <v>91.899678332626905</v>
      </c>
      <c r="AJ1746">
        <v>57.7022008787064</v>
      </c>
      <c r="AK1746">
        <v>33.1221454468415</v>
      </c>
      <c r="AL1746">
        <v>80.505525357038593</v>
      </c>
      <c r="AM1746">
        <v>86.174972886380104</v>
      </c>
      <c r="AN1746">
        <v>1.00000004863257</v>
      </c>
    </row>
    <row r="1747" spans="1:40" x14ac:dyDescent="0.3">
      <c r="A1747" t="str">
        <f>"20200111150829716"</f>
        <v>20200111150829716</v>
      </c>
      <c r="B1747" t="str">
        <f>"1578726509704466"</f>
        <v>1578726509704466</v>
      </c>
      <c r="C1747" t="s">
        <v>40</v>
      </c>
      <c r="D1747">
        <v>5.0975129999999904</v>
      </c>
      <c r="E1747">
        <v>0.71621009999999996</v>
      </c>
      <c r="F1747" t="s">
        <v>43</v>
      </c>
      <c r="G1747">
        <v>-190.76480000000001</v>
      </c>
      <c r="H1747" s="1">
        <v>-3.8623070000000003E-6</v>
      </c>
      <c r="I1747">
        <v>167.33170000000001</v>
      </c>
      <c r="J1747">
        <v>-192.39930000000001</v>
      </c>
      <c r="K1747">
        <v>1.097982</v>
      </c>
      <c r="L1747">
        <v>202.3614</v>
      </c>
      <c r="M1747">
        <v>0.5778257</v>
      </c>
      <c r="N1747">
        <v>0</v>
      </c>
      <c r="O1747">
        <v>-0.81605559999999999</v>
      </c>
      <c r="P1747">
        <v>0.52052749999999903</v>
      </c>
      <c r="Q1747">
        <v>0.1545917</v>
      </c>
      <c r="R1747">
        <v>-0.83973379999999997</v>
      </c>
      <c r="S1747">
        <v>0.18052670000000001</v>
      </c>
      <c r="T1747">
        <v>-0.1090087</v>
      </c>
      <c r="U1747">
        <v>-3.5047299999999999</v>
      </c>
      <c r="V1747">
        <v>6.5275509999999995E-2</v>
      </c>
      <c r="W1747">
        <v>0.16564899999999999</v>
      </c>
      <c r="X1747">
        <v>0.98402210000000001</v>
      </c>
      <c r="Y1747">
        <v>0.53511600000000004</v>
      </c>
      <c r="Z1747">
        <v>2.0135320000000002E-2</v>
      </c>
      <c r="AA1747">
        <v>0.84453860000000003</v>
      </c>
      <c r="AB1747">
        <v>34</v>
      </c>
      <c r="AC1747">
        <v>1.6345000000000001</v>
      </c>
      <c r="AD1747">
        <v>-1.097985862307</v>
      </c>
      <c r="AE1747">
        <v>-35.029699999999899</v>
      </c>
      <c r="AF1747">
        <v>18.890313249155</v>
      </c>
      <c r="AG1747">
        <v>-1.097985862307</v>
      </c>
      <c r="AH1747">
        <v>29.5042358443959</v>
      </c>
      <c r="AI1747">
        <v>91.795122604383593</v>
      </c>
      <c r="AJ1747">
        <v>57.370284749641598</v>
      </c>
      <c r="AK1747">
        <v>35.050669613671602</v>
      </c>
      <c r="AL1747">
        <v>80.465061624283507</v>
      </c>
      <c r="AM1747">
        <v>86.204821177103597</v>
      </c>
      <c r="AN1747">
        <v>0.99999998834758497</v>
      </c>
    </row>
    <row r="1748" spans="1:40" x14ac:dyDescent="0.3">
      <c r="A1748" t="str">
        <f>"20200111150829750"</f>
        <v>20200111150829750</v>
      </c>
      <c r="B1748" t="str">
        <f>"1578726509744486"</f>
        <v>1578726509744486</v>
      </c>
      <c r="C1748" t="s">
        <v>40</v>
      </c>
      <c r="D1748">
        <v>5.2462580000000001</v>
      </c>
      <c r="E1748">
        <v>0.71678629999999999</v>
      </c>
      <c r="F1748" t="s">
        <v>43</v>
      </c>
      <c r="G1748">
        <v>-191.249</v>
      </c>
      <c r="H1748" s="1">
        <v>-3.3272289999999998E-6</v>
      </c>
      <c r="I1748">
        <v>165.9273</v>
      </c>
      <c r="J1748">
        <v>-192.1198</v>
      </c>
      <c r="K1748">
        <v>1.097985</v>
      </c>
      <c r="L1748">
        <v>201.9333</v>
      </c>
      <c r="M1748">
        <v>0.56159230000000004</v>
      </c>
      <c r="N1748">
        <v>0</v>
      </c>
      <c r="O1748">
        <v>-0.82731089999999996</v>
      </c>
      <c r="P1748">
        <v>0.50368729999999995</v>
      </c>
      <c r="Q1748">
        <v>0.15496389999999999</v>
      </c>
      <c r="R1748">
        <v>-0.84987349999999995</v>
      </c>
      <c r="S1748">
        <v>0.1112366</v>
      </c>
      <c r="T1748">
        <v>-0.10617509999999999</v>
      </c>
      <c r="U1748">
        <v>-3.5231780000000001</v>
      </c>
      <c r="V1748">
        <v>6.5422750000000002E-2</v>
      </c>
      <c r="W1748">
        <v>0.1660171</v>
      </c>
      <c r="X1748">
        <v>0.98395030000000006</v>
      </c>
      <c r="Y1748">
        <v>0.5352365</v>
      </c>
      <c r="Z1748">
        <v>2.0005160000000001E-2</v>
      </c>
      <c r="AA1748">
        <v>0.84446529999999997</v>
      </c>
      <c r="AB1748">
        <v>34</v>
      </c>
      <c r="AC1748">
        <v>0.87079999999997404</v>
      </c>
      <c r="AD1748">
        <v>-1.0979883272290001</v>
      </c>
      <c r="AE1748">
        <v>-36.006</v>
      </c>
      <c r="AF1748">
        <v>19.483827387094301</v>
      </c>
      <c r="AG1748">
        <v>-1.0979883272290001</v>
      </c>
      <c r="AH1748">
        <v>30.251661101584201</v>
      </c>
      <c r="AI1748">
        <v>91.747781762456597</v>
      </c>
      <c r="AJ1748">
        <v>57.216111795649603</v>
      </c>
      <c r="AK1748">
        <v>35.9998348249255</v>
      </c>
      <c r="AL1748">
        <v>80.443675067953293</v>
      </c>
      <c r="AM1748">
        <v>86.1960088626073</v>
      </c>
      <c r="AN1748">
        <v>1.00000000329003</v>
      </c>
    </row>
    <row r="1749" spans="1:40" x14ac:dyDescent="0.3">
      <c r="A1749" t="str">
        <f>"20200111150829773"</f>
        <v>20200111150829773</v>
      </c>
      <c r="B1749" t="str">
        <f>"1578726509764994"</f>
        <v>1578726509764994</v>
      </c>
      <c r="C1749" t="s">
        <v>40</v>
      </c>
      <c r="D1749">
        <v>5.1363560000000001</v>
      </c>
      <c r="E1749">
        <v>0.71626730000000005</v>
      </c>
      <c r="F1749" t="s">
        <v>43</v>
      </c>
      <c r="G1749">
        <v>-191.7158</v>
      </c>
      <c r="H1749" s="1">
        <v>-2.4710480000000002E-6</v>
      </c>
      <c r="I1749">
        <v>163.85329999999999</v>
      </c>
      <c r="J1749">
        <v>-191.9308</v>
      </c>
      <c r="K1749">
        <v>1.097988</v>
      </c>
      <c r="L1749">
        <v>201.63319999999999</v>
      </c>
      <c r="M1749">
        <v>0.55020500000000006</v>
      </c>
      <c r="N1749">
        <v>0</v>
      </c>
      <c r="O1749">
        <v>-0.83492710000000003</v>
      </c>
      <c r="P1749">
        <v>0.49218089999999998</v>
      </c>
      <c r="Q1749">
        <v>0.15500949999999999</v>
      </c>
      <c r="R1749">
        <v>-0.85658029999999996</v>
      </c>
      <c r="S1749">
        <v>3.7414549999999998E-2</v>
      </c>
      <c r="T1749">
        <v>-0.1016756</v>
      </c>
      <c r="U1749">
        <v>-3.5262760000000002</v>
      </c>
      <c r="V1749">
        <v>6.5207790000000002E-2</v>
      </c>
      <c r="W1749">
        <v>0.16606979999999999</v>
      </c>
      <c r="X1749">
        <v>0.98395569999999999</v>
      </c>
      <c r="Y1749">
        <v>0.54134459999999995</v>
      </c>
      <c r="Z1749">
        <v>1.9401999999999999E-2</v>
      </c>
      <c r="AA1749">
        <v>0.84057689999999996</v>
      </c>
      <c r="AB1749">
        <v>34</v>
      </c>
      <c r="AC1749">
        <v>0.21500000000000299</v>
      </c>
      <c r="AD1749">
        <v>-1.097990471048</v>
      </c>
      <c r="AE1749">
        <v>-37.779899999999998</v>
      </c>
      <c r="AF1749">
        <v>20.5915526679068</v>
      </c>
      <c r="AG1749">
        <v>-1.097990471048</v>
      </c>
      <c r="AH1749">
        <v>31.6377450670672</v>
      </c>
      <c r="AI1749">
        <v>91.666086682989203</v>
      </c>
      <c r="AJ1749">
        <v>56.9417485899152</v>
      </c>
      <c r="AK1749">
        <v>37.7645936993692</v>
      </c>
      <c r="AL1749">
        <v>80.440613303489201</v>
      </c>
      <c r="AM1749">
        <v>86.208491894300593</v>
      </c>
      <c r="AN1749">
        <v>1.0000000269556</v>
      </c>
    </row>
    <row r="1750" spans="1:40" x14ac:dyDescent="0.3">
      <c r="A1750" t="str">
        <f>"20200111150829795"</f>
        <v>20200111150829795</v>
      </c>
      <c r="B1750" t="str">
        <f>"1578726509784498"</f>
        <v>1578726509784498</v>
      </c>
      <c r="C1750" t="s">
        <v>40</v>
      </c>
      <c r="D1750">
        <v>5.1493359999999999</v>
      </c>
      <c r="E1750">
        <v>0.71572349999999996</v>
      </c>
      <c r="F1750" t="s">
        <v>43</v>
      </c>
      <c r="G1750">
        <v>-192.01429999999999</v>
      </c>
      <c r="H1750" s="1">
        <v>-1.9551359999999999E-6</v>
      </c>
      <c r="I1750">
        <v>162.59379999999999</v>
      </c>
      <c r="J1750">
        <v>-191.7551</v>
      </c>
      <c r="K1750">
        <v>1.0979909999999999</v>
      </c>
      <c r="L1750">
        <v>201.3458</v>
      </c>
      <c r="M1750">
        <v>0.53928949999999998</v>
      </c>
      <c r="N1750">
        <v>0</v>
      </c>
      <c r="O1750">
        <v>-0.84201890000000001</v>
      </c>
      <c r="P1750">
        <v>0.48072189999999998</v>
      </c>
      <c r="Q1750">
        <v>0.1554439</v>
      </c>
      <c r="R1750">
        <v>-0.86298539999999901</v>
      </c>
      <c r="S1750">
        <v>-7.5378419999999899E-3</v>
      </c>
      <c r="T1750">
        <v>-9.9129079999999994E-2</v>
      </c>
      <c r="U1750">
        <v>-3.5245669999999998</v>
      </c>
      <c r="V1750">
        <v>6.5482899999999997E-2</v>
      </c>
      <c r="W1750">
        <v>0.1664958</v>
      </c>
      <c r="X1750">
        <v>0.9838654</v>
      </c>
      <c r="Y1750">
        <v>0.54111659999999995</v>
      </c>
      <c r="Z1750">
        <v>1.921844E-2</v>
      </c>
      <c r="AA1750">
        <v>0.84072789999999997</v>
      </c>
      <c r="AB1750">
        <v>34</v>
      </c>
      <c r="AC1750">
        <v>-0.25919999999999199</v>
      </c>
      <c r="AD1750">
        <v>-1.0979929551359999</v>
      </c>
      <c r="AE1750">
        <v>-38.752000000000002</v>
      </c>
      <c r="AF1750">
        <v>21.101664002535099</v>
      </c>
      <c r="AG1750">
        <v>-1.0979929551359999</v>
      </c>
      <c r="AH1750">
        <v>32.466847525335297</v>
      </c>
      <c r="AI1750">
        <v>91.624241077964896</v>
      </c>
      <c r="AJ1750">
        <v>56.978349306498401</v>
      </c>
      <c r="AK1750">
        <v>38.7373463267528</v>
      </c>
      <c r="AL1750">
        <v>80.415860374719003</v>
      </c>
      <c r="AM1750">
        <v>86.192194147443502</v>
      </c>
      <c r="AN1750">
        <v>0.99999999346360502</v>
      </c>
    </row>
    <row r="1751" spans="1:40" x14ac:dyDescent="0.3">
      <c r="A1751" t="str">
        <f>"20200111150829817"</f>
        <v>20200111150829817</v>
      </c>
      <c r="B1751" t="str">
        <f>"1578726509814755"</f>
        <v>1578726509814755</v>
      </c>
      <c r="C1751" t="s">
        <v>40</v>
      </c>
      <c r="D1751">
        <v>5.1581519999999896</v>
      </c>
      <c r="E1751">
        <v>0.71423919999999996</v>
      </c>
      <c r="F1751" t="s">
        <v>43</v>
      </c>
      <c r="G1751">
        <v>-192.29599999999999</v>
      </c>
      <c r="H1751" s="1">
        <v>-2.345407E-6</v>
      </c>
      <c r="I1751">
        <v>163.26089999999999</v>
      </c>
      <c r="J1751">
        <v>-191.5849</v>
      </c>
      <c r="K1751">
        <v>1.097988</v>
      </c>
      <c r="L1751">
        <v>201.05940000000001</v>
      </c>
      <c r="M1751">
        <v>0.52840969999999998</v>
      </c>
      <c r="N1751">
        <v>0</v>
      </c>
      <c r="O1751">
        <v>-0.84888889999999995</v>
      </c>
      <c r="P1751">
        <v>0.4691922</v>
      </c>
      <c r="Q1751">
        <v>0.15492539999999999</v>
      </c>
      <c r="R1751">
        <v>-0.86940049999999902</v>
      </c>
      <c r="S1751">
        <v>-5.0033569999999999E-2</v>
      </c>
      <c r="T1751">
        <v>-0.10155210000000001</v>
      </c>
      <c r="U1751">
        <v>-3.5224299999999999</v>
      </c>
      <c r="V1751">
        <v>6.5953429999999993E-2</v>
      </c>
      <c r="W1751">
        <v>0.16596449999999999</v>
      </c>
      <c r="X1751">
        <v>0.98392369999999996</v>
      </c>
      <c r="Y1751">
        <v>0.54043699999999995</v>
      </c>
      <c r="Z1751">
        <v>1.9994620000000001E-2</v>
      </c>
      <c r="AA1751">
        <v>0.84114690000000003</v>
      </c>
      <c r="AB1751">
        <v>34</v>
      </c>
      <c r="AC1751">
        <v>-0.71109999999998696</v>
      </c>
      <c r="AD1751">
        <v>-1.0979903454069999</v>
      </c>
      <c r="AE1751">
        <v>-37.798499999999997</v>
      </c>
      <c r="AF1751">
        <v>20.5611529743171</v>
      </c>
      <c r="AG1751">
        <v>-1.0979903454069999</v>
      </c>
      <c r="AH1751">
        <v>31.686955290678199</v>
      </c>
      <c r="AI1751">
        <v>91.664997767251094</v>
      </c>
      <c r="AJ1751">
        <v>57.021112644154002</v>
      </c>
      <c r="AK1751">
        <v>37.7892806232841</v>
      </c>
      <c r="AL1751">
        <v>80.446730794108404</v>
      </c>
      <c r="AM1751">
        <v>86.165140927193207</v>
      </c>
      <c r="AN1751">
        <v>0.99999995880535097</v>
      </c>
    </row>
    <row r="1752" spans="1:40" x14ac:dyDescent="0.3">
      <c r="A1752" t="str">
        <f>"20200111150829841"</f>
        <v>20200111150829841</v>
      </c>
      <c r="B1752" t="str">
        <f>"1578726509835251"</f>
        <v>1578726509835251</v>
      </c>
      <c r="C1752" t="s">
        <v>40</v>
      </c>
      <c r="D1752">
        <v>5.1237069999999996</v>
      </c>
      <c r="E1752">
        <v>0.71301510000000001</v>
      </c>
      <c r="F1752" t="s">
        <v>43</v>
      </c>
      <c r="G1752">
        <v>-192.41309999999999</v>
      </c>
      <c r="H1752" s="1">
        <v>-4.1281100000000002E-6</v>
      </c>
      <c r="I1752">
        <v>166.96619999999999</v>
      </c>
      <c r="J1752">
        <v>-191.41239999999999</v>
      </c>
      <c r="K1752">
        <v>1.0979810000000001</v>
      </c>
      <c r="L1752">
        <v>200.7603</v>
      </c>
      <c r="M1752">
        <v>0.517042</v>
      </c>
      <c r="N1752">
        <v>0</v>
      </c>
      <c r="O1752">
        <v>-0.85586019999999896</v>
      </c>
      <c r="P1752">
        <v>0.4571617</v>
      </c>
      <c r="Q1752">
        <v>0.1536594</v>
      </c>
      <c r="R1752">
        <v>-0.87600919999999904</v>
      </c>
      <c r="S1752">
        <v>-8.5433960000000003E-2</v>
      </c>
      <c r="T1752">
        <v>-0.11326559999999999</v>
      </c>
      <c r="U1752">
        <v>-3.516953</v>
      </c>
      <c r="V1752">
        <v>6.6476049999999995E-2</v>
      </c>
      <c r="W1752">
        <v>0.16468529999999901</v>
      </c>
      <c r="X1752">
        <v>0.98410350000000002</v>
      </c>
      <c r="Y1752">
        <v>0.53769029999999995</v>
      </c>
      <c r="Z1752">
        <v>2.269034E-2</v>
      </c>
      <c r="AA1752">
        <v>0.84283699999999995</v>
      </c>
      <c r="AB1752">
        <v>34</v>
      </c>
      <c r="AC1752">
        <v>-1.0006999999999899</v>
      </c>
      <c r="AD1752">
        <v>-1.0979851281099999</v>
      </c>
      <c r="AE1752">
        <v>-33.7941</v>
      </c>
      <c r="AF1752">
        <v>18.3116812980346</v>
      </c>
      <c r="AG1752">
        <v>-1.0979851281099999</v>
      </c>
      <c r="AH1752">
        <v>28.378118152210099</v>
      </c>
      <c r="AI1752">
        <v>91.862056082972202</v>
      </c>
      <c r="AJ1752">
        <v>57.166870831911901</v>
      </c>
      <c r="AK1752">
        <v>33.791135422816701</v>
      </c>
      <c r="AL1752">
        <v>80.5210466579084</v>
      </c>
      <c r="AM1752">
        <v>86.135549000971693</v>
      </c>
      <c r="AN1752">
        <v>1.0000000059859699</v>
      </c>
    </row>
    <row r="1753" spans="1:40" x14ac:dyDescent="0.3">
      <c r="A1753" t="str">
        <f>"20200111150829863"</f>
        <v>20200111150829863</v>
      </c>
      <c r="B1753" t="str">
        <f>"1578726509854770"</f>
        <v>1578726509854770</v>
      </c>
      <c r="C1753" t="s">
        <v>40</v>
      </c>
      <c r="D1753">
        <v>5.1541420000000002</v>
      </c>
      <c r="E1753">
        <v>0.69438480000000002</v>
      </c>
      <c r="F1753" t="s">
        <v>43</v>
      </c>
      <c r="G1753">
        <v>-192.54150000000001</v>
      </c>
      <c r="H1753" s="1">
        <v>-4.9883649999999996E-6</v>
      </c>
      <c r="I1753">
        <v>169.10210000000001</v>
      </c>
      <c r="J1753">
        <v>-191.23990000000001</v>
      </c>
      <c r="K1753">
        <v>1.097977</v>
      </c>
      <c r="L1753">
        <v>200.45070000000001</v>
      </c>
      <c r="M1753">
        <v>0.50528070000000003</v>
      </c>
      <c r="N1753">
        <v>0</v>
      </c>
      <c r="O1753">
        <v>-0.86285610000000001</v>
      </c>
      <c r="P1753">
        <v>0.4444207</v>
      </c>
      <c r="Q1753">
        <v>0.15262870000000001</v>
      </c>
      <c r="R1753">
        <v>-0.88272030000000001</v>
      </c>
      <c r="S1753">
        <v>-0.1252289</v>
      </c>
      <c r="T1753">
        <v>-0.121782</v>
      </c>
      <c r="U1753">
        <v>-3.5113370000000002</v>
      </c>
      <c r="V1753">
        <v>6.7328100000000002E-2</v>
      </c>
      <c r="W1753">
        <v>0.1636312</v>
      </c>
      <c r="X1753">
        <v>0.98422140000000002</v>
      </c>
      <c r="Y1753">
        <v>0.53572120000000001</v>
      </c>
      <c r="Z1753">
        <v>2.4808569999999999E-2</v>
      </c>
      <c r="AA1753">
        <v>0.84403039999999996</v>
      </c>
      <c r="AB1753">
        <v>34</v>
      </c>
      <c r="AC1753">
        <v>-1.3016000000000001</v>
      </c>
      <c r="AD1753">
        <v>-1.0979819883649999</v>
      </c>
      <c r="AE1753">
        <v>-31.348600000000001</v>
      </c>
      <c r="AF1753">
        <v>16.943634833983801</v>
      </c>
      <c r="AG1753">
        <v>-1.0979819883649999</v>
      </c>
      <c r="AH1753">
        <v>26.361627721772798</v>
      </c>
      <c r="AI1753">
        <v>92.006686719807902</v>
      </c>
      <c r="AJ1753">
        <v>57.269581207799298</v>
      </c>
      <c r="AK1753">
        <v>31.356462523306199</v>
      </c>
      <c r="AL1753">
        <v>80.5822727095765</v>
      </c>
      <c r="AM1753">
        <v>86.086637145395798</v>
      </c>
      <c r="AN1753">
        <v>1.0000000034405001</v>
      </c>
    </row>
    <row r="1754" spans="1:40" x14ac:dyDescent="0.3">
      <c r="A1754" t="str">
        <f>"20200111150829885"</f>
        <v>20200111150829885</v>
      </c>
      <c r="B1754" t="str">
        <f>"1578726509875267"</f>
        <v>1578726509875267</v>
      </c>
      <c r="C1754" t="s">
        <v>40</v>
      </c>
      <c r="D1754">
        <v>5.1868400000000001</v>
      </c>
      <c r="E1754">
        <v>0.69323880000000004</v>
      </c>
      <c r="F1754" t="s">
        <v>43</v>
      </c>
      <c r="G1754">
        <v>-191.50409999999999</v>
      </c>
      <c r="H1754" s="1">
        <v>-4.2745889999999996E-6</v>
      </c>
      <c r="I1754">
        <v>178.7638</v>
      </c>
      <c r="J1754">
        <v>-191.08320000000001</v>
      </c>
      <c r="K1754">
        <v>1.0979730000000001</v>
      </c>
      <c r="L1754">
        <v>200.1609</v>
      </c>
      <c r="M1754">
        <v>0.49427330000000003</v>
      </c>
      <c r="N1754">
        <v>0</v>
      </c>
      <c r="O1754">
        <v>-0.86920819999999999</v>
      </c>
      <c r="P1754">
        <v>0.43222179999999999</v>
      </c>
      <c r="Q1754">
        <v>0.15144549999999901</v>
      </c>
      <c r="R1754">
        <v>-0.88895949999999901</v>
      </c>
      <c r="S1754">
        <v>-4.2037959999999999E-2</v>
      </c>
      <c r="T1754">
        <v>-0.1746683</v>
      </c>
      <c r="U1754">
        <v>-3.4499659999999999</v>
      </c>
      <c r="V1754">
        <v>6.8439420000000001E-2</v>
      </c>
      <c r="W1754">
        <v>0.162416899999999</v>
      </c>
      <c r="X1754">
        <v>0.9843459</v>
      </c>
      <c r="Y1754">
        <v>0.50481450000000005</v>
      </c>
      <c r="Z1754">
        <v>3.7183670000000002E-2</v>
      </c>
      <c r="AA1754">
        <v>0.86242659999999904</v>
      </c>
      <c r="AB1754">
        <v>34</v>
      </c>
      <c r="AC1754">
        <v>-0.42089999999998801</v>
      </c>
      <c r="AD1754">
        <v>-1.097977274589</v>
      </c>
      <c r="AE1754">
        <v>-21.397099999999899</v>
      </c>
      <c r="AF1754">
        <v>10.9140733024743</v>
      </c>
      <c r="AG1754">
        <v>-1.097977274589</v>
      </c>
      <c r="AH1754">
        <v>18.343784430599602</v>
      </c>
      <c r="AI1754">
        <v>92.944666193277101</v>
      </c>
      <c r="AJ1754">
        <v>59.248458105001802</v>
      </c>
      <c r="AK1754">
        <v>21.373277179309799</v>
      </c>
      <c r="AL1754">
        <v>80.652790581881703</v>
      </c>
      <c r="AM1754">
        <v>86.022750209933207</v>
      </c>
      <c r="AN1754">
        <v>1.00000002723117</v>
      </c>
    </row>
    <row r="1755" spans="1:40" x14ac:dyDescent="0.3">
      <c r="A1755" t="str">
        <f>"20200111150829906"</f>
        <v>20200111150829906</v>
      </c>
      <c r="B1755" t="str">
        <f>"1578726509894786"</f>
        <v>1578726509894786</v>
      </c>
      <c r="C1755" t="s">
        <v>40</v>
      </c>
      <c r="D1755">
        <v>5.1585279999999996</v>
      </c>
      <c r="E1755">
        <v>0.6914053</v>
      </c>
      <c r="F1755" t="s">
        <v>43</v>
      </c>
      <c r="G1755">
        <v>-191.565</v>
      </c>
      <c r="H1755" s="1">
        <v>-4.8534220000000002E-7</v>
      </c>
      <c r="I1755">
        <v>179.74979999999999</v>
      </c>
      <c r="J1755">
        <v>-190.92920000000001</v>
      </c>
      <c r="K1755">
        <v>1.0979749999999999</v>
      </c>
      <c r="L1755">
        <v>199.8674</v>
      </c>
      <c r="M1755">
        <v>0.48312690000000003</v>
      </c>
      <c r="N1755">
        <v>0</v>
      </c>
      <c r="O1755">
        <v>-0.87545280000000003</v>
      </c>
      <c r="P1755">
        <v>0.42121819999999999</v>
      </c>
      <c r="Q1755">
        <v>0.1500059</v>
      </c>
      <c r="R1755">
        <v>-0.89446840000000005</v>
      </c>
      <c r="S1755">
        <v>-8.1344600000000003E-2</v>
      </c>
      <c r="T1755">
        <v>-0.18536340000000001</v>
      </c>
      <c r="U1755">
        <v>-3.4458769999999999</v>
      </c>
      <c r="V1755">
        <v>6.8082299999999998E-2</v>
      </c>
      <c r="W1755">
        <v>0.1609902</v>
      </c>
      <c r="X1755">
        <v>0.98460499999999995</v>
      </c>
      <c r="Y1755">
        <v>0.50362410000000002</v>
      </c>
      <c r="Z1755">
        <v>4.000973E-2</v>
      </c>
      <c r="AA1755">
        <v>0.86299599999999899</v>
      </c>
      <c r="AB1755">
        <v>34</v>
      </c>
      <c r="AC1755">
        <v>-0.63579999999998904</v>
      </c>
      <c r="AD1755">
        <v>-1.0979754853421999</v>
      </c>
      <c r="AE1755">
        <v>-20.117599999999999</v>
      </c>
      <c r="AF1755">
        <v>10.2463534673191</v>
      </c>
      <c r="AG1755">
        <v>-1.0979754853421999</v>
      </c>
      <c r="AH1755">
        <v>17.254968312553</v>
      </c>
      <c r="AI1755">
        <v>93.131698698882502</v>
      </c>
      <c r="AJ1755">
        <v>59.297292134451503</v>
      </c>
      <c r="AK1755">
        <v>20.097941213240201</v>
      </c>
      <c r="AL1755">
        <v>80.735624602849697</v>
      </c>
      <c r="AM1755">
        <v>86.044475462812102</v>
      </c>
      <c r="AN1755">
        <v>1.0000000250471599</v>
      </c>
    </row>
    <row r="1756" spans="1:40" x14ac:dyDescent="0.3">
      <c r="A1756" t="str">
        <f>"20200111150829952"</f>
        <v>20200111150829952</v>
      </c>
      <c r="B1756" t="str">
        <f>"1578726509944562"</f>
        <v>1578726509944562</v>
      </c>
      <c r="C1756" t="s">
        <v>40</v>
      </c>
      <c r="D1756">
        <v>4.7408890000000001</v>
      </c>
      <c r="E1756">
        <v>0.6922933</v>
      </c>
      <c r="F1756" t="s">
        <v>43</v>
      </c>
      <c r="G1756">
        <v>-191.61920000000001</v>
      </c>
      <c r="H1756" s="1">
        <v>-4.2666069999999999E-6</v>
      </c>
      <c r="I1756">
        <v>178.68039999999999</v>
      </c>
      <c r="J1756">
        <v>-190.61869999999999</v>
      </c>
      <c r="K1756">
        <v>1.097998</v>
      </c>
      <c r="L1756">
        <v>199.24600000000001</v>
      </c>
      <c r="M1756">
        <v>0.45956150000000001</v>
      </c>
      <c r="N1756">
        <v>0</v>
      </c>
      <c r="O1756">
        <v>-0.88804969999999905</v>
      </c>
      <c r="P1756">
        <v>0.39887610000000001</v>
      </c>
      <c r="Q1756">
        <v>0.14810390000000001</v>
      </c>
      <c r="R1756">
        <v>-0.90496580000000004</v>
      </c>
      <c r="S1756">
        <v>-0.11190799999999999</v>
      </c>
      <c r="T1756">
        <v>-0.17809239999999901</v>
      </c>
      <c r="U1756">
        <v>-3.4365389999999998</v>
      </c>
      <c r="V1756">
        <v>6.6298629999999997E-2</v>
      </c>
      <c r="W1756">
        <v>0.15914510000000001</v>
      </c>
      <c r="X1756">
        <v>0.98502650000000003</v>
      </c>
      <c r="Y1756">
        <v>0.48819299999999999</v>
      </c>
      <c r="Z1756">
        <v>3.9745570000000001E-2</v>
      </c>
      <c r="AA1756">
        <v>0.8718302</v>
      </c>
      <c r="AB1756">
        <v>34</v>
      </c>
      <c r="AC1756">
        <v>-1.0005000000000099</v>
      </c>
      <c r="AD1756">
        <v>-1.098002266607</v>
      </c>
      <c r="AE1756">
        <v>-20.5655999999999</v>
      </c>
      <c r="AF1756">
        <v>10.311212753824099</v>
      </c>
      <c r="AG1756">
        <v>-1.098002266607</v>
      </c>
      <c r="AH1756">
        <v>17.754515589678</v>
      </c>
      <c r="AI1756">
        <v>93.061194574396097</v>
      </c>
      <c r="AJ1756">
        <v>59.853451950914902</v>
      </c>
      <c r="AK1756">
        <v>20.560874039209001</v>
      </c>
      <c r="AL1756">
        <v>80.842721168106493</v>
      </c>
      <c r="AM1756">
        <v>86.149432431929995</v>
      </c>
      <c r="AN1756">
        <v>0.99999993844806601</v>
      </c>
    </row>
    <row r="1757" spans="1:40" x14ac:dyDescent="0.3">
      <c r="A1757" t="str">
        <f>"20200111150830018"</f>
        <v>20200111150830018</v>
      </c>
      <c r="B1757" t="str">
        <f>"1578726510014835"</f>
        <v>1578726510014835</v>
      </c>
      <c r="C1757" t="s">
        <v>40</v>
      </c>
      <c r="D1757">
        <v>5.2322220000000002</v>
      </c>
      <c r="E1757">
        <v>0.69293269999999996</v>
      </c>
      <c r="F1757" t="s">
        <v>43</v>
      </c>
      <c r="G1757">
        <v>-191.85980000000001</v>
      </c>
      <c r="H1757" s="1">
        <v>-4.1872910000000001E-6</v>
      </c>
      <c r="I1757">
        <v>178.3219</v>
      </c>
      <c r="J1757">
        <v>-190.19560000000001</v>
      </c>
      <c r="K1757">
        <v>1.0980589999999999</v>
      </c>
      <c r="L1757">
        <v>198.32689999999999</v>
      </c>
      <c r="M1757">
        <v>0.42486069999999998</v>
      </c>
      <c r="N1757">
        <v>0</v>
      </c>
      <c r="O1757">
        <v>-0.90516459999999999</v>
      </c>
      <c r="P1757">
        <v>0.36736799999999997</v>
      </c>
      <c r="Q1757">
        <v>0.1466884</v>
      </c>
      <c r="R1757">
        <v>-0.91843490000000005</v>
      </c>
      <c r="S1757">
        <v>-0.20372009999999999</v>
      </c>
      <c r="T1757">
        <v>-0.1802174</v>
      </c>
      <c r="U1757">
        <v>-3.434326</v>
      </c>
      <c r="V1757">
        <v>6.2245330000000001E-2</v>
      </c>
      <c r="W1757">
        <v>0.1578494</v>
      </c>
      <c r="X1757">
        <v>0.98549940000000003</v>
      </c>
      <c r="Y1757">
        <v>0.47766150000000002</v>
      </c>
      <c r="Z1757">
        <v>4.1705730000000003E-2</v>
      </c>
      <c r="AA1757">
        <v>0.87755349999999999</v>
      </c>
      <c r="AB1757">
        <v>34</v>
      </c>
      <c r="AC1757">
        <v>-1.6641999999999899</v>
      </c>
      <c r="AD1757">
        <v>-1.0980631872910001</v>
      </c>
      <c r="AE1757">
        <v>-20.0049999999999</v>
      </c>
      <c r="AF1757">
        <v>9.9767142301974392</v>
      </c>
      <c r="AG1757">
        <v>-1.0980631872910001</v>
      </c>
      <c r="AH1757">
        <v>17.350332980354199</v>
      </c>
      <c r="AI1757">
        <v>93.140336411841005</v>
      </c>
      <c r="AJ1757">
        <v>60.100421226009701</v>
      </c>
      <c r="AK1757">
        <v>20.044316504273102</v>
      </c>
      <c r="AL1757">
        <v>80.917910226825597</v>
      </c>
      <c r="AM1757">
        <v>86.385930316095795</v>
      </c>
      <c r="AN1757">
        <v>0.999999990793764</v>
      </c>
    </row>
    <row r="1758" spans="1:40" x14ac:dyDescent="0.3">
      <c r="A1758" t="str">
        <f>"20200111150830042"</f>
        <v>20200111150830042</v>
      </c>
      <c r="B1758" t="str">
        <f>"1578726510034356"</f>
        <v>1578726510034356</v>
      </c>
      <c r="C1758" t="s">
        <v>40</v>
      </c>
      <c r="D1758">
        <v>5.2268189999999999</v>
      </c>
      <c r="E1758">
        <v>0.69330669999999905</v>
      </c>
      <c r="F1758" t="s">
        <v>43</v>
      </c>
      <c r="G1758">
        <v>-192.24610000000001</v>
      </c>
      <c r="H1758" s="1">
        <v>-3.705458E-6</v>
      </c>
      <c r="I1758">
        <v>176.83349999999999</v>
      </c>
      <c r="J1758">
        <v>-190.0583</v>
      </c>
      <c r="K1758">
        <v>1.09809</v>
      </c>
      <c r="L1758">
        <v>198.0067</v>
      </c>
      <c r="M1758">
        <v>0.41283130000000001</v>
      </c>
      <c r="N1758">
        <v>0</v>
      </c>
      <c r="O1758">
        <v>-0.91071400000000002</v>
      </c>
      <c r="P1758">
        <v>0.35653790000000002</v>
      </c>
      <c r="Q1758">
        <v>0.14666209999999999</v>
      </c>
      <c r="R1758">
        <v>-0.92269749999999995</v>
      </c>
      <c r="S1758">
        <v>-0.32675169999999998</v>
      </c>
      <c r="T1758">
        <v>-0.17498150000000001</v>
      </c>
      <c r="U1758">
        <v>-3.4250639999999999</v>
      </c>
      <c r="V1758">
        <v>6.0770070000000002E-2</v>
      </c>
      <c r="W1758">
        <v>0.15786459999999999</v>
      </c>
      <c r="X1758">
        <v>0.98558900000000005</v>
      </c>
      <c r="Y1758">
        <v>0.49737500000000001</v>
      </c>
      <c r="Z1758">
        <v>4.0678230000000003E-2</v>
      </c>
      <c r="AA1758">
        <v>0.8665815</v>
      </c>
      <c r="AB1758">
        <v>34</v>
      </c>
      <c r="AC1758">
        <v>-2.18780000000001</v>
      </c>
      <c r="AD1758">
        <v>-1.098093705458</v>
      </c>
      <c r="AE1758">
        <v>-21.173200000000001</v>
      </c>
      <c r="AF1758">
        <v>10.7058425512077</v>
      </c>
      <c r="AG1758">
        <v>-1.098093705458</v>
      </c>
      <c r="AH1758">
        <v>18.332315068935699</v>
      </c>
      <c r="AI1758">
        <v>92.960988800905</v>
      </c>
      <c r="AJ1758">
        <v>59.715606395974703</v>
      </c>
      <c r="AK1758">
        <v>21.257813864646199</v>
      </c>
      <c r="AL1758">
        <v>80.917027946351595</v>
      </c>
      <c r="AM1758">
        <v>86.471687357757105</v>
      </c>
      <c r="AN1758">
        <v>0.99999995513098106</v>
      </c>
    </row>
    <row r="1759" spans="1:40" x14ac:dyDescent="0.3">
      <c r="A1759" t="str">
        <f>"20200111150830064"</f>
        <v>20200111150830064</v>
      </c>
      <c r="B1759" t="str">
        <f>"1578726510054853"</f>
        <v>1578726510054853</v>
      </c>
      <c r="C1759" t="s">
        <v>40</v>
      </c>
      <c r="D1759">
        <v>5.25936</v>
      </c>
      <c r="E1759">
        <v>0.69432159999999998</v>
      </c>
      <c r="F1759" t="s">
        <v>43</v>
      </c>
      <c r="G1759">
        <v>-192.42250000000001</v>
      </c>
      <c r="H1759" s="1">
        <v>-3.4670999999999998E-6</v>
      </c>
      <c r="I1759">
        <v>176.16849999999999</v>
      </c>
      <c r="J1759">
        <v>-189.92509999999999</v>
      </c>
      <c r="K1759">
        <v>1.0981240000000001</v>
      </c>
      <c r="L1759">
        <v>197.684</v>
      </c>
      <c r="M1759">
        <v>0.40074120000000002</v>
      </c>
      <c r="N1759">
        <v>0</v>
      </c>
      <c r="O1759">
        <v>-0.91609819999999997</v>
      </c>
      <c r="P1759">
        <v>0.345647599999999</v>
      </c>
      <c r="Q1759">
        <v>0.14709269999999999</v>
      </c>
      <c r="R1759">
        <v>-0.92676369999999997</v>
      </c>
      <c r="S1759">
        <v>-0.37043759999999998</v>
      </c>
      <c r="T1759">
        <v>-0.17206060000000001</v>
      </c>
      <c r="U1759">
        <v>-3.4218289999999998</v>
      </c>
      <c r="V1759">
        <v>5.9302769999999998E-2</v>
      </c>
      <c r="W1759">
        <v>0.15833539999999999</v>
      </c>
      <c r="X1759">
        <v>0.98560289999999995</v>
      </c>
      <c r="Y1759">
        <v>0.49692439999999999</v>
      </c>
      <c r="Z1759">
        <v>4.0421829999999999E-2</v>
      </c>
      <c r="AA1759">
        <v>0.86685190000000001</v>
      </c>
      <c r="AB1759">
        <v>34</v>
      </c>
      <c r="AC1759">
        <v>-2.4974000000000198</v>
      </c>
      <c r="AD1759">
        <v>-1.0981274671000001</v>
      </c>
      <c r="AE1759">
        <v>-21.515499999999999</v>
      </c>
      <c r="AF1759">
        <v>10.882968646218499</v>
      </c>
      <c r="AG1759">
        <v>-1.0981274671000001</v>
      </c>
      <c r="AH1759">
        <v>18.663125124474899</v>
      </c>
      <c r="AI1759">
        <v>92.909772614386199</v>
      </c>
      <c r="AJ1759">
        <v>59.752392270163</v>
      </c>
      <c r="AK1759">
        <v>21.632316794564101</v>
      </c>
      <c r="AL1759">
        <v>80.889709895046707</v>
      </c>
      <c r="AM1759">
        <v>86.556719795961797</v>
      </c>
      <c r="AN1759">
        <v>0.99999999695562103</v>
      </c>
    </row>
    <row r="1760" spans="1:40" x14ac:dyDescent="0.3">
      <c r="A1760" t="str">
        <f>"20200111150830087"</f>
        <v>20200111150830087</v>
      </c>
      <c r="B1760" t="str">
        <f>"1578726510074371"</f>
        <v>1578726510074371</v>
      </c>
      <c r="C1760" t="s">
        <v>40</v>
      </c>
      <c r="D1760">
        <v>5.4081169999999998</v>
      </c>
      <c r="E1760">
        <v>0.69301780000000002</v>
      </c>
      <c r="F1760" t="s">
        <v>43</v>
      </c>
      <c r="G1760">
        <v>-192.5043</v>
      </c>
      <c r="H1760" s="1">
        <v>-3.681446E-6</v>
      </c>
      <c r="I1760">
        <v>176.6174</v>
      </c>
      <c r="J1760">
        <v>-189.80119999999999</v>
      </c>
      <c r="K1760">
        <v>1.098155</v>
      </c>
      <c r="L1760">
        <v>197.37270000000001</v>
      </c>
      <c r="M1760">
        <v>0.3891018</v>
      </c>
      <c r="N1760">
        <v>0</v>
      </c>
      <c r="O1760">
        <v>-0.92110259999999999</v>
      </c>
      <c r="P1760">
        <v>0.33504299999999998</v>
      </c>
      <c r="Q1760">
        <v>0.1483293</v>
      </c>
      <c r="R1760">
        <v>-0.93045420000000001</v>
      </c>
      <c r="S1760">
        <v>-0.41891479999999998</v>
      </c>
      <c r="T1760">
        <v>-0.17835680000000001</v>
      </c>
      <c r="U1760">
        <v>-3.4216160000000002</v>
      </c>
      <c r="V1760">
        <v>5.8015850000000001E-2</v>
      </c>
      <c r="W1760">
        <v>0.159606</v>
      </c>
      <c r="X1760">
        <v>0.98547450000000003</v>
      </c>
      <c r="Y1760">
        <v>0.49804419999999999</v>
      </c>
      <c r="Z1760">
        <v>4.2236950000000002E-2</v>
      </c>
      <c r="AA1760">
        <v>0.86612239999999996</v>
      </c>
      <c r="AB1760">
        <v>34</v>
      </c>
      <c r="AC1760">
        <v>-2.7031000000000001</v>
      </c>
      <c r="AD1760">
        <v>-1.098158681446</v>
      </c>
      <c r="AE1760">
        <v>-20.755299999999998</v>
      </c>
      <c r="AF1760">
        <v>10.537646555676201</v>
      </c>
      <c r="AG1760">
        <v>-1.098158681446</v>
      </c>
      <c r="AH1760">
        <v>18.017914708346201</v>
      </c>
      <c r="AI1760">
        <v>93.011619421339006</v>
      </c>
      <c r="AJ1760">
        <v>59.679079446369897</v>
      </c>
      <c r="AK1760">
        <v>20.901990284640998</v>
      </c>
      <c r="AL1760">
        <v>80.815971756177703</v>
      </c>
      <c r="AM1760">
        <v>86.630829976224305</v>
      </c>
      <c r="AN1760">
        <v>0.99999995211873505</v>
      </c>
    </row>
    <row r="1761" spans="1:40" x14ac:dyDescent="0.3">
      <c r="A1761" t="str">
        <f>"20200111150830108"</f>
        <v>20200111150830108</v>
      </c>
      <c r="B1761" t="str">
        <f>"1578726510104626"</f>
        <v>1578726510104626</v>
      </c>
      <c r="C1761" t="s">
        <v>40</v>
      </c>
      <c r="D1761">
        <v>5.2288110000000003</v>
      </c>
      <c r="E1761">
        <v>0.69114240000000005</v>
      </c>
      <c r="F1761" t="s">
        <v>43</v>
      </c>
      <c r="G1761">
        <v>-192.67160000000001</v>
      </c>
      <c r="H1761" s="1">
        <v>-3.2499809999999999E-6</v>
      </c>
      <c r="I1761">
        <v>175.50790000000001</v>
      </c>
      <c r="J1761">
        <v>-189.6816</v>
      </c>
      <c r="K1761">
        <v>1.098176</v>
      </c>
      <c r="L1761">
        <v>197.06110000000001</v>
      </c>
      <c r="M1761">
        <v>0.37747890000000001</v>
      </c>
      <c r="N1761">
        <v>0</v>
      </c>
      <c r="O1761">
        <v>-0.92592660000000004</v>
      </c>
      <c r="P1761">
        <v>0.32467010000000002</v>
      </c>
      <c r="Q1761">
        <v>0.1492404</v>
      </c>
      <c r="R1761">
        <v>-0.93397929999999996</v>
      </c>
      <c r="S1761">
        <v>-0.44804379999999999</v>
      </c>
      <c r="T1761">
        <v>-0.17141219999999999</v>
      </c>
      <c r="U1761">
        <v>-3.4128880000000001</v>
      </c>
      <c r="V1761">
        <v>5.6536599999999999E-2</v>
      </c>
      <c r="W1761">
        <v>0.16055729999999999</v>
      </c>
      <c r="X1761">
        <v>0.985406</v>
      </c>
      <c r="Y1761">
        <v>0.4946815</v>
      </c>
      <c r="Z1761">
        <v>4.1088050000000001E-2</v>
      </c>
      <c r="AA1761">
        <v>0.8681025</v>
      </c>
      <c r="AB1761">
        <v>34</v>
      </c>
      <c r="AC1761">
        <v>-2.99</v>
      </c>
      <c r="AD1761">
        <v>-1.0981792499809999</v>
      </c>
      <c r="AE1761">
        <v>-21.5532</v>
      </c>
      <c r="AF1761">
        <v>10.877617361019301</v>
      </c>
      <c r="AG1761">
        <v>-1.0981792499809999</v>
      </c>
      <c r="AH1761">
        <v>18.781777328432302</v>
      </c>
      <c r="AI1761">
        <v>92.8965390293463</v>
      </c>
      <c r="AJ1761">
        <v>59.922377545061799</v>
      </c>
      <c r="AK1761">
        <v>21.732089562042901</v>
      </c>
      <c r="AL1761">
        <v>80.760754710683102</v>
      </c>
      <c r="AM1761">
        <v>86.716316703082597</v>
      </c>
      <c r="AN1761">
        <v>1.0000000092794199</v>
      </c>
    </row>
    <row r="1762" spans="1:40" x14ac:dyDescent="0.3">
      <c r="A1762" t="str">
        <f>"20200111150830130"</f>
        <v>20200111150830130</v>
      </c>
      <c r="B1762" t="str">
        <f>"1578726510125123"</f>
        <v>1578726510125123</v>
      </c>
      <c r="C1762" t="s">
        <v>40</v>
      </c>
      <c r="D1762">
        <v>5.2296060000000004</v>
      </c>
      <c r="E1762">
        <v>0.68989549999999999</v>
      </c>
      <c r="F1762" t="s">
        <v>43</v>
      </c>
      <c r="G1762">
        <v>-192.91820000000001</v>
      </c>
      <c r="H1762" s="1">
        <v>-2.5661650000000002E-6</v>
      </c>
      <c r="I1762">
        <v>173.761</v>
      </c>
      <c r="J1762">
        <v>-189.56010000000001</v>
      </c>
      <c r="K1762">
        <v>1.0982099999999999</v>
      </c>
      <c r="L1762">
        <v>196.732</v>
      </c>
      <c r="M1762">
        <v>0.3652415</v>
      </c>
      <c r="N1762">
        <v>0</v>
      </c>
      <c r="O1762">
        <v>-0.93082180000000003</v>
      </c>
      <c r="P1762">
        <v>0.31412859999999998</v>
      </c>
      <c r="Q1762">
        <v>0.14901710000000001</v>
      </c>
      <c r="R1762">
        <v>-0.93761280000000002</v>
      </c>
      <c r="S1762">
        <v>-0.4725647</v>
      </c>
      <c r="T1762">
        <v>-0.16034279999999901</v>
      </c>
      <c r="U1762">
        <v>-3.4020079999999999</v>
      </c>
      <c r="V1762">
        <v>5.4639159999999999E-2</v>
      </c>
      <c r="W1762">
        <v>0.1603869</v>
      </c>
      <c r="X1762">
        <v>0.98554070000000005</v>
      </c>
      <c r="Y1762">
        <v>0.48974030000000002</v>
      </c>
      <c r="Z1762">
        <v>3.8955099999999999E-2</v>
      </c>
      <c r="AA1762">
        <v>0.87099769999999899</v>
      </c>
      <c r="AB1762">
        <v>34</v>
      </c>
      <c r="AC1762">
        <v>-3.3580999999999999</v>
      </c>
      <c r="AD1762">
        <v>-1.098212566165</v>
      </c>
      <c r="AE1762">
        <v>-22.971</v>
      </c>
      <c r="AF1762">
        <v>11.4910157471781</v>
      </c>
      <c r="AG1762">
        <v>-1.098212566165</v>
      </c>
      <c r="AH1762">
        <v>20.112090018769301</v>
      </c>
      <c r="AI1762">
        <v>92.714457532761401</v>
      </c>
      <c r="AJ1762">
        <v>60.258570232583203</v>
      </c>
      <c r="AK1762">
        <v>23.189344075791801</v>
      </c>
      <c r="AL1762">
        <v>80.770645393924397</v>
      </c>
      <c r="AM1762">
        <v>86.826724980530003</v>
      </c>
      <c r="AN1762">
        <v>0.99999993342680005</v>
      </c>
    </row>
    <row r="1763" spans="1:40" x14ac:dyDescent="0.3">
      <c r="A1763" t="str">
        <f>"20200111150830153"</f>
        <v>20200111150830153</v>
      </c>
      <c r="B1763" t="str">
        <f>"1578726510144642"</f>
        <v>1578726510144642</v>
      </c>
      <c r="C1763" t="s">
        <v>40</v>
      </c>
      <c r="D1763">
        <v>5.3292539999999997</v>
      </c>
      <c r="E1763">
        <v>0.68883809999999901</v>
      </c>
      <c r="F1763" t="s">
        <v>43</v>
      </c>
      <c r="G1763">
        <v>-193.0745</v>
      </c>
      <c r="H1763" s="1">
        <v>-2.2781280000000002E-6</v>
      </c>
      <c r="I1763">
        <v>172.99260000000001</v>
      </c>
      <c r="J1763">
        <v>-189.44560000000001</v>
      </c>
      <c r="K1763">
        <v>1.098252</v>
      </c>
      <c r="L1763">
        <v>196.4093</v>
      </c>
      <c r="M1763">
        <v>0.35329490000000002</v>
      </c>
      <c r="N1763">
        <v>0</v>
      </c>
      <c r="O1763">
        <v>-0.93542150000000002</v>
      </c>
      <c r="P1763">
        <v>0.3034578</v>
      </c>
      <c r="Q1763">
        <v>0.14874999999999999</v>
      </c>
      <c r="R1763">
        <v>-0.94116230000000001</v>
      </c>
      <c r="S1763">
        <v>-0.50227359999999999</v>
      </c>
      <c r="T1763">
        <v>-0.15695590000000001</v>
      </c>
      <c r="U1763">
        <v>-3.3928219999999998</v>
      </c>
      <c r="V1763">
        <v>5.3205830000000003E-2</v>
      </c>
      <c r="W1763">
        <v>0.1601581</v>
      </c>
      <c r="X1763">
        <v>0.98565639999999999</v>
      </c>
      <c r="Y1763">
        <v>0.48637439999999998</v>
      </c>
      <c r="Z1763">
        <v>3.8574339999999999E-2</v>
      </c>
      <c r="AA1763">
        <v>0.87289859999999897</v>
      </c>
      <c r="AB1763">
        <v>34</v>
      </c>
      <c r="AC1763">
        <v>-3.6288999999999798</v>
      </c>
      <c r="AD1763">
        <v>-1.098254278128</v>
      </c>
      <c r="AE1763">
        <v>-23.416699999999899</v>
      </c>
      <c r="AF1763">
        <v>11.643528656345</v>
      </c>
      <c r="AG1763">
        <v>-1.098254278128</v>
      </c>
      <c r="AH1763">
        <v>20.579951898860902</v>
      </c>
      <c r="AI1763">
        <v>92.659294158332102</v>
      </c>
      <c r="AJ1763">
        <v>60.500101029468397</v>
      </c>
      <c r="AK1763">
        <v>23.670917645709999</v>
      </c>
      <c r="AL1763">
        <v>80.783927048954993</v>
      </c>
      <c r="AM1763">
        <v>86.910166928716507</v>
      </c>
      <c r="AN1763">
        <v>1.0000000081012701</v>
      </c>
    </row>
    <row r="1764" spans="1:40" x14ac:dyDescent="0.3">
      <c r="A1764" t="str">
        <f>"20200111150830174"</f>
        <v>20200111150830174</v>
      </c>
      <c r="B1764" t="str">
        <f>"1578726510165138"</f>
        <v>1578726510165138</v>
      </c>
      <c r="C1764" t="s">
        <v>40</v>
      </c>
      <c r="D1764">
        <v>5.3023949999999997</v>
      </c>
      <c r="E1764">
        <v>0.68777730000000004</v>
      </c>
      <c r="F1764" t="s">
        <v>43</v>
      </c>
      <c r="G1764">
        <v>-193.1764</v>
      </c>
      <c r="H1764" s="1">
        <v>-2.1730690000000002E-6</v>
      </c>
      <c r="I1764">
        <v>172.68450000000001</v>
      </c>
      <c r="J1764">
        <v>-189.33850000000001</v>
      </c>
      <c r="K1764">
        <v>1.0983019999999999</v>
      </c>
      <c r="L1764">
        <v>196.09520000000001</v>
      </c>
      <c r="M1764">
        <v>0.3417327</v>
      </c>
      <c r="N1764">
        <v>0</v>
      </c>
      <c r="O1764">
        <v>-0.93970730000000002</v>
      </c>
      <c r="P1764">
        <v>0.29284120000000002</v>
      </c>
      <c r="Q1764">
        <v>0.14773989999999901</v>
      </c>
      <c r="R1764">
        <v>-0.94467860000000003</v>
      </c>
      <c r="S1764">
        <v>-0.53211980000000003</v>
      </c>
      <c r="T1764">
        <v>-0.15664359999999999</v>
      </c>
      <c r="U1764">
        <v>-3.3838650000000001</v>
      </c>
      <c r="V1764">
        <v>5.2152080000000003E-2</v>
      </c>
      <c r="W1764">
        <v>0.1591757</v>
      </c>
      <c r="X1764">
        <v>0.98587179999999996</v>
      </c>
      <c r="Y1764">
        <v>0.48345490000000002</v>
      </c>
      <c r="Z1764">
        <v>3.8907129999999998E-2</v>
      </c>
      <c r="AA1764">
        <v>0.87450419999999995</v>
      </c>
      <c r="AB1764">
        <v>34</v>
      </c>
      <c r="AC1764">
        <v>-3.8378999999999901</v>
      </c>
      <c r="AD1764">
        <v>-1.098304173069</v>
      </c>
      <c r="AE1764">
        <v>-23.410699999999899</v>
      </c>
      <c r="AF1764">
        <v>11.5828585432832</v>
      </c>
      <c r="AG1764">
        <v>-1.098304173069</v>
      </c>
      <c r="AH1764">
        <v>20.645167210124001</v>
      </c>
      <c r="AI1764">
        <v>92.656381693345296</v>
      </c>
      <c r="AJ1764">
        <v>60.705633434545703</v>
      </c>
      <c r="AK1764">
        <v>23.697928458501799</v>
      </c>
      <c r="AL1764">
        <v>80.840945612253904</v>
      </c>
      <c r="AM1764">
        <v>86.971906995688002</v>
      </c>
      <c r="AN1764">
        <v>0.99999997447702704</v>
      </c>
    </row>
    <row r="1765" spans="1:40" x14ac:dyDescent="0.3">
      <c r="A1765" t="str">
        <f>"20200111150830197"</f>
        <v>20200111150830197</v>
      </c>
      <c r="B1765" t="str">
        <f>"1578726510194418"</f>
        <v>1578726510194418</v>
      </c>
      <c r="C1765" t="s">
        <v>40</v>
      </c>
      <c r="D1765">
        <v>5.1498210000000002</v>
      </c>
      <c r="E1765">
        <v>0.68570419999999999</v>
      </c>
      <c r="F1765" t="s">
        <v>43</v>
      </c>
      <c r="G1765">
        <v>-193.17179999999999</v>
      </c>
      <c r="H1765" s="1">
        <v>-2.316793E-6</v>
      </c>
      <c r="I1765">
        <v>173.0223</v>
      </c>
      <c r="J1765">
        <v>-189.23249999999999</v>
      </c>
      <c r="K1765">
        <v>1.098376</v>
      </c>
      <c r="L1765">
        <v>195.7715</v>
      </c>
      <c r="M1765">
        <v>0.3299089</v>
      </c>
      <c r="N1765">
        <v>0</v>
      </c>
      <c r="O1765">
        <v>-0.94392350000000003</v>
      </c>
      <c r="P1765">
        <v>0.2834353</v>
      </c>
      <c r="Q1765">
        <v>0.14735039999999999</v>
      </c>
      <c r="R1765">
        <v>-0.94760370000000005</v>
      </c>
      <c r="S1765">
        <v>-0.56065369999999903</v>
      </c>
      <c r="T1765">
        <v>-0.16063549999999999</v>
      </c>
      <c r="U1765">
        <v>-3.3745880000000001</v>
      </c>
      <c r="V1765">
        <v>4.9551669999999999E-2</v>
      </c>
      <c r="W1765">
        <v>0.1588561</v>
      </c>
      <c r="X1765">
        <v>0.98605750000000003</v>
      </c>
      <c r="Y1765">
        <v>0.48002790000000001</v>
      </c>
      <c r="Z1765">
        <v>4.0323009999999999E-2</v>
      </c>
      <c r="AA1765">
        <v>0.87632600000000005</v>
      </c>
      <c r="AB1765">
        <v>34</v>
      </c>
      <c r="AC1765">
        <v>-3.9392999999999998</v>
      </c>
      <c r="AD1765">
        <v>-1.0983783167929999</v>
      </c>
      <c r="AE1765">
        <v>-22.749199999999998</v>
      </c>
      <c r="AF1765">
        <v>11.199160366031</v>
      </c>
      <c r="AG1765">
        <v>-1.0983783167929999</v>
      </c>
      <c r="AH1765">
        <v>20.130034507365998</v>
      </c>
      <c r="AI1765">
        <v>92.729895338207697</v>
      </c>
      <c r="AJ1765">
        <v>60.911025421558001</v>
      </c>
      <c r="AK1765">
        <v>23.061784776955701</v>
      </c>
      <c r="AL1765">
        <v>80.859493680733607</v>
      </c>
      <c r="AM1765">
        <v>87.123174543993599</v>
      </c>
      <c r="AN1765">
        <v>1.0000000109066201</v>
      </c>
    </row>
    <row r="1766" spans="1:40" x14ac:dyDescent="0.3">
      <c r="A1766" t="str">
        <f>"20200111150830220"</f>
        <v>20200111150830220</v>
      </c>
      <c r="B1766" t="str">
        <f>"1578726510214915"</f>
        <v>1578726510214915</v>
      </c>
      <c r="C1766" t="s">
        <v>40</v>
      </c>
      <c r="D1766">
        <v>5.1966510000000001</v>
      </c>
      <c r="E1766">
        <v>0.66127709999999995</v>
      </c>
      <c r="F1766" t="s">
        <v>43</v>
      </c>
      <c r="G1766">
        <v>-193.29949999999999</v>
      </c>
      <c r="H1766" s="1">
        <v>-1.976491E-6</v>
      </c>
      <c r="I1766">
        <v>172.1499</v>
      </c>
      <c r="J1766">
        <v>-189.12989999999999</v>
      </c>
      <c r="K1766">
        <v>1.0984750000000001</v>
      </c>
      <c r="L1766">
        <v>195.44470000000001</v>
      </c>
      <c r="M1766">
        <v>0.31810290000000002</v>
      </c>
      <c r="N1766">
        <v>0</v>
      </c>
      <c r="O1766">
        <v>-0.94796749999999996</v>
      </c>
      <c r="P1766">
        <v>0.27351579999999998</v>
      </c>
      <c r="Q1766">
        <v>0.14696380000000001</v>
      </c>
      <c r="R1766">
        <v>-0.95057400000000003</v>
      </c>
      <c r="S1766">
        <v>-0.57908630000000005</v>
      </c>
      <c r="T1766">
        <v>-0.15639449999999999</v>
      </c>
      <c r="U1766">
        <v>-3.3634029999999999</v>
      </c>
      <c r="V1766">
        <v>4.751702E-2</v>
      </c>
      <c r="W1766">
        <v>0.1585241</v>
      </c>
      <c r="X1766">
        <v>0.98621110000000001</v>
      </c>
      <c r="Y1766">
        <v>0.47421679999999999</v>
      </c>
      <c r="Z1766">
        <v>3.9726440000000002E-2</v>
      </c>
      <c r="AA1766">
        <v>0.87951139999999906</v>
      </c>
      <c r="AB1766">
        <v>34</v>
      </c>
      <c r="AC1766">
        <v>-4.1696</v>
      </c>
      <c r="AD1766">
        <v>-1.0984769764910001</v>
      </c>
      <c r="AE1766">
        <v>-23.294799999999999</v>
      </c>
      <c r="AF1766">
        <v>11.3393124858802</v>
      </c>
      <c r="AG1766">
        <v>-1.0984769764910001</v>
      </c>
      <c r="AH1766">
        <v>20.7134675379586</v>
      </c>
      <c r="AI1766">
        <v>92.663351215656803</v>
      </c>
      <c r="AJ1766">
        <v>61.302085140320301</v>
      </c>
      <c r="AK1766">
        <v>23.6396784404185</v>
      </c>
      <c r="AL1766">
        <v>80.878760333177894</v>
      </c>
      <c r="AM1766">
        <v>87.241543013402506</v>
      </c>
      <c r="AN1766">
        <v>1.0000000456168401</v>
      </c>
    </row>
    <row r="1767" spans="1:40" x14ac:dyDescent="0.3">
      <c r="A1767" t="str">
        <f>"20200111150830243"</f>
        <v>20200111150830243</v>
      </c>
      <c r="B1767" t="str">
        <f>"1578726510234450"</f>
        <v>1578726510234450</v>
      </c>
      <c r="C1767" t="s">
        <v>40</v>
      </c>
      <c r="D1767">
        <v>5.1939650000000004</v>
      </c>
      <c r="E1767">
        <v>0.65799980000000002</v>
      </c>
      <c r="F1767" t="s">
        <v>43</v>
      </c>
      <c r="G1767">
        <v>-192.62020000000001</v>
      </c>
      <c r="H1767" s="1">
        <v>-4.7359209999999998E-6</v>
      </c>
      <c r="I1767">
        <v>168.4084</v>
      </c>
      <c r="J1767">
        <v>-189.02959999999999</v>
      </c>
      <c r="K1767">
        <v>1.0986049999999901</v>
      </c>
      <c r="L1767">
        <v>195.11</v>
      </c>
      <c r="M1767">
        <v>0.30619760000000001</v>
      </c>
      <c r="N1767">
        <v>0</v>
      </c>
      <c r="O1767">
        <v>-0.9518797</v>
      </c>
      <c r="P1767">
        <v>0.26056699999999999</v>
      </c>
      <c r="Q1767">
        <v>0.14799409999999999</v>
      </c>
      <c r="R1767">
        <v>-0.95404549999999999</v>
      </c>
      <c r="S1767">
        <v>-0.42591859999999998</v>
      </c>
      <c r="T1767">
        <v>-0.13404820000000001</v>
      </c>
      <c r="U1767">
        <v>-3.299255</v>
      </c>
      <c r="V1767">
        <v>4.8494530000000001E-2</v>
      </c>
      <c r="W1767">
        <v>0.15952359999999999</v>
      </c>
      <c r="X1767">
        <v>0.9860023</v>
      </c>
      <c r="Y1767">
        <v>0.42548829999999999</v>
      </c>
      <c r="Z1767">
        <v>3.5575160000000002E-2</v>
      </c>
      <c r="AA1767">
        <v>0.90426439999999997</v>
      </c>
      <c r="AB1767">
        <v>34</v>
      </c>
      <c r="AC1767">
        <v>-3.5906000000000202</v>
      </c>
      <c r="AD1767">
        <v>-1.0986097359210001</v>
      </c>
      <c r="AE1767">
        <v>-26.701599999999999</v>
      </c>
      <c r="AF1767">
        <v>11.5755121852782</v>
      </c>
      <c r="AG1767">
        <v>-1.0986097359210001</v>
      </c>
      <c r="AH1767">
        <v>24.278951565353498</v>
      </c>
      <c r="AI1767">
        <v>92.338931412558196</v>
      </c>
      <c r="AJ1767">
        <v>64.509524249971605</v>
      </c>
      <c r="AK1767">
        <v>26.919638088506399</v>
      </c>
      <c r="AL1767">
        <v>80.820754804681798</v>
      </c>
      <c r="AM1767">
        <v>87.184291807742696</v>
      </c>
      <c r="AN1767">
        <v>1.0000000170010801</v>
      </c>
    </row>
    <row r="1768" spans="1:40" x14ac:dyDescent="0.3">
      <c r="A1768" t="str">
        <f>"20200111150830264"</f>
        <v>20200111150830264</v>
      </c>
      <c r="B1768" t="str">
        <f>"1578726510254460"</f>
        <v>1578726510254460</v>
      </c>
      <c r="C1768" t="s">
        <v>40</v>
      </c>
      <c r="D1768">
        <v>5.2825319999999998</v>
      </c>
      <c r="E1768">
        <v>0.65389809999999904</v>
      </c>
      <c r="F1768" t="s">
        <v>43</v>
      </c>
      <c r="G1768">
        <v>-192.57570000000001</v>
      </c>
      <c r="H1768" s="1">
        <v>-4.87614E-6</v>
      </c>
      <c r="I1768">
        <v>168.79409999999999</v>
      </c>
      <c r="J1768">
        <v>-188.93799999999999</v>
      </c>
      <c r="K1768">
        <v>1.0987370000000001</v>
      </c>
      <c r="L1768">
        <v>194.7911</v>
      </c>
      <c r="M1768">
        <v>0.29499930000000002</v>
      </c>
      <c r="N1768">
        <v>0</v>
      </c>
      <c r="O1768">
        <v>-0.95540979999999998</v>
      </c>
      <c r="P1768">
        <v>0.24976229999999999</v>
      </c>
      <c r="Q1768">
        <v>0.14770329999999901</v>
      </c>
      <c r="R1768">
        <v>-0.95697600000000005</v>
      </c>
      <c r="S1768">
        <v>-0.44288640000000001</v>
      </c>
      <c r="T1768">
        <v>-0.13721220000000001</v>
      </c>
      <c r="U1768">
        <v>-3.2867579999999998</v>
      </c>
      <c r="V1768">
        <v>4.8017299999999999E-2</v>
      </c>
      <c r="W1768">
        <v>0.15924349999999901</v>
      </c>
      <c r="X1768">
        <v>0.98607089999999997</v>
      </c>
      <c r="Y1768">
        <v>0.4198731</v>
      </c>
      <c r="Z1768">
        <v>3.681384E-2</v>
      </c>
      <c r="AA1768">
        <v>0.90683590000000003</v>
      </c>
      <c r="AB1768">
        <v>34</v>
      </c>
      <c r="AC1768">
        <v>-3.6377000000000201</v>
      </c>
      <c r="AD1768">
        <v>-1.0987418761399901</v>
      </c>
      <c r="AE1768">
        <v>-25.997</v>
      </c>
      <c r="AF1768">
        <v>11.126032318249701</v>
      </c>
      <c r="AG1768">
        <v>-1.0987418761399901</v>
      </c>
      <c r="AH1768">
        <v>23.725095110479501</v>
      </c>
      <c r="AI1768">
        <v>92.400990023278496</v>
      </c>
      <c r="AJ1768">
        <v>64.875476081413495</v>
      </c>
      <c r="AK1768">
        <v>26.227389631040701</v>
      </c>
      <c r="AL1768">
        <v>80.837010880723099</v>
      </c>
      <c r="AM1768">
        <v>87.212150639755095</v>
      </c>
      <c r="AN1768">
        <v>0.999999986609174</v>
      </c>
    </row>
    <row r="1769" spans="1:40" x14ac:dyDescent="0.3">
      <c r="A1769" t="str">
        <f>"20200111150830282"</f>
        <v>20200111150830282</v>
      </c>
      <c r="B1769" t="str">
        <f>"1578726510274958"</f>
        <v>1578726510274958</v>
      </c>
      <c r="C1769" t="s">
        <v>40</v>
      </c>
      <c r="D1769">
        <v>5.2411370000000002</v>
      </c>
      <c r="E1769">
        <v>0.61337580000000003</v>
      </c>
      <c r="F1769" t="s">
        <v>43</v>
      </c>
      <c r="G1769">
        <v>-191.9828</v>
      </c>
      <c r="H1769" s="1">
        <v>-1.771403E-6</v>
      </c>
      <c r="I1769">
        <v>172.48849999999999</v>
      </c>
      <c r="J1769">
        <v>-188.86519999999999</v>
      </c>
      <c r="K1769">
        <v>1.0988579999999999</v>
      </c>
      <c r="L1769">
        <v>194.52789999999999</v>
      </c>
      <c r="M1769">
        <v>0.28588140000000001</v>
      </c>
      <c r="N1769">
        <v>0</v>
      </c>
      <c r="O1769">
        <v>-0.95817799999999997</v>
      </c>
      <c r="P1769">
        <v>0.2417127</v>
      </c>
      <c r="Q1769">
        <v>0.14696119999999999</v>
      </c>
      <c r="R1769">
        <v>-0.95915470000000003</v>
      </c>
      <c r="S1769">
        <v>-0.44731140000000003</v>
      </c>
      <c r="T1769">
        <v>-0.1614178</v>
      </c>
      <c r="U1769">
        <v>-3.2765200000000001</v>
      </c>
      <c r="V1769">
        <v>4.6869069999999999E-2</v>
      </c>
      <c r="W1769">
        <v>0.1585326</v>
      </c>
      <c r="X1769">
        <v>0.98624069999999997</v>
      </c>
      <c r="Y1769">
        <v>0.41274699999999998</v>
      </c>
      <c r="Z1769">
        <v>4.3708909999999997E-2</v>
      </c>
      <c r="AA1769">
        <v>0.90979639999999995</v>
      </c>
      <c r="AB1769">
        <v>34</v>
      </c>
      <c r="AC1769">
        <v>-3.1175999999999999</v>
      </c>
      <c r="AD1769">
        <v>-1.098859771403</v>
      </c>
      <c r="AE1769">
        <v>-22.039400000000001</v>
      </c>
      <c r="AF1769">
        <v>9.2660620099617503</v>
      </c>
      <c r="AG1769">
        <v>-1.098859771403</v>
      </c>
      <c r="AH1769">
        <v>20.178912043105601</v>
      </c>
      <c r="AI1769">
        <v>92.833126543784303</v>
      </c>
      <c r="AJ1769">
        <v>65.335634104838107</v>
      </c>
      <c r="AK1769">
        <v>22.231866525621601</v>
      </c>
      <c r="AL1769">
        <v>80.878266723247606</v>
      </c>
      <c r="AM1769">
        <v>87.279182415751393</v>
      </c>
      <c r="AN1769">
        <v>1.00000000666095</v>
      </c>
    </row>
    <row r="1770" spans="1:40" x14ac:dyDescent="0.3">
      <c r="A1770" t="str">
        <f>"20200111150830298"</f>
        <v>20200111150830298</v>
      </c>
      <c r="B1770" t="str">
        <f>"1578726510294476"</f>
        <v>1578726510294476</v>
      </c>
      <c r="C1770" t="s">
        <v>40</v>
      </c>
      <c r="D1770">
        <v>5.2995409999999996</v>
      </c>
      <c r="E1770">
        <v>0.60980780000000001</v>
      </c>
      <c r="F1770" t="s">
        <v>43</v>
      </c>
      <c r="G1770">
        <v>-189.87700000000001</v>
      </c>
      <c r="H1770" s="1">
        <v>-2.1359039999999999E-6</v>
      </c>
      <c r="I1770">
        <v>174.5607</v>
      </c>
      <c r="J1770">
        <v>-188.80420000000001</v>
      </c>
      <c r="K1770">
        <v>1.0989640000000001</v>
      </c>
      <c r="L1770">
        <v>194.30019999999999</v>
      </c>
      <c r="M1770">
        <v>0.27810859999999998</v>
      </c>
      <c r="N1770">
        <v>0</v>
      </c>
      <c r="O1770">
        <v>-0.96046290000000001</v>
      </c>
      <c r="P1770">
        <v>0.23696120000000001</v>
      </c>
      <c r="Q1770">
        <v>0.14497309999999999</v>
      </c>
      <c r="R1770">
        <v>-0.96064179999999999</v>
      </c>
      <c r="S1770">
        <v>-0.1619263</v>
      </c>
      <c r="T1770">
        <v>-0.17585979999999901</v>
      </c>
      <c r="U1770">
        <v>-3.1955110000000002</v>
      </c>
      <c r="V1770">
        <v>4.3741790000000003E-2</v>
      </c>
      <c r="W1770">
        <v>0.1566312</v>
      </c>
      <c r="X1770">
        <v>0.98668809999999996</v>
      </c>
      <c r="Y1770">
        <v>0.32630870000000001</v>
      </c>
      <c r="Z1770">
        <v>5.0155529999999997E-2</v>
      </c>
      <c r="AA1770">
        <v>0.94393170000000004</v>
      </c>
      <c r="AB1770">
        <v>34</v>
      </c>
      <c r="AC1770">
        <v>-1.0728</v>
      </c>
      <c r="AD1770">
        <v>-1.0989661359039999</v>
      </c>
      <c r="AE1770">
        <v>-19.7394999999999</v>
      </c>
      <c r="AF1770">
        <v>6.5005632060087102</v>
      </c>
      <c r="AG1770">
        <v>-1.0989661359039999</v>
      </c>
      <c r="AH1770">
        <v>18.604761113550701</v>
      </c>
      <c r="AI1770">
        <v>93.191691332454596</v>
      </c>
      <c r="AJ1770">
        <v>70.740421538456005</v>
      </c>
      <c r="AK1770">
        <v>19.738343006834899</v>
      </c>
      <c r="AL1770">
        <v>80.988587609298506</v>
      </c>
      <c r="AM1770">
        <v>87.461629417544899</v>
      </c>
      <c r="AN1770">
        <v>1.00000004184372</v>
      </c>
    </row>
    <row r="1771" spans="1:40" x14ac:dyDescent="0.3">
      <c r="A1771" t="str">
        <f>"20200111150830321"</f>
        <v>20200111150830321</v>
      </c>
      <c r="B1771" t="str">
        <f>"1578726510314972"</f>
        <v>1578726510314972</v>
      </c>
      <c r="C1771" t="s">
        <v>40</v>
      </c>
      <c r="D1771">
        <v>5.2603239999999998</v>
      </c>
      <c r="E1771">
        <v>0.61032489999999995</v>
      </c>
      <c r="F1771" t="s">
        <v>43</v>
      </c>
      <c r="G1771">
        <v>-189.74</v>
      </c>
      <c r="H1771" s="1">
        <v>-2.1903169999999999E-6</v>
      </c>
      <c r="I1771">
        <v>174.6309</v>
      </c>
      <c r="J1771">
        <v>-188.71539999999999</v>
      </c>
      <c r="K1771">
        <v>1.0991709999999999</v>
      </c>
      <c r="L1771">
        <v>193.95439999999999</v>
      </c>
      <c r="M1771">
        <v>0.26656679999999999</v>
      </c>
      <c r="N1771">
        <v>0</v>
      </c>
      <c r="O1771">
        <v>-0.96373019999999998</v>
      </c>
      <c r="P1771">
        <v>0.22763059999999999</v>
      </c>
      <c r="Q1771">
        <v>0.14419079999999901</v>
      </c>
      <c r="R1771">
        <v>-0.9630126</v>
      </c>
      <c r="S1771">
        <v>-0.1516266</v>
      </c>
      <c r="T1771">
        <v>-0.1780757</v>
      </c>
      <c r="U1771">
        <v>-3.187195</v>
      </c>
      <c r="V1771">
        <v>4.1404499999999997E-2</v>
      </c>
      <c r="W1771">
        <v>0.1559055</v>
      </c>
      <c r="X1771">
        <v>0.9869038</v>
      </c>
      <c r="Y1771">
        <v>0.31201259999999997</v>
      </c>
      <c r="Z1771">
        <v>5.133033E-2</v>
      </c>
      <c r="AA1771">
        <v>0.94869040000000004</v>
      </c>
      <c r="AB1771">
        <v>34</v>
      </c>
      <c r="AC1771">
        <v>-1.0246000000000199</v>
      </c>
      <c r="AD1771">
        <v>-1.0991731903169999</v>
      </c>
      <c r="AE1771">
        <v>-19.323499999999999</v>
      </c>
      <c r="AF1771">
        <v>6.1192077572815498</v>
      </c>
      <c r="AG1771">
        <v>-1.0991731903169999</v>
      </c>
      <c r="AH1771">
        <v>18.292021079539001</v>
      </c>
      <c r="AI1771">
        <v>93.2615413591178</v>
      </c>
      <c r="AJ1771">
        <v>71.503427919483897</v>
      </c>
      <c r="AK1771">
        <v>19.319702908000099</v>
      </c>
      <c r="AL1771">
        <v>81.030683806151202</v>
      </c>
      <c r="AM1771">
        <v>87.597625305816194</v>
      </c>
      <c r="AN1771">
        <v>0.99999998400246903</v>
      </c>
    </row>
    <row r="1772" spans="1:40" x14ac:dyDescent="0.3">
      <c r="A1772" t="str">
        <f>"20200111150830334"</f>
        <v>20200111150830334</v>
      </c>
      <c r="B1772" t="str">
        <f>"1578726510324733"</f>
        <v>1578726510324733</v>
      </c>
      <c r="C1772" t="s">
        <v>40</v>
      </c>
      <c r="D1772">
        <v>4.9275549999999999</v>
      </c>
      <c r="E1772">
        <v>0.61032489999999995</v>
      </c>
      <c r="F1772" t="s">
        <v>43</v>
      </c>
      <c r="G1772">
        <v>-189.86019999999999</v>
      </c>
      <c r="H1772" s="1">
        <v>-2.0518450000000002E-6</v>
      </c>
      <c r="I1772">
        <v>174.3579</v>
      </c>
      <c r="J1772">
        <v>-188.66540000000001</v>
      </c>
      <c r="K1772">
        <v>1.099326</v>
      </c>
      <c r="L1772">
        <v>193.75200000000001</v>
      </c>
      <c r="M1772">
        <v>0.26000040000000002</v>
      </c>
      <c r="N1772">
        <v>0</v>
      </c>
      <c r="O1772">
        <v>-0.96552269999999896</v>
      </c>
      <c r="P1772">
        <v>0.22198660000000001</v>
      </c>
      <c r="Q1772">
        <v>0.1439011</v>
      </c>
      <c r="R1772">
        <v>-0.96437269999999997</v>
      </c>
      <c r="S1772">
        <v>-0.18612670000000001</v>
      </c>
      <c r="T1772">
        <v>-0.17870039999999901</v>
      </c>
      <c r="U1772">
        <v>-3.1859440000000001</v>
      </c>
      <c r="V1772">
        <v>4.0410460000000002E-2</v>
      </c>
      <c r="W1772">
        <v>0.15563560000000001</v>
      </c>
      <c r="X1772">
        <v>0.98698770000000002</v>
      </c>
      <c r="Y1772">
        <v>0.31580390000000003</v>
      </c>
      <c r="Z1772">
        <v>5.1629609999999999E-2</v>
      </c>
      <c r="AA1772">
        <v>0.94741869999999995</v>
      </c>
      <c r="AB1772">
        <v>34</v>
      </c>
      <c r="AC1772">
        <v>-1.1947999999999801</v>
      </c>
      <c r="AD1772">
        <v>-1.0993280518449999</v>
      </c>
      <c r="AE1772">
        <v>-19.394100000000002</v>
      </c>
      <c r="AF1772">
        <v>6.1768224095377002</v>
      </c>
      <c r="AG1772">
        <v>-1.0993280518449999</v>
      </c>
      <c r="AH1772">
        <v>18.357560789309499</v>
      </c>
      <c r="AI1772">
        <v>93.248478025137899</v>
      </c>
      <c r="AJ1772">
        <v>71.403306474941104</v>
      </c>
      <c r="AK1772">
        <v>19.400043695253199</v>
      </c>
      <c r="AL1772">
        <v>81.046339926723803</v>
      </c>
      <c r="AM1772">
        <v>87.655435493921601</v>
      </c>
      <c r="AN1772">
        <v>1.00000008260802</v>
      </c>
    </row>
    <row r="1773" spans="1:40" x14ac:dyDescent="0.3">
      <c r="A1773" t="str">
        <f>"20200111150830348"</f>
        <v>20200111150830348</v>
      </c>
      <c r="B1773" t="str">
        <f>"1578726510345229"</f>
        <v>1578726510345229</v>
      </c>
      <c r="C1773" t="s">
        <v>40</v>
      </c>
      <c r="D1773">
        <v>5.5789669999999996</v>
      </c>
      <c r="E1773">
        <v>0.61077049999999999</v>
      </c>
      <c r="F1773" t="s">
        <v>43</v>
      </c>
      <c r="G1773">
        <v>-189.90780000000001</v>
      </c>
      <c r="H1773" s="1">
        <v>-2.0472379999999998E-6</v>
      </c>
      <c r="I1773">
        <v>174.36680000000001</v>
      </c>
      <c r="J1773">
        <v>-188.62029999999999</v>
      </c>
      <c r="K1773">
        <v>1.09948</v>
      </c>
      <c r="L1773">
        <v>193.56440000000001</v>
      </c>
      <c r="M1773">
        <v>0.25401390000000001</v>
      </c>
      <c r="N1773">
        <v>0</v>
      </c>
      <c r="O1773">
        <v>-0.96711530000000001</v>
      </c>
      <c r="P1773">
        <v>0.2167695</v>
      </c>
      <c r="Q1773">
        <v>0.14391979999999999</v>
      </c>
      <c r="R1773">
        <v>-0.96555610000000003</v>
      </c>
      <c r="S1773">
        <v>-0.20410159999999999</v>
      </c>
      <c r="T1773">
        <v>-0.18060670000000001</v>
      </c>
      <c r="U1773">
        <v>-3.1847690000000002</v>
      </c>
      <c r="V1773">
        <v>3.9573780000000003E-2</v>
      </c>
      <c r="W1773">
        <v>0.15566759999999999</v>
      </c>
      <c r="X1773">
        <v>0.98701649999999996</v>
      </c>
      <c r="Y1773">
        <v>0.31527129999999998</v>
      </c>
      <c r="Z1773">
        <v>5.2328689999999997E-2</v>
      </c>
      <c r="AA1773">
        <v>0.94755780000000001</v>
      </c>
      <c r="AB1773">
        <v>34</v>
      </c>
      <c r="AC1773">
        <v>-1.2875000000000201</v>
      </c>
      <c r="AD1773">
        <v>-1.099482047238</v>
      </c>
      <c r="AE1773">
        <v>-19.197599999999898</v>
      </c>
      <c r="AF1773">
        <v>6.1021971146662404</v>
      </c>
      <c r="AG1773">
        <v>-1.099482047238</v>
      </c>
      <c r="AH1773">
        <v>18.181385031151901</v>
      </c>
      <c r="AI1773">
        <v>93.281179864509994</v>
      </c>
      <c r="AJ1773">
        <v>71.446762395624802</v>
      </c>
      <c r="AK1773">
        <v>19.209592188524802</v>
      </c>
      <c r="AL1773">
        <v>81.044483351544201</v>
      </c>
      <c r="AM1773">
        <v>87.703993046644996</v>
      </c>
      <c r="AN1773">
        <v>1.0000000285127399</v>
      </c>
    </row>
    <row r="1774" spans="1:40" x14ac:dyDescent="0.3">
      <c r="A1774" t="str">
        <f>"20200111150831941"</f>
        <v>20200111150831941</v>
      </c>
      <c r="B1774" t="str">
        <f>"1578726511935172"</f>
        <v>1578726511935172</v>
      </c>
      <c r="C1774" t="s">
        <v>40</v>
      </c>
      <c r="D1774">
        <v>5.2568419999999998</v>
      </c>
      <c r="E1774">
        <v>0.69869349999999997</v>
      </c>
      <c r="F1774" t="s">
        <v>43</v>
      </c>
      <c r="G1774">
        <v>-190.0172</v>
      </c>
      <c r="H1774" s="1">
        <v>-1.7668190000000001E-6</v>
      </c>
      <c r="I1774">
        <v>173.697</v>
      </c>
      <c r="J1774">
        <v>-185.71870000000001</v>
      </c>
      <c r="K1774">
        <v>1.106055</v>
      </c>
      <c r="L1774">
        <v>169.5301</v>
      </c>
      <c r="M1774">
        <v>1.9876649999999999E-2</v>
      </c>
      <c r="N1774">
        <v>0</v>
      </c>
      <c r="O1774">
        <v>-0.99973120000000004</v>
      </c>
      <c r="P1774">
        <v>-9.6339439999999998E-2</v>
      </c>
      <c r="Q1774">
        <v>0.1445022</v>
      </c>
      <c r="R1774">
        <v>-0.98480389999999995</v>
      </c>
      <c r="S1774">
        <v>-0.22383120000000001</v>
      </c>
      <c r="T1774">
        <v>-0.17617910000000001</v>
      </c>
      <c r="U1774">
        <v>-3.1835170000000002</v>
      </c>
      <c r="V1774">
        <v>0.1174451</v>
      </c>
      <c r="W1774">
        <v>0.15507360000000001</v>
      </c>
      <c r="X1774">
        <v>0.98089689999999996</v>
      </c>
      <c r="Y1774">
        <v>8.9845019999999998E-2</v>
      </c>
      <c r="Z1774">
        <v>5.5060560000000001E-2</v>
      </c>
      <c r="AA1774">
        <v>0.9944326</v>
      </c>
      <c r="AB1774">
        <v>34</v>
      </c>
      <c r="AC1774">
        <v>-4.29849999999999</v>
      </c>
      <c r="AD1774">
        <v>-1.106056766819</v>
      </c>
      <c r="AE1774">
        <v>4.1668999999999903</v>
      </c>
      <c r="AF1774">
        <v>4.0757014849969302</v>
      </c>
      <c r="AG1774">
        <v>-1.106056766819</v>
      </c>
      <c r="AH1774">
        <v>-4.1111918444847104</v>
      </c>
      <c r="AI1774">
        <v>100.816559227376</v>
      </c>
      <c r="AJ1774">
        <v>-45.248376886391803</v>
      </c>
      <c r="AK1774">
        <v>5.8937765947132599</v>
      </c>
      <c r="AL1774">
        <v>81.078934721335102</v>
      </c>
      <c r="AM1774">
        <v>83.172344067281699</v>
      </c>
      <c r="AN1774">
        <v>0.99999995068028802</v>
      </c>
    </row>
    <row r="1775" spans="1:40" x14ac:dyDescent="0.3">
      <c r="A1775" t="str">
        <f>"20200111150831953"</f>
        <v>20200111150831953</v>
      </c>
      <c r="B1775" t="str">
        <f>"1578726511944935"</f>
        <v>1578726511944935</v>
      </c>
      <c r="C1775" t="s">
        <v>40</v>
      </c>
      <c r="D1775">
        <v>5.7189829999999997</v>
      </c>
      <c r="E1775">
        <v>0.74245289999999997</v>
      </c>
      <c r="F1775" t="s">
        <v>77</v>
      </c>
      <c r="G1775">
        <v>-219.18389999999999</v>
      </c>
      <c r="H1775">
        <v>0.86390489999999998</v>
      </c>
      <c r="I1775">
        <v>118.9023</v>
      </c>
      <c r="J1775">
        <v>-185.71729999999999</v>
      </c>
      <c r="K1775">
        <v>1.1059049999999999</v>
      </c>
      <c r="L1775">
        <v>169.32570000000001</v>
      </c>
      <c r="M1775">
        <v>1.6905819999999998E-2</v>
      </c>
      <c r="N1775">
        <v>0</v>
      </c>
      <c r="O1775">
        <v>-0.99978549999999999</v>
      </c>
      <c r="P1775">
        <v>-0.1004439</v>
      </c>
      <c r="Q1775">
        <v>0.14610129999999999</v>
      </c>
      <c r="R1775">
        <v>-0.98415719999999995</v>
      </c>
      <c r="S1775">
        <v>-1.892563</v>
      </c>
      <c r="T1775">
        <v>-1.369274E-2</v>
      </c>
      <c r="U1775">
        <v>-2.863159</v>
      </c>
      <c r="V1775">
        <v>0.1186941</v>
      </c>
      <c r="W1775">
        <v>0.15662179999999901</v>
      </c>
      <c r="X1775">
        <v>0.9805005</v>
      </c>
      <c r="Y1775">
        <v>0.56544729999999999</v>
      </c>
      <c r="Z1775">
        <v>3.9680779999999999E-3</v>
      </c>
      <c r="AA1775">
        <v>0.82477489999999998</v>
      </c>
      <c r="AB1775">
        <v>34</v>
      </c>
      <c r="AC1775">
        <v>-33.4666</v>
      </c>
      <c r="AD1775">
        <v>-0.242000099999999</v>
      </c>
      <c r="AE1775">
        <v>-50.423400000000001</v>
      </c>
      <c r="AF1775">
        <v>34.313777748210804</v>
      </c>
      <c r="AG1775">
        <v>-0.242000099999999</v>
      </c>
      <c r="AH1775">
        <v>49.849574867583897</v>
      </c>
      <c r="AI1775">
        <v>90.229114227523596</v>
      </c>
      <c r="AJ1775">
        <v>55.4585578006795</v>
      </c>
      <c r="AK1775">
        <v>60.518377554928399</v>
      </c>
      <c r="AL1775">
        <v>80.989132122238999</v>
      </c>
      <c r="AM1775">
        <v>83.097667425518097</v>
      </c>
      <c r="AN1775">
        <v>0.99999995405514897</v>
      </c>
    </row>
    <row r="1776" spans="1:40" x14ac:dyDescent="0.3">
      <c r="A1776" t="str">
        <f>"20200111150831965"</f>
        <v>20200111150831965</v>
      </c>
      <c r="B1776" t="str">
        <f>"1578726511955199"</f>
        <v>1578726511955199</v>
      </c>
      <c r="C1776" t="s">
        <v>40</v>
      </c>
      <c r="D1776">
        <v>5.1929999999999996</v>
      </c>
      <c r="E1776">
        <v>0.72259069999999903</v>
      </c>
      <c r="F1776" t="s">
        <v>43</v>
      </c>
      <c r="G1776">
        <v>-216.5461</v>
      </c>
      <c r="H1776" s="1">
        <v>-3.6927779999999998E-6</v>
      </c>
      <c r="I1776">
        <v>130.66309999999999</v>
      </c>
      <c r="J1776">
        <v>-185.7167</v>
      </c>
      <c r="K1776">
        <v>1.1057520000000001</v>
      </c>
      <c r="L1776">
        <v>169.13570000000001</v>
      </c>
      <c r="M1776">
        <v>1.404185E-2</v>
      </c>
      <c r="N1776">
        <v>0</v>
      </c>
      <c r="O1776">
        <v>-0.99982969999999904</v>
      </c>
      <c r="P1776">
        <v>-0.1047266</v>
      </c>
      <c r="Q1776">
        <v>0.14717359999999999</v>
      </c>
      <c r="R1776">
        <v>-0.98355099999999995</v>
      </c>
      <c r="S1776">
        <v>-2.2565770000000001</v>
      </c>
      <c r="T1776">
        <v>-8.0949309999999997E-2</v>
      </c>
      <c r="U1776">
        <v>-2.829987</v>
      </c>
      <c r="V1776">
        <v>0.1202246</v>
      </c>
      <c r="W1776">
        <v>0.15764129999999901</v>
      </c>
      <c r="X1776">
        <v>0.98015059999999998</v>
      </c>
      <c r="Y1776">
        <v>0.63420900000000002</v>
      </c>
      <c r="Z1776">
        <v>2.2244509999999999E-2</v>
      </c>
      <c r="AA1776">
        <v>0.77284149999999996</v>
      </c>
      <c r="AB1776">
        <v>34</v>
      </c>
      <c r="AC1776">
        <v>-30.8294</v>
      </c>
      <c r="AD1776">
        <v>-1.1057556927779999</v>
      </c>
      <c r="AE1776">
        <v>-38.4726</v>
      </c>
      <c r="AF1776">
        <v>31.350854393457201</v>
      </c>
      <c r="AG1776">
        <v>-1.1057556927779999</v>
      </c>
      <c r="AH1776">
        <v>38.016749421657003</v>
      </c>
      <c r="AI1776">
        <v>91.285497515980495</v>
      </c>
      <c r="AJ1776">
        <v>50.488996179724403</v>
      </c>
      <c r="AK1776">
        <v>49.288659988286597</v>
      </c>
      <c r="AL1776">
        <v>80.929984428530204</v>
      </c>
      <c r="AM1776">
        <v>83.007069657550701</v>
      </c>
      <c r="AN1776">
        <v>0.99999996629560395</v>
      </c>
    </row>
    <row r="1777" spans="1:40" x14ac:dyDescent="0.3">
      <c r="A1777" t="str">
        <f>"20200111150831980"</f>
        <v>20200111150831980</v>
      </c>
      <c r="B1777" t="str">
        <f>"1578726511974720"</f>
        <v>1578726511974720</v>
      </c>
      <c r="C1777" t="s">
        <v>40</v>
      </c>
      <c r="D1777">
        <v>6.6894090000000004</v>
      </c>
      <c r="E1777">
        <v>0.71857979999999999</v>
      </c>
      <c r="F1777" t="s">
        <v>43</v>
      </c>
      <c r="G1777">
        <v>-215.1465</v>
      </c>
      <c r="H1777">
        <v>6.9534380000000007E-2</v>
      </c>
      <c r="I1777">
        <v>129.5968</v>
      </c>
      <c r="J1777">
        <v>-185.7165</v>
      </c>
      <c r="K1777">
        <v>1.105577</v>
      </c>
      <c r="L1777">
        <v>168.9239</v>
      </c>
      <c r="M1777">
        <v>1.074574E-2</v>
      </c>
      <c r="N1777">
        <v>0</v>
      </c>
      <c r="O1777">
        <v>-0.99987040000000005</v>
      </c>
      <c r="P1777">
        <v>-0.1084889</v>
      </c>
      <c r="Q1777">
        <v>0.1474992</v>
      </c>
      <c r="R1777">
        <v>-0.98309420000000003</v>
      </c>
      <c r="S1777">
        <v>-2.1112519999999999</v>
      </c>
      <c r="T1777">
        <v>-7.4336650000000004E-2</v>
      </c>
      <c r="U1777">
        <v>-2.8364560000000001</v>
      </c>
      <c r="V1777">
        <v>0.12081799999999999</v>
      </c>
      <c r="W1777">
        <v>0.15792010000000001</v>
      </c>
      <c r="X1777">
        <v>0.98003280000000004</v>
      </c>
      <c r="Y1777">
        <v>0.60553869999999999</v>
      </c>
      <c r="Z1777">
        <v>2.094114E-2</v>
      </c>
      <c r="AA1777">
        <v>0.79554029999999998</v>
      </c>
      <c r="AB1777">
        <v>34</v>
      </c>
      <c r="AC1777">
        <v>-29.43</v>
      </c>
      <c r="AD1777">
        <v>-1.0360426199999999</v>
      </c>
      <c r="AE1777">
        <v>-39.327100000000002</v>
      </c>
      <c r="AF1777">
        <v>29.837655512153599</v>
      </c>
      <c r="AG1777">
        <v>-1.0360426199999999</v>
      </c>
      <c r="AH1777">
        <v>38.991212741618398</v>
      </c>
      <c r="AI1777">
        <v>91.208852178813103</v>
      </c>
      <c r="AJ1777">
        <v>52.575319497731201</v>
      </c>
      <c r="AK1777">
        <v>49.108794954005504</v>
      </c>
      <c r="AL1777">
        <v>80.913808212853894</v>
      </c>
      <c r="AM1777">
        <v>82.972062255043795</v>
      </c>
      <c r="AN1777">
        <v>1.00000001809192</v>
      </c>
    </row>
    <row r="1778" spans="1:40" x14ac:dyDescent="0.3">
      <c r="A1778" t="str">
        <f>"20200111150831995"</f>
        <v>20200111150831995</v>
      </c>
      <c r="B1778" t="str">
        <f>"1578726511984480"</f>
        <v>1578726511984480</v>
      </c>
      <c r="C1778" t="s">
        <v>40</v>
      </c>
      <c r="D1778">
        <v>5.469106</v>
      </c>
      <c r="E1778">
        <v>0.62748870000000001</v>
      </c>
      <c r="F1778" t="s">
        <v>43</v>
      </c>
      <c r="G1778">
        <v>-211.6721</v>
      </c>
      <c r="H1778" s="1">
        <v>-4.9569470000000002E-6</v>
      </c>
      <c r="I1778">
        <v>133.7542</v>
      </c>
      <c r="J1778">
        <v>-185.7176</v>
      </c>
      <c r="K1778">
        <v>1.105337</v>
      </c>
      <c r="L1778">
        <v>168.67830000000001</v>
      </c>
      <c r="M1778">
        <v>6.6190490000000001E-3</v>
      </c>
      <c r="N1778">
        <v>0</v>
      </c>
      <c r="O1778">
        <v>-0.99990590000000001</v>
      </c>
      <c r="P1778">
        <v>-0.11338579999999999</v>
      </c>
      <c r="Q1778">
        <v>0.1484347</v>
      </c>
      <c r="R1778">
        <v>-0.98240050000000001</v>
      </c>
      <c r="S1778">
        <v>-2.0916139999999999</v>
      </c>
      <c r="T1778">
        <v>-8.9092249999999998E-2</v>
      </c>
      <c r="U1778">
        <v>-2.8341219999999998</v>
      </c>
      <c r="V1778">
        <v>0.1217637</v>
      </c>
      <c r="W1778">
        <v>0.15878919999999999</v>
      </c>
      <c r="X1778">
        <v>0.97977519999999996</v>
      </c>
      <c r="Y1778">
        <v>0.59893249999999998</v>
      </c>
      <c r="Z1778">
        <v>2.522895E-2</v>
      </c>
      <c r="AA1778">
        <v>0.80040199999999995</v>
      </c>
      <c r="AB1778">
        <v>34</v>
      </c>
      <c r="AC1778">
        <v>-25.954499999999999</v>
      </c>
      <c r="AD1778">
        <v>-1.105341956947</v>
      </c>
      <c r="AE1778">
        <v>-34.924100000000003</v>
      </c>
      <c r="AF1778">
        <v>26.1682257997745</v>
      </c>
      <c r="AG1778">
        <v>-1.105341956947</v>
      </c>
      <c r="AH1778">
        <v>34.729117338495399</v>
      </c>
      <c r="AI1778">
        <v>91.456105743103393</v>
      </c>
      <c r="AJ1778">
        <v>53.002147977477101</v>
      </c>
      <c r="AK1778">
        <v>43.498384032751801</v>
      </c>
      <c r="AL1778">
        <v>80.863375260667794</v>
      </c>
      <c r="AM1778">
        <v>82.915764596913604</v>
      </c>
      <c r="AN1778">
        <v>0.99999992560468198</v>
      </c>
    </row>
    <row r="1779" spans="1:40" x14ac:dyDescent="0.3">
      <c r="A1779" t="str">
        <f>"20200111150832041"</f>
        <v>20200111150832041</v>
      </c>
      <c r="B1779" t="str">
        <f>"1578726512035231"</f>
        <v>1578726512035231</v>
      </c>
      <c r="C1779" t="s">
        <v>40</v>
      </c>
      <c r="D1779">
        <v>5.8048159999999998</v>
      </c>
      <c r="E1779">
        <v>0.62748870000000001</v>
      </c>
      <c r="F1779" t="s">
        <v>78</v>
      </c>
      <c r="G1779">
        <v>-210.72399999999999</v>
      </c>
      <c r="H1779">
        <v>5.6878039999999999</v>
      </c>
      <c r="I1779">
        <v>116.2376</v>
      </c>
      <c r="J1779">
        <v>-185.72730000000001</v>
      </c>
      <c r="K1779">
        <v>1.1045670000000001</v>
      </c>
      <c r="L1779">
        <v>167.9854</v>
      </c>
      <c r="M1779">
        <v>-6.3529830000000004E-3</v>
      </c>
      <c r="N1779">
        <v>0</v>
      </c>
      <c r="O1779">
        <v>-0.99990670000000004</v>
      </c>
      <c r="P1779">
        <v>-0.12521199999999999</v>
      </c>
      <c r="Q1779">
        <v>0.15266859999999999</v>
      </c>
      <c r="R1779">
        <v>-0.98031310000000005</v>
      </c>
      <c r="S1779">
        <v>-1.3631740000000001</v>
      </c>
      <c r="T1779">
        <v>0.24980469999999999</v>
      </c>
      <c r="U1779">
        <v>-2.8586879999999999</v>
      </c>
      <c r="V1779">
        <v>0.12122769999999999</v>
      </c>
      <c r="W1779">
        <v>0.16286349999999999</v>
      </c>
      <c r="X1779">
        <v>0.97917279999999995</v>
      </c>
      <c r="Y1779">
        <v>0.4233421</v>
      </c>
      <c r="Z1779">
        <v>-7.8740980000000002E-2</v>
      </c>
      <c r="AA1779">
        <v>0.90254160000000005</v>
      </c>
      <c r="AB1779">
        <v>34</v>
      </c>
      <c r="AC1779">
        <v>-24.996700000000001</v>
      </c>
      <c r="AD1779">
        <v>4.5832369999999996</v>
      </c>
      <c r="AE1779">
        <v>-51.747799999999998</v>
      </c>
      <c r="AF1779">
        <v>24.511517274077299</v>
      </c>
      <c r="AG1779">
        <v>4.5832369999999996</v>
      </c>
      <c r="AH1779">
        <v>51.577520858061199</v>
      </c>
      <c r="AI1779">
        <v>85.411339065832095</v>
      </c>
      <c r="AJ1779">
        <v>64.581229867314704</v>
      </c>
      <c r="AK1779">
        <v>57.289276468980702</v>
      </c>
      <c r="AL1779">
        <v>80.626856958379506</v>
      </c>
      <c r="AM1779">
        <v>82.942338812424197</v>
      </c>
      <c r="AN1779">
        <v>1.00000002356968</v>
      </c>
    </row>
    <row r="1780" spans="1:40" x14ac:dyDescent="0.3">
      <c r="A1780" t="str">
        <f>"20200111150832134"</f>
        <v>20200111150832134</v>
      </c>
      <c r="B1780" t="str">
        <f>"1578726512124555"</f>
        <v>1578726512124555</v>
      </c>
      <c r="C1780" t="s">
        <v>40</v>
      </c>
      <c r="D1780">
        <v>5.6089830000000003</v>
      </c>
      <c r="E1780">
        <v>0.50910040000000001</v>
      </c>
      <c r="F1780" t="s">
        <v>78</v>
      </c>
      <c r="G1780">
        <v>-211.27379999999999</v>
      </c>
      <c r="H1780">
        <v>5.8690030000000002</v>
      </c>
      <c r="I1780">
        <v>116.04430000000001</v>
      </c>
      <c r="J1780">
        <v>-185.78550000000001</v>
      </c>
      <c r="K1780">
        <v>1.102859</v>
      </c>
      <c r="L1780">
        <v>166.53980000000001</v>
      </c>
      <c r="M1780">
        <v>-3.9988469999999998E-2</v>
      </c>
      <c r="N1780">
        <v>0</v>
      </c>
      <c r="O1780">
        <v>-0.99912460000000003</v>
      </c>
      <c r="P1780">
        <v>-0.16246739999999901</v>
      </c>
      <c r="Q1780">
        <v>0.159637</v>
      </c>
      <c r="R1780">
        <v>-0.97371479999999999</v>
      </c>
      <c r="S1780">
        <v>-1.3974</v>
      </c>
      <c r="T1780">
        <v>0.26061689999999998</v>
      </c>
      <c r="U1780">
        <v>-2.8411870000000001</v>
      </c>
      <c r="V1780">
        <v>0.1264508</v>
      </c>
      <c r="W1780">
        <v>0.16941439999999999</v>
      </c>
      <c r="X1780">
        <v>0.97739909999999997</v>
      </c>
      <c r="Y1780">
        <v>0.40359879999999998</v>
      </c>
      <c r="Z1780">
        <v>-8.2661189999999996E-2</v>
      </c>
      <c r="AA1780">
        <v>0.91119439999999996</v>
      </c>
      <c r="AB1780">
        <v>34</v>
      </c>
      <c r="AC1780">
        <v>-25.488299999999899</v>
      </c>
      <c r="AD1780">
        <v>4.7661439999999997</v>
      </c>
      <c r="AE1780">
        <v>-50.4955</v>
      </c>
      <c r="AF1780">
        <v>23.283208589187399</v>
      </c>
      <c r="AG1780">
        <v>4.7661439999999997</v>
      </c>
      <c r="AH1780">
        <v>51.111527192018599</v>
      </c>
      <c r="AI1780">
        <v>85.149510596972107</v>
      </c>
      <c r="AJ1780">
        <v>65.508963793995093</v>
      </c>
      <c r="AK1780">
        <v>56.366764522516299</v>
      </c>
      <c r="AL1780">
        <v>80.246227428231904</v>
      </c>
      <c r="AM1780">
        <v>82.628317438947093</v>
      </c>
      <c r="AN1780">
        <v>1.0000000222144001</v>
      </c>
    </row>
    <row r="1781" spans="1:40" x14ac:dyDescent="0.3">
      <c r="A1781" t="str">
        <f>"20200111150832147"</f>
        <v>20200111150832147</v>
      </c>
      <c r="B1781" t="str">
        <f>"1578726512145051"</f>
        <v>1578726512145051</v>
      </c>
      <c r="C1781" t="s">
        <v>40</v>
      </c>
      <c r="D1781">
        <v>7.3629670000000003</v>
      </c>
      <c r="E1781">
        <v>0.50111790000000001</v>
      </c>
      <c r="F1781" t="s">
        <v>79</v>
      </c>
      <c r="G1781">
        <v>-220.5111</v>
      </c>
      <c r="H1781">
        <v>65.631159999999994</v>
      </c>
      <c r="I1781">
        <v>-20.653310000000001</v>
      </c>
      <c r="J1781">
        <v>-185.797</v>
      </c>
      <c r="K1781">
        <v>1.1026579999999999</v>
      </c>
      <c r="L1781">
        <v>166.35599999999999</v>
      </c>
      <c r="M1781">
        <v>-4.4835510000000002E-2</v>
      </c>
      <c r="N1781">
        <v>0</v>
      </c>
      <c r="O1781">
        <v>-0.99891870000000005</v>
      </c>
      <c r="P1781">
        <v>-0.1672517</v>
      </c>
      <c r="Q1781">
        <v>0.1592826</v>
      </c>
      <c r="R1781">
        <v>-0.97296260000000001</v>
      </c>
      <c r="S1781">
        <v>-0.52557369999999903</v>
      </c>
      <c r="T1781">
        <v>0.97663880000000003</v>
      </c>
      <c r="U1781">
        <v>-2.8331759999999999</v>
      </c>
      <c r="V1781">
        <v>0.12658620000000001</v>
      </c>
      <c r="W1781">
        <v>0.169024799999999</v>
      </c>
      <c r="X1781">
        <v>0.97744900000000001</v>
      </c>
      <c r="Y1781">
        <v>0.12843389999999999</v>
      </c>
      <c r="Z1781">
        <v>-0.32164530000000002</v>
      </c>
      <c r="AA1781">
        <v>0.93810930000000003</v>
      </c>
      <c r="AB1781">
        <v>34</v>
      </c>
      <c r="AC1781">
        <v>-34.714100000000002</v>
      </c>
      <c r="AD1781">
        <v>64.528501999999904</v>
      </c>
      <c r="AE1781">
        <v>-187.00931</v>
      </c>
      <c r="AF1781">
        <v>23.579916227131999</v>
      </c>
      <c r="AG1781">
        <v>64.528501999999904</v>
      </c>
      <c r="AH1781">
        <v>168.93397058704201</v>
      </c>
      <c r="AI1781">
        <v>69.278006804374201</v>
      </c>
      <c r="AJ1781">
        <v>82.053955136983404</v>
      </c>
      <c r="AK1781">
        <v>182.36947781343801</v>
      </c>
      <c r="AL1781">
        <v>80.268876265321495</v>
      </c>
      <c r="AM1781">
        <v>82.620883584490002</v>
      </c>
      <c r="AN1781">
        <v>0.99999999832323905</v>
      </c>
    </row>
    <row r="1782" spans="1:40" x14ac:dyDescent="0.3">
      <c r="A1782" t="str">
        <f>"20200111150832164"</f>
        <v>20200111150832164</v>
      </c>
      <c r="B1782" t="str">
        <f>"1578726512155317"</f>
        <v>1578726512155317</v>
      </c>
      <c r="C1782" t="s">
        <v>40</v>
      </c>
      <c r="D1782">
        <v>7.0113000000000003</v>
      </c>
      <c r="E1782">
        <v>0.50243870000000002</v>
      </c>
      <c r="F1782" t="s">
        <v>79</v>
      </c>
      <c r="G1782">
        <v>-217.06039999999999</v>
      </c>
      <c r="H1782">
        <v>69.482380000000006</v>
      </c>
      <c r="I1782">
        <v>-20.968029999999999</v>
      </c>
      <c r="J1782">
        <v>-185.81569999999999</v>
      </c>
      <c r="K1782">
        <v>1.102363</v>
      </c>
      <c r="L1782">
        <v>166.08330000000001</v>
      </c>
      <c r="M1782">
        <v>-5.2205910000000001E-2</v>
      </c>
      <c r="N1782">
        <v>0</v>
      </c>
      <c r="O1782">
        <v>-0.99856009999999995</v>
      </c>
      <c r="P1782">
        <v>-0.1741471</v>
      </c>
      <c r="Q1782">
        <v>0.15938079999999999</v>
      </c>
      <c r="R1782">
        <v>-0.97173580000000004</v>
      </c>
      <c r="S1782">
        <v>-0.47277829999999899</v>
      </c>
      <c r="T1782">
        <v>1.0340670000000001</v>
      </c>
      <c r="U1782">
        <v>-2.8327939999999998</v>
      </c>
      <c r="V1782">
        <v>0.1264238</v>
      </c>
      <c r="W1782">
        <v>0.1690779</v>
      </c>
      <c r="X1782">
        <v>0.97746080000000002</v>
      </c>
      <c r="Y1782">
        <v>0.10312780000000001</v>
      </c>
      <c r="Z1782">
        <v>-0.33927370000000001</v>
      </c>
      <c r="AA1782">
        <v>0.9350176</v>
      </c>
      <c r="AB1782">
        <v>34</v>
      </c>
      <c r="AC1782">
        <v>-31.244699999999899</v>
      </c>
      <c r="AD1782">
        <v>68.380016999999995</v>
      </c>
      <c r="AE1782">
        <v>-187.05133000000001</v>
      </c>
      <c r="AF1782">
        <v>18.9698409346211</v>
      </c>
      <c r="AG1782">
        <v>68.380016999999995</v>
      </c>
      <c r="AH1782">
        <v>166.74815025859101</v>
      </c>
      <c r="AI1782">
        <v>67.831490104627704</v>
      </c>
      <c r="AJ1782">
        <v>83.509739056131707</v>
      </c>
      <c r="AK1782">
        <v>181.21983115726201</v>
      </c>
      <c r="AL1782">
        <v>80.265789098987597</v>
      </c>
      <c r="AM1782">
        <v>82.630334254486399</v>
      </c>
      <c r="AN1782">
        <v>0.99999996450574402</v>
      </c>
    </row>
    <row r="1783" spans="1:40" x14ac:dyDescent="0.3">
      <c r="A1783" t="str">
        <f>"20200111150832177"</f>
        <v>20200111150832177</v>
      </c>
      <c r="B1783" t="str">
        <f>"1578726512174837"</f>
        <v>1578726512174837</v>
      </c>
      <c r="C1783" t="s">
        <v>40</v>
      </c>
      <c r="D1783">
        <v>5.2093109999999996</v>
      </c>
      <c r="E1783">
        <v>0.49701479999999998</v>
      </c>
      <c r="F1783" t="s">
        <v>79</v>
      </c>
      <c r="G1783">
        <v>-218.98840000000001</v>
      </c>
      <c r="H1783">
        <v>72.038409999999999</v>
      </c>
      <c r="I1783">
        <v>-20.968879999999999</v>
      </c>
      <c r="J1783">
        <v>-185.8312</v>
      </c>
      <c r="K1783">
        <v>1.10215</v>
      </c>
      <c r="L1783">
        <v>165.87710000000001</v>
      </c>
      <c r="M1783">
        <v>-5.7919239999999997E-2</v>
      </c>
      <c r="N1783">
        <v>0</v>
      </c>
      <c r="O1783">
        <v>-0.99824460000000004</v>
      </c>
      <c r="P1783">
        <v>-0.17932310000000001</v>
      </c>
      <c r="Q1783">
        <v>0.15939979999999901</v>
      </c>
      <c r="R1783">
        <v>-0.97079090000000001</v>
      </c>
      <c r="S1783">
        <v>-0.50047299999999995</v>
      </c>
      <c r="T1783">
        <v>1.0702039999999999</v>
      </c>
      <c r="U1783">
        <v>-2.8220369999999999</v>
      </c>
      <c r="V1783">
        <v>0.12612480000000001</v>
      </c>
      <c r="W1783">
        <v>0.16906849999999901</v>
      </c>
      <c r="X1783">
        <v>0.97750110000000001</v>
      </c>
      <c r="Y1783">
        <v>0.10621659999999999</v>
      </c>
      <c r="Z1783">
        <v>-0.35037889999999999</v>
      </c>
      <c r="AA1783">
        <v>0.9305658</v>
      </c>
      <c r="AB1783">
        <v>34</v>
      </c>
      <c r="AC1783">
        <v>-33.157200000000003</v>
      </c>
      <c r="AD1783">
        <v>70.936260000000004</v>
      </c>
      <c r="AE1783">
        <v>-186.84598</v>
      </c>
      <c r="AF1783">
        <v>19.5472932494005</v>
      </c>
      <c r="AG1783">
        <v>70.936260000000004</v>
      </c>
      <c r="AH1783">
        <v>165.34803463446201</v>
      </c>
      <c r="AI1783">
        <v>66.923813537865797</v>
      </c>
      <c r="AJ1783">
        <v>83.257838129812498</v>
      </c>
      <c r="AK1783">
        <v>180.980723320593</v>
      </c>
      <c r="AL1783">
        <v>80.266336009953804</v>
      </c>
      <c r="AM1783">
        <v>82.647872832768499</v>
      </c>
      <c r="AN1783">
        <v>1.00000001168425</v>
      </c>
    </row>
    <row r="1784" spans="1:40" x14ac:dyDescent="0.3">
      <c r="A1784" t="str">
        <f>"20200111150832191"</f>
        <v>20200111150832191</v>
      </c>
      <c r="B1784" t="str">
        <f>"1578726512184598"</f>
        <v>1578726512184598</v>
      </c>
      <c r="C1784" t="s">
        <v>40</v>
      </c>
      <c r="D1784">
        <v>6.5588709999999999</v>
      </c>
      <c r="E1784">
        <v>0.49666270000000001</v>
      </c>
      <c r="F1784" t="s">
        <v>79</v>
      </c>
      <c r="G1784">
        <v>-217.4419</v>
      </c>
      <c r="H1784">
        <v>63.326799999999999</v>
      </c>
      <c r="I1784">
        <v>-20.965990000000001</v>
      </c>
      <c r="J1784">
        <v>-185.84870000000001</v>
      </c>
      <c r="K1784">
        <v>1.10195</v>
      </c>
      <c r="L1784">
        <v>165.6678</v>
      </c>
      <c r="M1784">
        <v>-6.3875000000000001E-2</v>
      </c>
      <c r="N1784">
        <v>0</v>
      </c>
      <c r="O1784">
        <v>-0.99788089999999996</v>
      </c>
      <c r="P1784">
        <v>-0.1849587</v>
      </c>
      <c r="Q1784">
        <v>0.15954170000000001</v>
      </c>
      <c r="R1784">
        <v>-0.96970990000000001</v>
      </c>
      <c r="S1784">
        <v>-0.48144530000000002</v>
      </c>
      <c r="T1784">
        <v>0.94770920000000003</v>
      </c>
      <c r="U1784">
        <v>-2.8457029999999999</v>
      </c>
      <c r="V1784">
        <v>0.126055</v>
      </c>
      <c r="W1784">
        <v>0.16918039999999901</v>
      </c>
      <c r="X1784">
        <v>0.97749070000000005</v>
      </c>
      <c r="Y1784">
        <v>9.5132030000000006E-2</v>
      </c>
      <c r="Z1784">
        <v>-0.31234689999999998</v>
      </c>
      <c r="AA1784">
        <v>0.94519280000000006</v>
      </c>
      <c r="AB1784">
        <v>34</v>
      </c>
      <c r="AC1784">
        <v>-31.5932</v>
      </c>
      <c r="AD1784">
        <v>62.224850000000004</v>
      </c>
      <c r="AE1784">
        <v>-186.63379</v>
      </c>
      <c r="AF1784">
        <v>17.6944120150477</v>
      </c>
      <c r="AG1784">
        <v>62.224850000000004</v>
      </c>
      <c r="AH1784">
        <v>169.909805538407</v>
      </c>
      <c r="AI1784">
        <v>69.985696763946606</v>
      </c>
      <c r="AJ1784">
        <v>84.054646813586103</v>
      </c>
      <c r="AK1784">
        <v>181.808597684983</v>
      </c>
      <c r="AL1784">
        <v>80.259830491189902</v>
      </c>
      <c r="AM1784">
        <v>82.651819841495595</v>
      </c>
      <c r="AN1784">
        <v>0.99999996967782401</v>
      </c>
    </row>
    <row r="1785" spans="1:40" x14ac:dyDescent="0.3">
      <c r="A1785" t="str">
        <f>"20200111150832208"</f>
        <v>20200111150832208</v>
      </c>
      <c r="B1785" t="str">
        <f>"1578726512205094"</f>
        <v>1578726512205094</v>
      </c>
      <c r="C1785" t="s">
        <v>40</v>
      </c>
      <c r="D1785">
        <v>8.2728000000000002</v>
      </c>
      <c r="E1785">
        <v>0.49198249999999999</v>
      </c>
      <c r="F1785" t="s">
        <v>79</v>
      </c>
      <c r="G1785">
        <v>-218.27029999999999</v>
      </c>
      <c r="H1785">
        <v>65.107759999999999</v>
      </c>
      <c r="I1785">
        <v>-20.96658</v>
      </c>
      <c r="J1785">
        <v>-185.87100000000001</v>
      </c>
      <c r="K1785">
        <v>1.1017220000000001</v>
      </c>
      <c r="L1785">
        <v>165.4179</v>
      </c>
      <c r="M1785">
        <v>-7.1105669999999996E-2</v>
      </c>
      <c r="N1785">
        <v>0</v>
      </c>
      <c r="O1785">
        <v>-0.99739140000000004</v>
      </c>
      <c r="P1785">
        <v>-0.1922306</v>
      </c>
      <c r="Q1785">
        <v>0.1597027</v>
      </c>
      <c r="R1785">
        <v>-0.96826789999999996</v>
      </c>
      <c r="S1785">
        <v>-0.49325560000000002</v>
      </c>
      <c r="T1785">
        <v>0.97377100000000005</v>
      </c>
      <c r="U1785">
        <v>-2.8394170000000001</v>
      </c>
      <c r="V1785">
        <v>0.12640499999999999</v>
      </c>
      <c r="W1785">
        <v>0.16929739999999999</v>
      </c>
      <c r="X1785">
        <v>0.97742530000000005</v>
      </c>
      <c r="Y1785">
        <v>9.1620649999999998E-2</v>
      </c>
      <c r="Z1785">
        <v>-0.32041500000000001</v>
      </c>
      <c r="AA1785">
        <v>0.94283609999999896</v>
      </c>
      <c r="AB1785">
        <v>34</v>
      </c>
      <c r="AC1785">
        <v>-32.399299999999997</v>
      </c>
      <c r="AD1785">
        <v>64.006038000000004</v>
      </c>
      <c r="AE1785">
        <v>-186.38448</v>
      </c>
      <c r="AF1785">
        <v>17.105218107815201</v>
      </c>
      <c r="AG1785">
        <v>64.006038000000004</v>
      </c>
      <c r="AH1785">
        <v>168.884305260057</v>
      </c>
      <c r="AI1785">
        <v>69.340331152072693</v>
      </c>
      <c r="AJ1785">
        <v>84.216596877486595</v>
      </c>
      <c r="AK1785">
        <v>181.41463543536199</v>
      </c>
      <c r="AL1785">
        <v>80.253029318529997</v>
      </c>
      <c r="AM1785">
        <v>82.631153439519494</v>
      </c>
      <c r="AN1785">
        <v>1.00000002537592</v>
      </c>
    </row>
    <row r="1786" spans="1:40" x14ac:dyDescent="0.3">
      <c r="A1786" t="str">
        <f>"20200111150832221"</f>
        <v>20200111150832221</v>
      </c>
      <c r="B1786" t="str">
        <f>"1578726512214854"</f>
        <v>1578726512214854</v>
      </c>
      <c r="C1786" t="s">
        <v>40</v>
      </c>
      <c r="D1786">
        <v>5.5086459999999997</v>
      </c>
      <c r="E1786">
        <v>0.49255460000000001</v>
      </c>
      <c r="F1786" t="s">
        <v>79</v>
      </c>
      <c r="G1786">
        <v>-217.03399999999999</v>
      </c>
      <c r="H1786">
        <v>69.432249999999996</v>
      </c>
      <c r="I1786">
        <v>-20.968019999999999</v>
      </c>
      <c r="J1786">
        <v>-185.8903</v>
      </c>
      <c r="K1786">
        <v>1.101542</v>
      </c>
      <c r="L1786">
        <v>165.21469999999999</v>
      </c>
      <c r="M1786">
        <v>-7.7080830000000003E-2</v>
      </c>
      <c r="N1786">
        <v>0</v>
      </c>
      <c r="O1786">
        <v>-0.99694709999999997</v>
      </c>
      <c r="P1786">
        <v>-0.1988153</v>
      </c>
      <c r="Q1786">
        <v>0.15995210000000001</v>
      </c>
      <c r="R1786">
        <v>-0.96689579999999997</v>
      </c>
      <c r="S1786">
        <v>-0.47366330000000001</v>
      </c>
      <c r="T1786">
        <v>1.038591</v>
      </c>
      <c r="U1786">
        <v>-2.8329770000000001</v>
      </c>
      <c r="V1786">
        <v>0.1272826</v>
      </c>
      <c r="W1786">
        <v>0.1694985</v>
      </c>
      <c r="X1786">
        <v>0.97727649999999999</v>
      </c>
      <c r="Y1786">
        <v>7.8529669999999996E-2</v>
      </c>
      <c r="Z1786">
        <v>-0.34015479999999998</v>
      </c>
      <c r="AA1786">
        <v>0.93708469999999999</v>
      </c>
      <c r="AB1786">
        <v>34</v>
      </c>
      <c r="AC1786">
        <v>-31.143699999999999</v>
      </c>
      <c r="AD1786">
        <v>68.330708000000001</v>
      </c>
      <c r="AE1786">
        <v>-186.18271999999999</v>
      </c>
      <c r="AF1786">
        <v>14.7642495740738</v>
      </c>
      <c r="AG1786">
        <v>68.330708000000001</v>
      </c>
      <c r="AH1786">
        <v>166.24635510488801</v>
      </c>
      <c r="AI1786">
        <v>67.735344594220507</v>
      </c>
      <c r="AJ1786">
        <v>84.924907247397897</v>
      </c>
      <c r="AK1786">
        <v>180.34666425228801</v>
      </c>
      <c r="AL1786">
        <v>80.241337723013103</v>
      </c>
      <c r="AM1786">
        <v>82.579444265754802</v>
      </c>
      <c r="AN1786">
        <v>0.99999997960862896</v>
      </c>
    </row>
    <row r="1787" spans="1:40" x14ac:dyDescent="0.3">
      <c r="A1787" t="str">
        <f>"20200111150832233"</f>
        <v>20200111150832233</v>
      </c>
      <c r="B1787" t="str">
        <f>"1578726512224614"</f>
        <v>1578726512224614</v>
      </c>
      <c r="C1787" t="s">
        <v>40</v>
      </c>
      <c r="D1787">
        <v>5.4659389999999997</v>
      </c>
      <c r="E1787">
        <v>0.49255460000000001</v>
      </c>
      <c r="F1787" t="s">
        <v>79</v>
      </c>
      <c r="G1787">
        <v>-218.68350000000001</v>
      </c>
      <c r="H1787">
        <v>68.871750000000006</v>
      </c>
      <c r="I1787">
        <v>-20.967829999999999</v>
      </c>
      <c r="J1787">
        <v>-185.91130000000001</v>
      </c>
      <c r="K1787">
        <v>1.101369</v>
      </c>
      <c r="L1787">
        <v>165.01089999999999</v>
      </c>
      <c r="M1787">
        <v>-8.319704E-2</v>
      </c>
      <c r="N1787">
        <v>0</v>
      </c>
      <c r="O1787">
        <v>-0.99645510000000004</v>
      </c>
      <c r="P1787">
        <v>-0.20561399999999999</v>
      </c>
      <c r="Q1787">
        <v>0.1600482</v>
      </c>
      <c r="R1787">
        <v>-0.96545700000000001</v>
      </c>
      <c r="S1787">
        <v>-0.49842829999999999</v>
      </c>
      <c r="T1787">
        <v>1.0300450000000001</v>
      </c>
      <c r="U1787">
        <v>-2.8298030000000001</v>
      </c>
      <c r="V1787">
        <v>0.12823579999999901</v>
      </c>
      <c r="W1787">
        <v>0.1695479</v>
      </c>
      <c r="X1787">
        <v>0.97714330000000005</v>
      </c>
      <c r="Y1787">
        <v>8.0714859999999999E-2</v>
      </c>
      <c r="Z1787">
        <v>-0.33752320000000002</v>
      </c>
      <c r="AA1787">
        <v>0.93785039999999997</v>
      </c>
      <c r="AB1787">
        <v>34</v>
      </c>
      <c r="AC1787">
        <v>-32.772199999999998</v>
      </c>
      <c r="AD1787">
        <v>67.770381</v>
      </c>
      <c r="AE1787">
        <v>-185.97873000000001</v>
      </c>
      <c r="AF1787">
        <v>15.2238448614994</v>
      </c>
      <c r="AG1787">
        <v>67.770381</v>
      </c>
      <c r="AH1787">
        <v>166.604136054739</v>
      </c>
      <c r="AI1787">
        <v>67.947759799907104</v>
      </c>
      <c r="AJ1787">
        <v>84.778962720240997</v>
      </c>
      <c r="AK1787">
        <v>180.50354052981399</v>
      </c>
      <c r="AL1787">
        <v>80.238465645946604</v>
      </c>
      <c r="AM1787">
        <v>82.523491576186998</v>
      </c>
      <c r="AN1787">
        <v>0.99999996976546901</v>
      </c>
    </row>
    <row r="1788" spans="1:40" x14ac:dyDescent="0.3">
      <c r="A1788" t="str">
        <f>"20200111150832247"</f>
        <v>20200111150832247</v>
      </c>
      <c r="B1788" t="str">
        <f>"1578726512245109"</f>
        <v>1578726512245109</v>
      </c>
      <c r="C1788" t="s">
        <v>40</v>
      </c>
      <c r="D1788">
        <v>6.6075339999999896</v>
      </c>
      <c r="E1788">
        <v>0.48942239999999998</v>
      </c>
      <c r="F1788" t="s">
        <v>79</v>
      </c>
      <c r="G1788">
        <v>-219.92760000000001</v>
      </c>
      <c r="H1788">
        <v>68.785690000000002</v>
      </c>
      <c r="I1788">
        <v>-20.65436</v>
      </c>
      <c r="J1788">
        <v>-185.93209999999999</v>
      </c>
      <c r="K1788">
        <v>1.1012150000000001</v>
      </c>
      <c r="L1788">
        <v>164.82050000000001</v>
      </c>
      <c r="M1788">
        <v>-8.8982909999999998E-2</v>
      </c>
      <c r="N1788">
        <v>0</v>
      </c>
      <c r="O1788">
        <v>-0.99595489999999998</v>
      </c>
      <c r="P1788">
        <v>-0.2123881</v>
      </c>
      <c r="Q1788">
        <v>0.1601795</v>
      </c>
      <c r="R1788">
        <v>-0.96396789999999999</v>
      </c>
      <c r="S1788">
        <v>-0.51780700000000002</v>
      </c>
      <c r="T1788">
        <v>1.0303150000000001</v>
      </c>
      <c r="U1788">
        <v>-2.826263</v>
      </c>
      <c r="V1788">
        <v>0.12948970000000001</v>
      </c>
      <c r="W1788">
        <v>0.16962729999999901</v>
      </c>
      <c r="X1788">
        <v>0.97696419999999995</v>
      </c>
      <c r="Y1788">
        <v>8.1355269999999993E-2</v>
      </c>
      <c r="Z1788">
        <v>-0.33754050000000002</v>
      </c>
      <c r="AA1788">
        <v>0.93778879999999998</v>
      </c>
      <c r="AB1788">
        <v>34</v>
      </c>
      <c r="AC1788">
        <v>-33.9955</v>
      </c>
      <c r="AD1788">
        <v>67.684475000000006</v>
      </c>
      <c r="AE1788">
        <v>-185.47486000000001</v>
      </c>
      <c r="AF1788">
        <v>15.3743780743653</v>
      </c>
      <c r="AG1788">
        <v>67.684475000000006</v>
      </c>
      <c r="AH1788">
        <v>166.333497218643</v>
      </c>
      <c r="AI1788">
        <v>67.942548939401505</v>
      </c>
      <c r="AJ1788">
        <v>84.719096549904606</v>
      </c>
      <c r="AK1788">
        <v>180.234269644215</v>
      </c>
      <c r="AL1788">
        <v>80.233850048109502</v>
      </c>
      <c r="AM1788">
        <v>82.449856830174099</v>
      </c>
      <c r="AN1788">
        <v>1.0000000256965</v>
      </c>
    </row>
    <row r="1789" spans="1:40" x14ac:dyDescent="0.3">
      <c r="A1789" t="str">
        <f>"20200111150832410"</f>
        <v>20200111150832410</v>
      </c>
      <c r="B1789" t="str">
        <f>"1578726512405213"</f>
        <v>1578726512405213</v>
      </c>
      <c r="C1789" t="s">
        <v>40</v>
      </c>
      <c r="D1789">
        <v>5.37981</v>
      </c>
      <c r="E1789">
        <v>0.81752060000000004</v>
      </c>
      <c r="F1789" t="s">
        <v>79</v>
      </c>
      <c r="G1789">
        <v>-219.55760000000001</v>
      </c>
      <c r="H1789">
        <v>69.109380000000002</v>
      </c>
      <c r="I1789">
        <v>-20.65446</v>
      </c>
      <c r="J1789">
        <v>-186.31569999999999</v>
      </c>
      <c r="K1789">
        <v>1.099612</v>
      </c>
      <c r="L1789">
        <v>162.33260000000001</v>
      </c>
      <c r="M1789">
        <v>-0.1703829</v>
      </c>
      <c r="N1789">
        <v>0</v>
      </c>
      <c r="O1789">
        <v>-0.98529509999999998</v>
      </c>
      <c r="P1789">
        <v>-0.31996659999999999</v>
      </c>
      <c r="Q1789">
        <v>0.15900249999999999</v>
      </c>
      <c r="R1789">
        <v>-0.93399140000000003</v>
      </c>
      <c r="S1789">
        <v>-0.51251219999999997</v>
      </c>
      <c r="T1789">
        <v>1.036564</v>
      </c>
      <c r="U1789">
        <v>-2.826965</v>
      </c>
      <c r="V1789">
        <v>0.16046740000000001</v>
      </c>
      <c r="W1789">
        <v>0.16740650000000001</v>
      </c>
      <c r="X1789">
        <v>0.97274110000000003</v>
      </c>
      <c r="Y1789">
        <v>-2.333061E-3</v>
      </c>
      <c r="Z1789">
        <v>-0.33464080000000002</v>
      </c>
      <c r="AA1789">
        <v>0.94234289999999998</v>
      </c>
      <c r="AB1789">
        <v>34</v>
      </c>
      <c r="AC1789">
        <v>-33.241900000000001</v>
      </c>
      <c r="AD1789">
        <v>68.009767999999994</v>
      </c>
      <c r="AE1789">
        <v>-182.98706000000001</v>
      </c>
      <c r="AF1789">
        <v>1.3895334409403</v>
      </c>
      <c r="AG1789">
        <v>68.009767999999994</v>
      </c>
      <c r="AH1789">
        <v>164.03966771039299</v>
      </c>
      <c r="AI1789">
        <v>67.482152403619295</v>
      </c>
      <c r="AJ1789">
        <v>89.514675330303703</v>
      </c>
      <c r="AK1789">
        <v>177.58454867789999</v>
      </c>
      <c r="AL1789">
        <v>80.3629382735962</v>
      </c>
      <c r="AM1789">
        <v>80.632615029901601</v>
      </c>
      <c r="AN1789">
        <v>0.99999998516710997</v>
      </c>
    </row>
    <row r="1790" spans="1:40" x14ac:dyDescent="0.3">
      <c r="A1790" t="str">
        <f>"20200111150832435"</f>
        <v>20200111150832435</v>
      </c>
      <c r="B1790" t="str">
        <f>"1578726512424733"</f>
        <v>1578726512424733</v>
      </c>
      <c r="C1790" t="s">
        <v>40</v>
      </c>
      <c r="D1790">
        <v>5.3772539999999998</v>
      </c>
      <c r="E1790">
        <v>0.81323440000000002</v>
      </c>
      <c r="F1790" t="s">
        <v>80</v>
      </c>
      <c r="G1790">
        <v>-442.37169999999998</v>
      </c>
      <c r="H1790">
        <v>140.2276</v>
      </c>
      <c r="I1790">
        <v>19.98434</v>
      </c>
      <c r="J1790">
        <v>-186.39850000000001</v>
      </c>
      <c r="K1790">
        <v>1.0993919999999999</v>
      </c>
      <c r="L1790">
        <v>161.93</v>
      </c>
      <c r="M1790">
        <v>-0.1844683</v>
      </c>
      <c r="N1790">
        <v>0</v>
      </c>
      <c r="O1790">
        <v>-0.98275480000000004</v>
      </c>
      <c r="P1790">
        <v>-0.33711679999999999</v>
      </c>
      <c r="Q1790">
        <v>0.15920909999999999</v>
      </c>
      <c r="R1790">
        <v>-0.92790329999999999</v>
      </c>
      <c r="S1790">
        <v>-3.2411650000000001</v>
      </c>
      <c r="T1790">
        <v>1.7610859999999999</v>
      </c>
      <c r="U1790">
        <v>-1.801849</v>
      </c>
      <c r="V1790">
        <v>0.164566299999999</v>
      </c>
      <c r="W1790">
        <v>0.16746150000000001</v>
      </c>
      <c r="X1790">
        <v>0.97204659999999998</v>
      </c>
      <c r="Y1790">
        <v>0.67383199999999999</v>
      </c>
      <c r="Z1790">
        <v>-0.45649519999999999</v>
      </c>
      <c r="AA1790">
        <v>0.58100130000000005</v>
      </c>
      <c r="AB1790">
        <v>34</v>
      </c>
      <c r="AC1790">
        <v>-255.97319999999999</v>
      </c>
      <c r="AD1790">
        <v>139.128208</v>
      </c>
      <c r="AE1790">
        <v>-141.94566</v>
      </c>
      <c r="AF1790">
        <v>183.85283922583699</v>
      </c>
      <c r="AG1790">
        <v>139.128208</v>
      </c>
      <c r="AH1790">
        <v>152.31719557717199</v>
      </c>
      <c r="AI1790">
        <v>59.769289047877301</v>
      </c>
      <c r="AJ1790">
        <v>39.640846133831197</v>
      </c>
      <c r="AK1790">
        <v>276.33141844746399</v>
      </c>
      <c r="AL1790">
        <v>80.359742093926002</v>
      </c>
      <c r="AM1790">
        <v>80.391007848492094</v>
      </c>
      <c r="AN1790">
        <v>1.0000000068247401</v>
      </c>
    </row>
    <row r="1791" spans="1:40" x14ac:dyDescent="0.3">
      <c r="A1791" t="str">
        <f>"20200111150832478"</f>
        <v>20200111150832478</v>
      </c>
      <c r="B1791" t="str">
        <f>"1578726512475017"</f>
        <v>1578726512475017</v>
      </c>
      <c r="C1791" t="s">
        <v>40</v>
      </c>
      <c r="D1791">
        <v>5.2795129999999997</v>
      </c>
      <c r="E1791">
        <v>0.80195260000000002</v>
      </c>
      <c r="F1791" t="s">
        <v>80</v>
      </c>
      <c r="G1791">
        <v>-442.3716</v>
      </c>
      <c r="H1791">
        <v>140.0701</v>
      </c>
      <c r="I1791">
        <v>23.441459999999999</v>
      </c>
      <c r="J1791">
        <v>-186.54499999999999</v>
      </c>
      <c r="K1791">
        <v>1.0990719999999901</v>
      </c>
      <c r="L1791">
        <v>161.28219999999999</v>
      </c>
      <c r="M1791">
        <v>-0.2076432</v>
      </c>
      <c r="N1791">
        <v>0</v>
      </c>
      <c r="O1791">
        <v>-0.97811979999999998</v>
      </c>
      <c r="P1791">
        <v>-0.36411490000000002</v>
      </c>
      <c r="Q1791">
        <v>0.16093489999999999</v>
      </c>
      <c r="R1791">
        <v>-0.9173441</v>
      </c>
      <c r="S1791">
        <v>-3.241241</v>
      </c>
      <c r="T1791">
        <v>1.759706</v>
      </c>
      <c r="U1791">
        <v>-1.75360099999999</v>
      </c>
      <c r="V1791">
        <v>0.17027639999999999</v>
      </c>
      <c r="W1791">
        <v>0.16896329999999901</v>
      </c>
      <c r="X1791">
        <v>0.97080239999999995</v>
      </c>
      <c r="Y1791">
        <v>0.66341470000000002</v>
      </c>
      <c r="Z1791">
        <v>-0.46030710000000002</v>
      </c>
      <c r="AA1791">
        <v>0.58991380000000004</v>
      </c>
      <c r="AB1791">
        <v>34</v>
      </c>
      <c r="AC1791">
        <v>-255.82660000000001</v>
      </c>
      <c r="AD1791">
        <v>138.97102799999999</v>
      </c>
      <c r="AE1791">
        <v>-137.84073999999899</v>
      </c>
      <c r="AF1791">
        <v>180.37445517296101</v>
      </c>
      <c r="AG1791">
        <v>138.97102799999999</v>
      </c>
      <c r="AH1791">
        <v>152.97573822235699</v>
      </c>
      <c r="AI1791">
        <v>59.561807039138401</v>
      </c>
      <c r="AJ1791">
        <v>40.301307375184003</v>
      </c>
      <c r="AK1791">
        <v>274.31636332343402</v>
      </c>
      <c r="AL1791">
        <v>80.272451142289995</v>
      </c>
      <c r="AM1791">
        <v>80.051652747534504</v>
      </c>
      <c r="AN1791">
        <v>0.99999997449480404</v>
      </c>
    </row>
    <row r="1792" spans="1:40" x14ac:dyDescent="0.3">
      <c r="A1792" t="str">
        <f>"20200111150832493"</f>
        <v>20200111150832493</v>
      </c>
      <c r="B1792" t="str">
        <f>"1578726512484776"</f>
        <v>1578726512484776</v>
      </c>
      <c r="C1792" t="s">
        <v>40</v>
      </c>
      <c r="D1792">
        <v>5.2454150000000004</v>
      </c>
      <c r="E1792">
        <v>0.80302200000000001</v>
      </c>
      <c r="F1792" t="s">
        <v>80</v>
      </c>
      <c r="G1792">
        <v>-442.37200000000001</v>
      </c>
      <c r="H1792">
        <v>141.15299999999999</v>
      </c>
      <c r="I1792">
        <v>26.62876</v>
      </c>
      <c r="J1792">
        <v>-186.59630000000001</v>
      </c>
      <c r="K1792">
        <v>1.0989690000000001</v>
      </c>
      <c r="L1792">
        <v>161.07249999999999</v>
      </c>
      <c r="M1792">
        <v>-0.21529770000000001</v>
      </c>
      <c r="N1792">
        <v>0</v>
      </c>
      <c r="O1792">
        <v>-0.97646310000000003</v>
      </c>
      <c r="P1792">
        <v>-0.37172430000000001</v>
      </c>
      <c r="Q1792">
        <v>0.16121050000000001</v>
      </c>
      <c r="R1792">
        <v>-0.91423880000000002</v>
      </c>
      <c r="S1792">
        <v>-3.2083590000000002</v>
      </c>
      <c r="T1792">
        <v>1.756432</v>
      </c>
      <c r="U1792">
        <v>-1.6887049999999999</v>
      </c>
      <c r="V1792">
        <v>0.1707996</v>
      </c>
      <c r="W1792">
        <v>0.16920579999999999</v>
      </c>
      <c r="X1792">
        <v>0.97066830000000004</v>
      </c>
      <c r="Y1792">
        <v>0.66216169999999996</v>
      </c>
      <c r="Z1792">
        <v>-0.46657739999999998</v>
      </c>
      <c r="AA1792">
        <v>0.58638500000000005</v>
      </c>
      <c r="AB1792">
        <v>34</v>
      </c>
      <c r="AC1792">
        <v>-255.7757</v>
      </c>
      <c r="AD1792">
        <v>140.05403099999899</v>
      </c>
      <c r="AE1792">
        <v>-134.44373999999999</v>
      </c>
      <c r="AF1792">
        <v>178.819794165871</v>
      </c>
      <c r="AG1792">
        <v>140.05403099999899</v>
      </c>
      <c r="AH1792">
        <v>150.91057841730199</v>
      </c>
      <c r="AI1792">
        <v>59.097309031681597</v>
      </c>
      <c r="AJ1792">
        <v>40.161871816077799</v>
      </c>
      <c r="AK1792">
        <v>272.700665681472</v>
      </c>
      <c r="AL1792">
        <v>80.258354457559705</v>
      </c>
      <c r="AM1792">
        <v>80.020347556655494</v>
      </c>
      <c r="AN1792">
        <v>1.0000000273693399</v>
      </c>
    </row>
    <row r="1793" spans="1:40" x14ac:dyDescent="0.3">
      <c r="A1793" t="str">
        <f>"20200111150832557"</f>
        <v>20200111150832557</v>
      </c>
      <c r="B1793" t="str">
        <f>"1578726512555048"</f>
        <v>1578726512555048</v>
      </c>
      <c r="C1793" t="s">
        <v>40</v>
      </c>
      <c r="D1793">
        <v>4.838514</v>
      </c>
      <c r="E1793">
        <v>0.80176939999999997</v>
      </c>
      <c r="F1793" t="s">
        <v>80</v>
      </c>
      <c r="G1793">
        <v>-442.37209999999999</v>
      </c>
      <c r="H1793">
        <v>141.4751</v>
      </c>
      <c r="I1793">
        <v>29.795950000000001</v>
      </c>
      <c r="J1793">
        <v>-186.85329999999999</v>
      </c>
      <c r="K1793">
        <v>1.098511</v>
      </c>
      <c r="L1793">
        <v>160.11099999999999</v>
      </c>
      <c r="M1793">
        <v>-0.25111329999999998</v>
      </c>
      <c r="N1793">
        <v>0</v>
      </c>
      <c r="O1793">
        <v>-0.96787020000000001</v>
      </c>
      <c r="P1793">
        <v>-0.40684429999999999</v>
      </c>
      <c r="Q1793">
        <v>0.16246640000000001</v>
      </c>
      <c r="R1793">
        <v>-0.89893409999999996</v>
      </c>
      <c r="S1793">
        <v>-3.2277680000000002</v>
      </c>
      <c r="T1793">
        <v>1.771479</v>
      </c>
      <c r="U1793">
        <v>-1.656647</v>
      </c>
      <c r="V1793">
        <v>0.17291589999999901</v>
      </c>
      <c r="W1793">
        <v>0.17031949999999901</v>
      </c>
      <c r="X1793">
        <v>0.97009860000000003</v>
      </c>
      <c r="Y1793">
        <v>0.64150289999999999</v>
      </c>
      <c r="Z1793">
        <v>-0.47095419999999999</v>
      </c>
      <c r="AA1793">
        <v>0.60553789999999996</v>
      </c>
      <c r="AB1793">
        <v>34</v>
      </c>
      <c r="AC1793">
        <v>-255.5188</v>
      </c>
      <c r="AD1793">
        <v>140.376589</v>
      </c>
      <c r="AE1793">
        <v>-130.31505000000001</v>
      </c>
      <c r="AF1793">
        <v>173.134541423999</v>
      </c>
      <c r="AG1793">
        <v>140.376589</v>
      </c>
      <c r="AH1793">
        <v>153.53415919589801</v>
      </c>
      <c r="AI1793">
        <v>58.757864620245797</v>
      </c>
      <c r="AJ1793">
        <v>41.5663241652883</v>
      </c>
      <c r="AK1793">
        <v>270.65456621561901</v>
      </c>
      <c r="AL1793">
        <v>80.193603699530399</v>
      </c>
      <c r="AM1793">
        <v>79.893415739828001</v>
      </c>
      <c r="AN1793">
        <v>0.99999996713750905</v>
      </c>
    </row>
    <row r="1794" spans="1:40" x14ac:dyDescent="0.3">
      <c r="A1794" t="str">
        <f>"20200111150832569"</f>
        <v>20200111150832569</v>
      </c>
      <c r="B1794" t="str">
        <f>"1578726512564808"</f>
        <v>1578726512564808</v>
      </c>
      <c r="C1794" t="s">
        <v>40</v>
      </c>
      <c r="D1794">
        <v>4.8140890000000001</v>
      </c>
      <c r="E1794">
        <v>0.80176939999999997</v>
      </c>
      <c r="F1794" t="s">
        <v>80</v>
      </c>
      <c r="G1794">
        <v>-442.37139999999999</v>
      </c>
      <c r="H1794">
        <v>139.47630000000001</v>
      </c>
      <c r="I1794">
        <v>40.75412</v>
      </c>
      <c r="J1794">
        <v>-186.90539999999999</v>
      </c>
      <c r="K1794">
        <v>1.0984339999999999</v>
      </c>
      <c r="L1794">
        <v>159.93350000000001</v>
      </c>
      <c r="M1794">
        <v>-0.2578703</v>
      </c>
      <c r="N1794">
        <v>0</v>
      </c>
      <c r="O1794">
        <v>-0.96609140000000004</v>
      </c>
      <c r="P1794">
        <v>-0.41330889999999998</v>
      </c>
      <c r="Q1794">
        <v>0.1626338</v>
      </c>
      <c r="R1794">
        <v>-0.89594959999999901</v>
      </c>
      <c r="S1794">
        <v>-3.279617</v>
      </c>
      <c r="T1794">
        <v>1.7761009999999999</v>
      </c>
      <c r="U1794">
        <v>-1.5319670000000001</v>
      </c>
      <c r="V1794">
        <v>0.17316899999999999</v>
      </c>
      <c r="W1794">
        <v>0.17046749999999999</v>
      </c>
      <c r="X1794">
        <v>0.97002750000000004</v>
      </c>
      <c r="Y1794">
        <v>0.65722849999999999</v>
      </c>
      <c r="Z1794">
        <v>-0.47515370000000001</v>
      </c>
      <c r="AA1794">
        <v>0.58504679999999998</v>
      </c>
      <c r="AB1794">
        <v>34</v>
      </c>
      <c r="AC1794">
        <v>-255.46599999999901</v>
      </c>
      <c r="AD1794">
        <v>138.37786599999899</v>
      </c>
      <c r="AE1794">
        <v>-119.17937999999999</v>
      </c>
      <c r="AF1794">
        <v>174.13029572948699</v>
      </c>
      <c r="AG1794">
        <v>138.37786599999899</v>
      </c>
      <c r="AH1794">
        <v>145.87931003444501</v>
      </c>
      <c r="AI1794">
        <v>58.651815068081</v>
      </c>
      <c r="AJ1794">
        <v>39.954911743379803</v>
      </c>
      <c r="AK1794">
        <v>265.98978699506199</v>
      </c>
      <c r="AL1794">
        <v>80.184998510220098</v>
      </c>
      <c r="AM1794">
        <v>79.878201656917497</v>
      </c>
      <c r="AN1794">
        <v>1.00000001093675</v>
      </c>
    </row>
    <row r="1795" spans="1:40" x14ac:dyDescent="0.3">
      <c r="A1795" t="str">
        <f>"20200111150832588"</f>
        <v>20200111150832588</v>
      </c>
      <c r="B1795" t="str">
        <f>"1578726512585304"</f>
        <v>1578726512585304</v>
      </c>
      <c r="C1795" t="s">
        <v>40</v>
      </c>
      <c r="D1795">
        <v>4.9393019999999996</v>
      </c>
      <c r="E1795">
        <v>0.80176939999999997</v>
      </c>
      <c r="F1795" t="s">
        <v>80</v>
      </c>
      <c r="G1795">
        <v>-442.37119999999999</v>
      </c>
      <c r="H1795">
        <v>138.96279999999999</v>
      </c>
      <c r="I1795">
        <v>42.859499999999997</v>
      </c>
      <c r="J1795">
        <v>-186.98750000000001</v>
      </c>
      <c r="K1795">
        <v>1.0983160000000001</v>
      </c>
      <c r="L1795">
        <v>159.66120000000001</v>
      </c>
      <c r="M1795">
        <v>-0.26829330000000001</v>
      </c>
      <c r="N1795">
        <v>0</v>
      </c>
      <c r="O1795">
        <v>-0.96324869999999996</v>
      </c>
      <c r="P1795">
        <v>-0.42346729999999999</v>
      </c>
      <c r="Q1795">
        <v>0.16283210000000001</v>
      </c>
      <c r="R1795">
        <v>-0.89115719999999998</v>
      </c>
      <c r="S1795">
        <v>-3.29068</v>
      </c>
      <c r="T1795">
        <v>1.7758419999999999</v>
      </c>
      <c r="U1795">
        <v>-1.508041</v>
      </c>
      <c r="V1795">
        <v>0.17377799999999999</v>
      </c>
      <c r="W1795">
        <v>0.17062910000000001</v>
      </c>
      <c r="X1795">
        <v>0.96989020000000004</v>
      </c>
      <c r="Y1795">
        <v>0.65412219999999999</v>
      </c>
      <c r="Z1795">
        <v>-0.47561870000000001</v>
      </c>
      <c r="AA1795">
        <v>0.58814200000000005</v>
      </c>
      <c r="AB1795">
        <v>34</v>
      </c>
      <c r="AC1795">
        <v>-255.3837</v>
      </c>
      <c r="AD1795">
        <v>137.86448399999901</v>
      </c>
      <c r="AE1795">
        <v>-116.8017</v>
      </c>
      <c r="AF1795">
        <v>172.98797925586501</v>
      </c>
      <c r="AG1795">
        <v>137.86448399999901</v>
      </c>
      <c r="AH1795">
        <v>145.883407284816</v>
      </c>
      <c r="AI1795">
        <v>58.6485478290884</v>
      </c>
      <c r="AJ1795">
        <v>40.141447149799397</v>
      </c>
      <c r="AK1795">
        <v>264.97816030126199</v>
      </c>
      <c r="AL1795">
        <v>80.175602148554603</v>
      </c>
      <c r="AM1795">
        <v>79.841937278515104</v>
      </c>
      <c r="AN1795">
        <v>1.00000004155342</v>
      </c>
    </row>
    <row r="1796" spans="1:40" x14ac:dyDescent="0.3">
      <c r="A1796" t="str">
        <f>"20200111150832600"</f>
        <v>20200111150832600</v>
      </c>
      <c r="B1796" t="str">
        <f>"1578726512595064"</f>
        <v>1578726512595064</v>
      </c>
      <c r="C1796" t="s">
        <v>40</v>
      </c>
      <c r="D1796">
        <v>4.9540220000000001</v>
      </c>
      <c r="E1796">
        <v>0.80176939999999997</v>
      </c>
      <c r="F1796" t="s">
        <v>80</v>
      </c>
      <c r="G1796">
        <v>-442.37099999999998</v>
      </c>
      <c r="H1796">
        <v>138.26609999999999</v>
      </c>
      <c r="I1796">
        <v>46.144739999999999</v>
      </c>
      <c r="J1796">
        <v>-187.04810000000001</v>
      </c>
      <c r="K1796">
        <v>1.0982369999999999</v>
      </c>
      <c r="L1796">
        <v>159.4658</v>
      </c>
      <c r="M1796">
        <v>-0.275814</v>
      </c>
      <c r="N1796">
        <v>0</v>
      </c>
      <c r="O1796">
        <v>-0.96112200000000003</v>
      </c>
      <c r="P1796">
        <v>-0.43087259999999999</v>
      </c>
      <c r="Q1796">
        <v>0.1627489</v>
      </c>
      <c r="R1796">
        <v>-0.88761590000000001</v>
      </c>
      <c r="S1796">
        <v>-3.3075100000000002</v>
      </c>
      <c r="T1796">
        <v>1.7764789999999999</v>
      </c>
      <c r="U1796">
        <v>-1.4701690000000001</v>
      </c>
      <c r="V1796">
        <v>0.174298799999999</v>
      </c>
      <c r="W1796">
        <v>0.17051769999999999</v>
      </c>
      <c r="X1796">
        <v>0.96981629999999996</v>
      </c>
      <c r="Y1796">
        <v>0.65527290000000005</v>
      </c>
      <c r="Z1796">
        <v>-0.47652650000000002</v>
      </c>
      <c r="AA1796">
        <v>0.58612280000000005</v>
      </c>
      <c r="AB1796">
        <v>34</v>
      </c>
      <c r="AC1796">
        <v>-255.3229</v>
      </c>
      <c r="AD1796">
        <v>137.16786299999899</v>
      </c>
      <c r="AE1796">
        <v>-113.32106</v>
      </c>
      <c r="AF1796">
        <v>172.553072937888</v>
      </c>
      <c r="AG1796">
        <v>137.16786299999899</v>
      </c>
      <c r="AH1796">
        <v>144.508341636843</v>
      </c>
      <c r="AI1796">
        <v>58.640156601698401</v>
      </c>
      <c r="AJ1796">
        <v>39.945226052302502</v>
      </c>
      <c r="AK1796">
        <v>263.57588361404697</v>
      </c>
      <c r="AL1796">
        <v>80.182079483325595</v>
      </c>
      <c r="AM1796">
        <v>79.811370962981201</v>
      </c>
      <c r="AN1796">
        <v>1.0000000067202099</v>
      </c>
    </row>
    <row r="1797" spans="1:40" x14ac:dyDescent="0.3">
      <c r="A1797" t="str">
        <f>"20200111150832612"</f>
        <v>20200111150832612</v>
      </c>
      <c r="B1797" t="str">
        <f>"1578726512604825"</f>
        <v>1578726512604825</v>
      </c>
      <c r="C1797" t="s">
        <v>40</v>
      </c>
      <c r="D1797">
        <v>4.9422309999999996</v>
      </c>
      <c r="E1797">
        <v>0.80176939999999997</v>
      </c>
      <c r="F1797" t="s">
        <v>80</v>
      </c>
      <c r="G1797">
        <v>-442.37079999999997</v>
      </c>
      <c r="H1797">
        <v>137.69560000000001</v>
      </c>
      <c r="I1797">
        <v>48.515329999999999</v>
      </c>
      <c r="J1797">
        <v>-187.1087</v>
      </c>
      <c r="K1797">
        <v>1.0981639999999999</v>
      </c>
      <c r="L1797">
        <v>159.27760000000001</v>
      </c>
      <c r="M1797">
        <v>-0.28311819999999999</v>
      </c>
      <c r="N1797">
        <v>0</v>
      </c>
      <c r="O1797">
        <v>-0.9589955</v>
      </c>
      <c r="P1797">
        <v>-0.43838070000000001</v>
      </c>
      <c r="Q1797">
        <v>0.1625364</v>
      </c>
      <c r="R1797">
        <v>-0.8839709</v>
      </c>
      <c r="S1797">
        <v>-3.319855</v>
      </c>
      <c r="T1797">
        <v>1.7761180000000001</v>
      </c>
      <c r="U1797">
        <v>-1.442642</v>
      </c>
      <c r="V1797">
        <v>0.17515329999999901</v>
      </c>
      <c r="W1797">
        <v>0.1702697</v>
      </c>
      <c r="X1797">
        <v>0.96970590000000001</v>
      </c>
      <c r="Y1797">
        <v>0.654941</v>
      </c>
      <c r="Z1797">
        <v>-0.47694389999999998</v>
      </c>
      <c r="AA1797">
        <v>0.58615430000000002</v>
      </c>
      <c r="AB1797">
        <v>34</v>
      </c>
      <c r="AC1797">
        <v>-255.2621</v>
      </c>
      <c r="AD1797">
        <v>136.59743599999999</v>
      </c>
      <c r="AE1797">
        <v>-110.76227</v>
      </c>
      <c r="AF1797">
        <v>172.004074160345</v>
      </c>
      <c r="AG1797">
        <v>136.59743599999999</v>
      </c>
      <c r="AH1797">
        <v>143.84137511100499</v>
      </c>
      <c r="AI1797">
        <v>58.650027401956798</v>
      </c>
      <c r="AJ1797">
        <v>39.904635426137297</v>
      </c>
      <c r="AK1797">
        <v>262.55399871903802</v>
      </c>
      <c r="AL1797">
        <v>80.196499560215301</v>
      </c>
      <c r="AM1797">
        <v>79.761334196207699</v>
      </c>
      <c r="AN1797">
        <v>0.99999999086689495</v>
      </c>
    </row>
    <row r="1798" spans="1:40" x14ac:dyDescent="0.3">
      <c r="A1798" t="str">
        <f>"20200111150832624"</f>
        <v>20200111150832624</v>
      </c>
      <c r="B1798" t="str">
        <f>"1578726512614584"</f>
        <v>1578726512614584</v>
      </c>
      <c r="C1798" t="s">
        <v>40</v>
      </c>
      <c r="D1798">
        <v>4.9289800000000001</v>
      </c>
      <c r="E1798">
        <v>0.80176939999999997</v>
      </c>
      <c r="F1798" t="s">
        <v>80</v>
      </c>
      <c r="G1798">
        <v>-442.37060000000002</v>
      </c>
      <c r="H1798">
        <v>137.03100000000001</v>
      </c>
      <c r="I1798">
        <v>50.91301</v>
      </c>
      <c r="J1798">
        <v>-187.16409999999999</v>
      </c>
      <c r="K1798">
        <v>1.0981030000000001</v>
      </c>
      <c r="L1798">
        <v>159.1086</v>
      </c>
      <c r="M1798">
        <v>-0.28969240000000002</v>
      </c>
      <c r="N1798">
        <v>0</v>
      </c>
      <c r="O1798">
        <v>-0.95702980000000004</v>
      </c>
      <c r="P1798">
        <v>-0.44517390000000001</v>
      </c>
      <c r="Q1798">
        <v>0.16284360000000001</v>
      </c>
      <c r="R1798">
        <v>-0.88051229999999903</v>
      </c>
      <c r="S1798">
        <v>-3.3325960000000001</v>
      </c>
      <c r="T1798">
        <v>1.7746820000000001</v>
      </c>
      <c r="U1798">
        <v>-1.4147639999999999</v>
      </c>
      <c r="V1798">
        <v>0.17601610000000001</v>
      </c>
      <c r="W1798">
        <v>0.1705412</v>
      </c>
      <c r="X1798">
        <v>0.96950190000000003</v>
      </c>
      <c r="Y1798">
        <v>0.65532509999999999</v>
      </c>
      <c r="Z1798">
        <v>-0.47707759999999999</v>
      </c>
      <c r="AA1798">
        <v>0.58561589999999997</v>
      </c>
      <c r="AB1798">
        <v>34</v>
      </c>
      <c r="AC1798">
        <v>-255.20650000000001</v>
      </c>
      <c r="AD1798">
        <v>135.932897</v>
      </c>
      <c r="AE1798">
        <v>-108.19559</v>
      </c>
      <c r="AF1798">
        <v>171.63916825322701</v>
      </c>
      <c r="AG1798">
        <v>135.932897</v>
      </c>
      <c r="AH1798">
        <v>143.084075827258</v>
      </c>
      <c r="AI1798">
        <v>58.687108017472703</v>
      </c>
      <c r="AJ1798">
        <v>39.815702710991197</v>
      </c>
      <c r="AK1798">
        <v>261.55460103162602</v>
      </c>
      <c r="AL1798">
        <v>80.180712467043705</v>
      </c>
      <c r="AM1798">
        <v>79.709854860671996</v>
      </c>
      <c r="AN1798">
        <v>0.99999995123012797</v>
      </c>
    </row>
    <row r="1799" spans="1:40" x14ac:dyDescent="0.3">
      <c r="A1799" t="str">
        <f>"20200111150832637"</f>
        <v>20200111150832637</v>
      </c>
      <c r="B1799" t="str">
        <f>"1578726512625321"</f>
        <v>1578726512625321</v>
      </c>
      <c r="C1799" t="s">
        <v>40</v>
      </c>
      <c r="D1799">
        <v>4.8900309999999996</v>
      </c>
      <c r="E1799">
        <v>0.80176939999999997</v>
      </c>
      <c r="F1799" t="s">
        <v>81</v>
      </c>
      <c r="G1799">
        <v>-370.75729999999999</v>
      </c>
      <c r="H1799">
        <v>98.489369999999994</v>
      </c>
      <c r="I1799">
        <v>82.88485</v>
      </c>
      <c r="J1799">
        <v>-187.22280000000001</v>
      </c>
      <c r="K1799">
        <v>1.098044</v>
      </c>
      <c r="L1799">
        <v>158.93379999999999</v>
      </c>
      <c r="M1799">
        <v>-0.29651850000000002</v>
      </c>
      <c r="N1799">
        <v>0</v>
      </c>
      <c r="O1799">
        <v>-0.95493689999999998</v>
      </c>
      <c r="P1799">
        <v>-0.45240580000000002</v>
      </c>
      <c r="Q1799">
        <v>0.16277920000000001</v>
      </c>
      <c r="R1799">
        <v>-0.87683089999999997</v>
      </c>
      <c r="S1799">
        <v>-3.3439939999999999</v>
      </c>
      <c r="T1799">
        <v>1.7738989999999999</v>
      </c>
      <c r="U1799">
        <v>-1.3883509999999999</v>
      </c>
      <c r="V1799">
        <v>0.17709320000000001</v>
      </c>
      <c r="W1799">
        <v>0.17043410000000001</v>
      </c>
      <c r="X1799">
        <v>0.96932459999999998</v>
      </c>
      <c r="Y1799">
        <v>0.65514830000000002</v>
      </c>
      <c r="Z1799">
        <v>-0.47733330000000002</v>
      </c>
      <c r="AA1799">
        <v>0.5856053</v>
      </c>
      <c r="AB1799">
        <v>34</v>
      </c>
      <c r="AC1799">
        <v>-183.53450000000001</v>
      </c>
      <c r="AD1799">
        <v>97.391326000000007</v>
      </c>
      <c r="AE1799">
        <v>-76.048949999999905</v>
      </c>
      <c r="AF1799">
        <v>123.13515368716</v>
      </c>
      <c r="AG1799">
        <v>97.391326000000007</v>
      </c>
      <c r="AH1799">
        <v>102.43661137610199</v>
      </c>
      <c r="AI1799">
        <v>58.698861765455497</v>
      </c>
      <c r="AJ1799">
        <v>39.757201500044097</v>
      </c>
      <c r="AK1799">
        <v>187.45825082886401</v>
      </c>
      <c r="AL1799">
        <v>80.1869403232499</v>
      </c>
      <c r="AM1799">
        <v>79.646390987137494</v>
      </c>
      <c r="AN1799">
        <v>0.99999998204710405</v>
      </c>
    </row>
    <row r="1800" spans="1:40" x14ac:dyDescent="0.3">
      <c r="A1800" t="str">
        <f>"20200111150832650"</f>
        <v>20200111150832650</v>
      </c>
      <c r="B1800" t="str">
        <f>"1578726512644840"</f>
        <v>1578726512644840</v>
      </c>
      <c r="C1800" t="s">
        <v>40</v>
      </c>
      <c r="D1800">
        <v>4.9567740000000002</v>
      </c>
      <c r="E1800">
        <v>0.80176939999999997</v>
      </c>
      <c r="F1800" t="s">
        <v>81</v>
      </c>
      <c r="G1800">
        <v>-370.75729999999999</v>
      </c>
      <c r="H1800">
        <v>98.007549999999995</v>
      </c>
      <c r="I1800">
        <v>84.522669999999906</v>
      </c>
      <c r="J1800">
        <v>-187.28790000000001</v>
      </c>
      <c r="K1800">
        <v>1.0979859999999999</v>
      </c>
      <c r="L1800">
        <v>158.7457</v>
      </c>
      <c r="M1800">
        <v>-0.30389890000000003</v>
      </c>
      <c r="N1800">
        <v>0</v>
      </c>
      <c r="O1800">
        <v>-0.95261359999999995</v>
      </c>
      <c r="P1800">
        <v>-0.46049509999999999</v>
      </c>
      <c r="Q1800">
        <v>0.16276849999999901</v>
      </c>
      <c r="R1800">
        <v>-0.87261180000000005</v>
      </c>
      <c r="S1800">
        <v>-3.3562769999999902</v>
      </c>
      <c r="T1800">
        <v>1.7721739999999999</v>
      </c>
      <c r="U1800">
        <v>-1.3607479999999901</v>
      </c>
      <c r="V1800">
        <v>0.1785812</v>
      </c>
      <c r="W1800">
        <v>0.17036879999999999</v>
      </c>
      <c r="X1800">
        <v>0.96906300000000001</v>
      </c>
      <c r="Y1800">
        <v>0.65494049999999904</v>
      </c>
      <c r="Z1800">
        <v>-0.47731849999999998</v>
      </c>
      <c r="AA1800">
        <v>0.58584979999999998</v>
      </c>
      <c r="AB1800">
        <v>34</v>
      </c>
      <c r="AC1800">
        <v>-183.46940000000001</v>
      </c>
      <c r="AD1800">
        <v>96.909564000000003</v>
      </c>
      <c r="AE1800">
        <v>-74.223029999999994</v>
      </c>
      <c r="AF1800">
        <v>122.791635802361</v>
      </c>
      <c r="AG1800">
        <v>96.909564000000003</v>
      </c>
      <c r="AH1800">
        <v>102.01395849219099</v>
      </c>
      <c r="AI1800">
        <v>58.739981448045903</v>
      </c>
      <c r="AJ1800">
        <v>39.719434545144999</v>
      </c>
      <c r="AK1800">
        <v>186.75143144012699</v>
      </c>
      <c r="AL1800">
        <v>80.190736807878494</v>
      </c>
      <c r="AM1800">
        <v>79.558544962532807</v>
      </c>
      <c r="AN1800">
        <v>0.99999993548793797</v>
      </c>
    </row>
    <row r="1801" spans="1:40" x14ac:dyDescent="0.3">
      <c r="A1801" t="str">
        <f>"20200111150832667"</f>
        <v>20200111150832667</v>
      </c>
      <c r="B1801" t="str">
        <f>"1578726512654600"</f>
        <v>1578726512654600</v>
      </c>
      <c r="C1801" t="s">
        <v>40</v>
      </c>
      <c r="D1801">
        <v>4.5954839999999999</v>
      </c>
      <c r="E1801">
        <v>0.80176939999999997</v>
      </c>
      <c r="F1801" t="s">
        <v>81</v>
      </c>
      <c r="G1801">
        <v>-370.75729999999999</v>
      </c>
      <c r="H1801">
        <v>97.506780000000006</v>
      </c>
      <c r="I1801">
        <v>86.357929999999996</v>
      </c>
      <c r="J1801">
        <v>-187.37530000000001</v>
      </c>
      <c r="K1801">
        <v>1.0979139999999901</v>
      </c>
      <c r="L1801">
        <v>158.4992</v>
      </c>
      <c r="M1801">
        <v>-0.3136005</v>
      </c>
      <c r="N1801">
        <v>0</v>
      </c>
      <c r="O1801">
        <v>-0.94946350000000002</v>
      </c>
      <c r="P1801">
        <v>-0.47142849999999997</v>
      </c>
      <c r="Q1801">
        <v>0.16305</v>
      </c>
      <c r="R1801">
        <v>-0.86670029999999998</v>
      </c>
      <c r="S1801">
        <v>-3.369583</v>
      </c>
      <c r="T1801">
        <v>1.770635</v>
      </c>
      <c r="U1801">
        <v>-1.3294680000000001</v>
      </c>
      <c r="V1801">
        <v>0.18093490000000001</v>
      </c>
      <c r="W1801">
        <v>0.17056559999999901</v>
      </c>
      <c r="X1801">
        <v>0.96859170000000006</v>
      </c>
      <c r="Y1801">
        <v>0.65367909999999996</v>
      </c>
      <c r="Z1801">
        <v>-0.47733589999999998</v>
      </c>
      <c r="AA1801">
        <v>0.58724270000000001</v>
      </c>
      <c r="AB1801">
        <v>34</v>
      </c>
      <c r="AC1801">
        <v>-183.38200000000001</v>
      </c>
      <c r="AD1801">
        <v>96.408866000000003</v>
      </c>
      <c r="AE1801">
        <v>-72.141269999999906</v>
      </c>
      <c r="AF1801">
        <v>122.24505827904299</v>
      </c>
      <c r="AG1801">
        <v>96.408866000000003</v>
      </c>
      <c r="AH1801">
        <v>101.67859356545</v>
      </c>
      <c r="AI1801">
        <v>58.770377219852698</v>
      </c>
      <c r="AJ1801">
        <v>39.752341529967701</v>
      </c>
      <c r="AK1801">
        <v>185.94907933759899</v>
      </c>
      <c r="AL1801">
        <v>80.179293864520204</v>
      </c>
      <c r="AM1801">
        <v>79.418981922028294</v>
      </c>
      <c r="AN1801">
        <v>0.99999997162512899</v>
      </c>
    </row>
    <row r="1802" spans="1:40" x14ac:dyDescent="0.3">
      <c r="A1802" t="str">
        <f>"20200111150832927"</f>
        <v>20200111150832927</v>
      </c>
      <c r="B1802" t="str">
        <f>"1578726512924953"</f>
        <v>1578726512924953</v>
      </c>
      <c r="C1802" t="s">
        <v>40</v>
      </c>
      <c r="D1802">
        <v>4.7669350000000001</v>
      </c>
      <c r="E1802">
        <v>0.69674099999999894</v>
      </c>
      <c r="F1802" t="s">
        <v>81</v>
      </c>
      <c r="G1802">
        <v>-371.88749999999999</v>
      </c>
      <c r="H1802">
        <v>97.497150000000005</v>
      </c>
      <c r="I1802">
        <v>88.42492</v>
      </c>
      <c r="J1802">
        <v>-189.04580000000001</v>
      </c>
      <c r="K1802">
        <v>1.097404</v>
      </c>
      <c r="L1802">
        <v>154.81620000000001</v>
      </c>
      <c r="M1802">
        <v>-0.4607831</v>
      </c>
      <c r="N1802">
        <v>0</v>
      </c>
      <c r="O1802">
        <v>-0.88741289999999995</v>
      </c>
      <c r="P1802">
        <v>-0.62721289999999996</v>
      </c>
      <c r="Q1802">
        <v>0.16192719999999999</v>
      </c>
      <c r="R1802">
        <v>-0.76182930000000004</v>
      </c>
      <c r="S1802">
        <v>-3.3868710000000002</v>
      </c>
      <c r="T1802">
        <v>1.76948699999999</v>
      </c>
      <c r="U1802">
        <v>-1.28627</v>
      </c>
      <c r="V1802">
        <v>0.2108228</v>
      </c>
      <c r="W1802">
        <v>0.16840720000000001</v>
      </c>
      <c r="X1802">
        <v>0.9629084</v>
      </c>
      <c r="Y1802">
        <v>0.55132930000000002</v>
      </c>
      <c r="Z1802">
        <v>-0.4619608</v>
      </c>
      <c r="AA1802">
        <v>0.69471450000000001</v>
      </c>
      <c r="AB1802">
        <v>34</v>
      </c>
      <c r="AC1802">
        <v>-182.8417</v>
      </c>
      <c r="AD1802">
        <v>96.399745999999993</v>
      </c>
      <c r="AE1802">
        <v>-66.391279999999995</v>
      </c>
      <c r="AF1802">
        <v>105.71344749239501</v>
      </c>
      <c r="AG1802">
        <v>96.399745999999993</v>
      </c>
      <c r="AH1802">
        <v>114.949027225126</v>
      </c>
      <c r="AI1802">
        <v>58.313787793581</v>
      </c>
      <c r="AJ1802">
        <v>47.396651630178702</v>
      </c>
      <c r="AK1802">
        <v>183.52526493536101</v>
      </c>
      <c r="AL1802">
        <v>80.304775942875494</v>
      </c>
      <c r="AM1802">
        <v>77.650317675232998</v>
      </c>
      <c r="AN1802">
        <v>0.99999991240111596</v>
      </c>
    </row>
    <row r="1803" spans="1:40" x14ac:dyDescent="0.3">
      <c r="A1803" t="str">
        <f>"20200111150832949"</f>
        <v>20200111150832949</v>
      </c>
      <c r="B1803" t="str">
        <f>"1578726512944471"</f>
        <v>1578726512944471</v>
      </c>
      <c r="C1803" t="s">
        <v>40</v>
      </c>
      <c r="D1803">
        <v>5.0176239999999996</v>
      </c>
      <c r="E1803">
        <v>0.71510339999999994</v>
      </c>
      <c r="F1803" t="s">
        <v>82</v>
      </c>
      <c r="G1803">
        <v>-277.27769999999998</v>
      </c>
      <c r="H1803">
        <v>2.3911799999999999</v>
      </c>
      <c r="I1803">
        <v>117.5295</v>
      </c>
      <c r="J1803">
        <v>-189.20949999999999</v>
      </c>
      <c r="K1803">
        <v>1.0973900000000001</v>
      </c>
      <c r="L1803">
        <v>154.52529999999999</v>
      </c>
      <c r="M1803">
        <v>-0.4724855</v>
      </c>
      <c r="N1803">
        <v>0</v>
      </c>
      <c r="O1803">
        <v>-0.88123770000000001</v>
      </c>
      <c r="P1803">
        <v>-0.63824139999999996</v>
      </c>
      <c r="Q1803">
        <v>0.16165099999999999</v>
      </c>
      <c r="R1803">
        <v>-0.7526735</v>
      </c>
      <c r="S1803">
        <v>-3.1528019999999999</v>
      </c>
      <c r="T1803">
        <v>4.6230439999999998E-2</v>
      </c>
      <c r="U1803">
        <v>-1.3323670000000001</v>
      </c>
      <c r="V1803">
        <v>0.2120746</v>
      </c>
      <c r="W1803">
        <v>0.16808899999999999</v>
      </c>
      <c r="X1803">
        <v>0.96268920000000002</v>
      </c>
      <c r="Y1803">
        <v>0.62776399999999999</v>
      </c>
      <c r="Z1803">
        <v>-1.415566E-2</v>
      </c>
      <c r="AA1803">
        <v>0.77827500000000005</v>
      </c>
      <c r="AB1803">
        <v>34</v>
      </c>
      <c r="AC1803">
        <v>-88.068199999999905</v>
      </c>
      <c r="AD1803">
        <v>1.29379</v>
      </c>
      <c r="AE1803">
        <v>-36.995799999999903</v>
      </c>
      <c r="AF1803">
        <v>60.123348759436396</v>
      </c>
      <c r="AG1803">
        <v>1.29379</v>
      </c>
      <c r="AH1803">
        <v>74.206018210696598</v>
      </c>
      <c r="AI1803">
        <v>89.223877465772404</v>
      </c>
      <c r="AJ1803">
        <v>50.984847662507804</v>
      </c>
      <c r="AK1803">
        <v>95.514522965354104</v>
      </c>
      <c r="AL1803">
        <v>80.323272185445006</v>
      </c>
      <c r="AM1803">
        <v>77.576518263044505</v>
      </c>
      <c r="AN1803">
        <v>1.00000002184139</v>
      </c>
    </row>
    <row r="1804" spans="1:40" x14ac:dyDescent="0.3">
      <c r="A1804" t="str">
        <f>"20200111150832968"</f>
        <v>20200111150832968</v>
      </c>
      <c r="B1804" t="str">
        <f>"1578726512964968"</f>
        <v>1578726512964968</v>
      </c>
      <c r="C1804" t="s">
        <v>40</v>
      </c>
      <c r="D1804">
        <v>4.8378249999999996</v>
      </c>
      <c r="E1804">
        <v>0.71199499999999905</v>
      </c>
      <c r="F1804" t="s">
        <v>45</v>
      </c>
      <c r="G1804">
        <v>-285.25229999999999</v>
      </c>
      <c r="H1804">
        <v>0.75632999999999995</v>
      </c>
      <c r="I1804">
        <v>119.5925</v>
      </c>
      <c r="J1804">
        <v>-189.35589999999999</v>
      </c>
      <c r="K1804">
        <v>1.097377</v>
      </c>
      <c r="L1804">
        <v>154.2723</v>
      </c>
      <c r="M1804">
        <v>-0.48266690000000001</v>
      </c>
      <c r="N1804">
        <v>0</v>
      </c>
      <c r="O1804">
        <v>-0.8757026</v>
      </c>
      <c r="P1804">
        <v>-0.64751210000000003</v>
      </c>
      <c r="Q1804">
        <v>0.16128319999999999</v>
      </c>
      <c r="R1804">
        <v>-0.74479259999999903</v>
      </c>
      <c r="S1804">
        <v>-3.29155</v>
      </c>
      <c r="T1804">
        <v>-1.168871E-2</v>
      </c>
      <c r="U1804">
        <v>-1.1972050000000001</v>
      </c>
      <c r="V1804">
        <v>0.2127925</v>
      </c>
      <c r="W1804">
        <v>0.16769790000000001</v>
      </c>
      <c r="X1804">
        <v>0.96259899999999998</v>
      </c>
      <c r="Y1804">
        <v>0.65802749999999999</v>
      </c>
      <c r="Z1804">
        <v>3.527367E-3</v>
      </c>
      <c r="AA1804">
        <v>0.75298569999999998</v>
      </c>
      <c r="AB1804">
        <v>34</v>
      </c>
      <c r="AC1804">
        <v>-95.8964</v>
      </c>
      <c r="AD1804">
        <v>-0.34104699999999999</v>
      </c>
      <c r="AE1804">
        <v>-34.6798</v>
      </c>
      <c r="AF1804">
        <v>67.243155318433594</v>
      </c>
      <c r="AG1804">
        <v>-0.34104699999999999</v>
      </c>
      <c r="AH1804">
        <v>76.661160320017899</v>
      </c>
      <c r="AI1804">
        <v>90.1916233036888</v>
      </c>
      <c r="AJ1804">
        <v>48.744456754583801</v>
      </c>
      <c r="AK1804">
        <v>101.973975855836</v>
      </c>
      <c r="AL1804">
        <v>80.3460033493065</v>
      </c>
      <c r="AM1804">
        <v>77.534643930826903</v>
      </c>
      <c r="AN1804">
        <v>1.00000003426082</v>
      </c>
    </row>
    <row r="1805" spans="1:40" x14ac:dyDescent="0.3">
      <c r="A1805" t="str">
        <f>"20200111150832984"</f>
        <v>20200111150832984</v>
      </c>
      <c r="B1805" t="str">
        <f>"1578726512974729"</f>
        <v>1578726512974729</v>
      </c>
      <c r="C1805" t="s">
        <v>40</v>
      </c>
      <c r="D1805">
        <v>4.9382820000000001</v>
      </c>
      <c r="E1805">
        <v>0.71060100000000004</v>
      </c>
      <c r="F1805" t="s">
        <v>45</v>
      </c>
      <c r="G1805">
        <v>-285.52350000000001</v>
      </c>
      <c r="H1805">
        <v>0.26777060000000003</v>
      </c>
      <c r="I1805">
        <v>119.94370000000001</v>
      </c>
      <c r="J1805">
        <v>-189.47980000000001</v>
      </c>
      <c r="K1805">
        <v>1.097369</v>
      </c>
      <c r="L1805">
        <v>154.0634</v>
      </c>
      <c r="M1805">
        <v>-0.49108020000000002</v>
      </c>
      <c r="N1805">
        <v>0</v>
      </c>
      <c r="O1805">
        <v>-0.87101229999999996</v>
      </c>
      <c r="P1805">
        <v>-0.65483719999999901</v>
      </c>
      <c r="Q1805">
        <v>0.16098680000000001</v>
      </c>
      <c r="R1805">
        <v>-0.738425</v>
      </c>
      <c r="S1805">
        <v>-3.289536</v>
      </c>
      <c r="T1805">
        <v>-2.837777E-2</v>
      </c>
      <c r="U1805">
        <v>-1.1742549999999901</v>
      </c>
      <c r="V1805">
        <v>0.2129897</v>
      </c>
      <c r="W1805">
        <v>0.16739609999999999</v>
      </c>
      <c r="X1805">
        <v>0.96260789999999996</v>
      </c>
      <c r="Y1805">
        <v>0.65523920000000002</v>
      </c>
      <c r="Z1805">
        <v>8.5664160000000003E-3</v>
      </c>
      <c r="AA1805">
        <v>0.75537290000000001</v>
      </c>
      <c r="AB1805">
        <v>34</v>
      </c>
      <c r="AC1805">
        <v>-96.043700000000001</v>
      </c>
      <c r="AD1805">
        <v>-0.82959839999999996</v>
      </c>
      <c r="AE1805">
        <v>-34.119699999999902</v>
      </c>
      <c r="AF1805">
        <v>66.901251307315107</v>
      </c>
      <c r="AG1805">
        <v>-0.82959839999999996</v>
      </c>
      <c r="AH1805">
        <v>76.885580449507501</v>
      </c>
      <c r="AI1805">
        <v>90.466371850109894</v>
      </c>
      <c r="AJ1805">
        <v>48.972151917641703</v>
      </c>
      <c r="AK1805">
        <v>101.92084252520399</v>
      </c>
      <c r="AL1805">
        <v>80.363542996731098</v>
      </c>
      <c r="AM1805">
        <v>77.523565297500497</v>
      </c>
      <c r="AN1805">
        <v>1.00000001787185</v>
      </c>
    </row>
    <row r="1806" spans="1:40" x14ac:dyDescent="0.3">
      <c r="A1806" t="str">
        <f>"20200111150832996"</f>
        <v>20200111150832996</v>
      </c>
      <c r="B1806" t="str">
        <f>"1578726512984488"</f>
        <v>1578726512984488</v>
      </c>
      <c r="C1806" t="s">
        <v>40</v>
      </c>
      <c r="D1806">
        <v>4.9528509999999999</v>
      </c>
      <c r="E1806">
        <v>0.70899939999999995</v>
      </c>
      <c r="F1806" t="s">
        <v>44</v>
      </c>
      <c r="G1806">
        <v>-285.46260000000001</v>
      </c>
      <c r="H1806">
        <v>-0.05</v>
      </c>
      <c r="I1806">
        <v>120.55070000000001</v>
      </c>
      <c r="J1806">
        <v>-189.57929999999999</v>
      </c>
      <c r="K1806">
        <v>1.0973599999999999</v>
      </c>
      <c r="L1806">
        <v>153.89859999999999</v>
      </c>
      <c r="M1806">
        <v>-0.49771480000000001</v>
      </c>
      <c r="N1806">
        <v>0</v>
      </c>
      <c r="O1806">
        <v>-0.86723819999999996</v>
      </c>
      <c r="P1806">
        <v>-0.66035719999999898</v>
      </c>
      <c r="Q1806">
        <v>0.16079789999999999</v>
      </c>
      <c r="R1806">
        <v>-0.73353419999999903</v>
      </c>
      <c r="S1806">
        <v>-3.294022</v>
      </c>
      <c r="T1806">
        <v>-3.9376380000000002E-2</v>
      </c>
      <c r="U1806">
        <v>-1.1501159999999999</v>
      </c>
      <c r="V1806">
        <v>0.21283640000000001</v>
      </c>
      <c r="W1806">
        <v>0.16721279999999999</v>
      </c>
      <c r="X1806">
        <v>0.96267369999999997</v>
      </c>
      <c r="Y1806">
        <v>0.65468590000000004</v>
      </c>
      <c r="Z1806">
        <v>1.18823E-2</v>
      </c>
      <c r="AA1806">
        <v>0.75580760000000002</v>
      </c>
      <c r="AB1806">
        <v>34</v>
      </c>
      <c r="AC1806">
        <v>-95.883300000000006</v>
      </c>
      <c r="AD1806">
        <v>-1.1473599999999999</v>
      </c>
      <c r="AE1806">
        <v>-33.347899999999903</v>
      </c>
      <c r="AF1806">
        <v>66.553336039673098</v>
      </c>
      <c r="AG1806">
        <v>-1.1473599999999999</v>
      </c>
      <c r="AH1806">
        <v>76.640137980983198</v>
      </c>
      <c r="AI1806">
        <v>90.647620793593703</v>
      </c>
      <c r="AJ1806">
        <v>49.029360369857201</v>
      </c>
      <c r="AK1806">
        <v>101.5104611492</v>
      </c>
      <c r="AL1806">
        <v>80.374195799287193</v>
      </c>
      <c r="AM1806">
        <v>77.533089893880302</v>
      </c>
      <c r="AN1806">
        <v>1.00000005316024</v>
      </c>
    </row>
    <row r="1807" spans="1:40" x14ac:dyDescent="0.3">
      <c r="A1807" t="str">
        <f>"20200111150833015"</f>
        <v>20200111150833015</v>
      </c>
      <c r="B1807" t="str">
        <f>"1578726513004987"</f>
        <v>1578726513004987</v>
      </c>
      <c r="C1807" t="s">
        <v>40</v>
      </c>
      <c r="D1807">
        <v>5.0748949999999997</v>
      </c>
      <c r="E1807">
        <v>0.7092463</v>
      </c>
      <c r="F1807" t="s">
        <v>43</v>
      </c>
      <c r="G1807">
        <v>-261.34399999999999</v>
      </c>
      <c r="H1807">
        <v>7.9986459999999995E-2</v>
      </c>
      <c r="I1807">
        <v>129.1832</v>
      </c>
      <c r="J1807">
        <v>-189.73009999999999</v>
      </c>
      <c r="K1807">
        <v>1.097353</v>
      </c>
      <c r="L1807">
        <v>153.655</v>
      </c>
      <c r="M1807">
        <v>-0.5075364</v>
      </c>
      <c r="N1807">
        <v>0</v>
      </c>
      <c r="O1807">
        <v>-0.86152709999999999</v>
      </c>
      <c r="P1807">
        <v>-0.66850330000000002</v>
      </c>
      <c r="Q1807">
        <v>0.16033459999999999</v>
      </c>
      <c r="R1807">
        <v>-0.72622050000000005</v>
      </c>
      <c r="S1807">
        <v>-3.2941590000000001</v>
      </c>
      <c r="T1807">
        <v>-4.669976E-2</v>
      </c>
      <c r="U1807">
        <v>-1.1344909999999999</v>
      </c>
      <c r="V1807">
        <v>0.2125785</v>
      </c>
      <c r="W1807">
        <v>0.1667595</v>
      </c>
      <c r="X1807">
        <v>0.96280929999999998</v>
      </c>
      <c r="Y1807">
        <v>0.64926139999999999</v>
      </c>
      <c r="Z1807">
        <v>1.405701E-2</v>
      </c>
      <c r="AA1807">
        <v>0.76043539999999998</v>
      </c>
      <c r="AB1807">
        <v>34</v>
      </c>
      <c r="AC1807">
        <v>-71.613900000000001</v>
      </c>
      <c r="AD1807">
        <v>-1.01736654</v>
      </c>
      <c r="AE1807">
        <v>-24.471800000000002</v>
      </c>
      <c r="AF1807">
        <v>49.272464758561597</v>
      </c>
      <c r="AG1807">
        <v>-1.01736654</v>
      </c>
      <c r="AH1807">
        <v>57.424510243612502</v>
      </c>
      <c r="AI1807">
        <v>90.770323039409305</v>
      </c>
      <c r="AJ1807">
        <v>49.369122094202702</v>
      </c>
      <c r="AK1807">
        <v>75.672882823235696</v>
      </c>
      <c r="AL1807">
        <v>80.400537795245498</v>
      </c>
      <c r="AM1807">
        <v>77.549423976904194</v>
      </c>
      <c r="AN1807">
        <v>1.00000004883449</v>
      </c>
    </row>
    <row r="1808" spans="1:40" x14ac:dyDescent="0.3">
      <c r="A1808" t="str">
        <f>"20200111150833034"</f>
        <v>20200111150833034</v>
      </c>
      <c r="B1808" t="str">
        <f>"1578726513024504"</f>
        <v>1578726513024504</v>
      </c>
      <c r="C1808" t="s">
        <v>40</v>
      </c>
      <c r="D1808">
        <v>5.0487929999999999</v>
      </c>
      <c r="E1808">
        <v>0.71017589999999997</v>
      </c>
      <c r="F1808" t="s">
        <v>43</v>
      </c>
      <c r="G1808">
        <v>-248.27799999999999</v>
      </c>
      <c r="H1808" s="1">
        <v>-1.9999340000000002E-6</v>
      </c>
      <c r="I1808">
        <v>134.24979999999999</v>
      </c>
      <c r="J1808">
        <v>-189.88810000000001</v>
      </c>
      <c r="K1808">
        <v>1.0973470000000001</v>
      </c>
      <c r="L1808">
        <v>153.4058</v>
      </c>
      <c r="M1808">
        <v>-0.51758490000000001</v>
      </c>
      <c r="N1808">
        <v>0</v>
      </c>
      <c r="O1808">
        <v>-0.85552790000000001</v>
      </c>
      <c r="P1808">
        <v>-0.67675479999999999</v>
      </c>
      <c r="Q1808">
        <v>0.1604795</v>
      </c>
      <c r="R1808">
        <v>-0.71850519999999996</v>
      </c>
      <c r="S1808">
        <v>-3.3105319999999998</v>
      </c>
      <c r="T1808">
        <v>-6.204879E-2</v>
      </c>
      <c r="U1808">
        <v>-1.0972440000000001</v>
      </c>
      <c r="V1808">
        <v>0.2123293</v>
      </c>
      <c r="W1808">
        <v>0.16691329999999999</v>
      </c>
      <c r="X1808">
        <v>0.96283759999999996</v>
      </c>
      <c r="Y1808">
        <v>0.64912289999999995</v>
      </c>
      <c r="Z1808">
        <v>1.8615369999999999E-2</v>
      </c>
      <c r="AA1808">
        <v>0.76045569999999996</v>
      </c>
      <c r="AB1808">
        <v>34</v>
      </c>
      <c r="AC1808">
        <v>-58.389899999999898</v>
      </c>
      <c r="AD1808">
        <v>-1.09734899993399</v>
      </c>
      <c r="AE1808">
        <v>-19.155999999999999</v>
      </c>
      <c r="AF1808">
        <v>40.030129256840802</v>
      </c>
      <c r="AG1808">
        <v>-1.09734899993399</v>
      </c>
      <c r="AH1808">
        <v>46.599509777317699</v>
      </c>
      <c r="AI1808">
        <v>91.0233508509356</v>
      </c>
      <c r="AJ1808">
        <v>49.336607569217001</v>
      </c>
      <c r="AK1808">
        <v>61.442084393625301</v>
      </c>
      <c r="AL1808">
        <v>80.391600093337402</v>
      </c>
      <c r="AM1808">
        <v>77.563919227832997</v>
      </c>
      <c r="AN1808">
        <v>1.0000000126645701</v>
      </c>
    </row>
    <row r="1809" spans="1:40" x14ac:dyDescent="0.3">
      <c r="A1809" t="str">
        <f>"20200111150833047"</f>
        <v>20200111150833047</v>
      </c>
      <c r="B1809" t="str">
        <f>"1578726513045000"</f>
        <v>1578726513045000</v>
      </c>
      <c r="C1809" t="s">
        <v>40</v>
      </c>
      <c r="D1809">
        <v>5.1024719999999997</v>
      </c>
      <c r="E1809">
        <v>0.71079869999999901</v>
      </c>
      <c r="F1809" t="s">
        <v>43</v>
      </c>
      <c r="G1809">
        <v>-243.02250000000001</v>
      </c>
      <c r="H1809" s="1">
        <v>-3.5158030000000002E-6</v>
      </c>
      <c r="I1809">
        <v>136.571</v>
      </c>
      <c r="J1809">
        <v>-190.001</v>
      </c>
      <c r="K1809">
        <v>1.0973409999999999</v>
      </c>
      <c r="L1809">
        <v>153.23179999999999</v>
      </c>
      <c r="M1809">
        <v>-0.52460569999999995</v>
      </c>
      <c r="N1809">
        <v>0</v>
      </c>
      <c r="O1809">
        <v>-0.85124069999999996</v>
      </c>
      <c r="P1809">
        <v>-0.68264590000000003</v>
      </c>
      <c r="Q1809">
        <v>0.1602864</v>
      </c>
      <c r="R1809">
        <v>-0.71295339999999996</v>
      </c>
      <c r="S1809">
        <v>-3.3293149999999998</v>
      </c>
      <c r="T1809">
        <v>-6.8758250000000007E-2</v>
      </c>
      <c r="U1809">
        <v>-1.05484</v>
      </c>
      <c r="V1809">
        <v>0.21230550000000001</v>
      </c>
      <c r="W1809">
        <v>0.16672290000000001</v>
      </c>
      <c r="X1809">
        <v>0.96287579999999995</v>
      </c>
      <c r="Y1809">
        <v>0.65286769999999905</v>
      </c>
      <c r="Z1809">
        <v>2.059503E-2</v>
      </c>
      <c r="AA1809">
        <v>0.75719199999999998</v>
      </c>
      <c r="AB1809">
        <v>34</v>
      </c>
      <c r="AC1809">
        <v>-53.021500000000003</v>
      </c>
      <c r="AD1809">
        <v>-1.097344515803</v>
      </c>
      <c r="AE1809">
        <v>-16.660799999999899</v>
      </c>
      <c r="AF1809">
        <v>36.382766476093401</v>
      </c>
      <c r="AG1809">
        <v>-1.097344515803</v>
      </c>
      <c r="AH1809">
        <v>41.985105692737797</v>
      </c>
      <c r="AI1809">
        <v>91.131564202209205</v>
      </c>
      <c r="AJ1809">
        <v>49.088987591045097</v>
      </c>
      <c r="AK1809">
        <v>55.566707311758897</v>
      </c>
      <c r="AL1809">
        <v>80.402663912680595</v>
      </c>
      <c r="AM1809">
        <v>77.565747802258599</v>
      </c>
      <c r="AN1809">
        <v>0.99999997847014899</v>
      </c>
    </row>
    <row r="1810" spans="1:40" x14ac:dyDescent="0.3">
      <c r="A1810" t="str">
        <f>"20200111150833063"</f>
        <v>20200111150833063</v>
      </c>
      <c r="B1810" t="str">
        <f>"1578726513054761"</f>
        <v>1578726513054761</v>
      </c>
      <c r="C1810" t="s">
        <v>40</v>
      </c>
      <c r="D1810">
        <v>4.8382639999999997</v>
      </c>
      <c r="E1810">
        <v>0.70974490000000001</v>
      </c>
      <c r="F1810" t="s">
        <v>43</v>
      </c>
      <c r="G1810">
        <v>-239.43610000000001</v>
      </c>
      <c r="H1810" s="1">
        <v>-5.8590749999999997E-7</v>
      </c>
      <c r="I1810">
        <v>138.0831</v>
      </c>
      <c r="J1810">
        <v>-190.1292</v>
      </c>
      <c r="K1810">
        <v>1.0973409999999999</v>
      </c>
      <c r="L1810">
        <v>153.0376</v>
      </c>
      <c r="M1810">
        <v>-0.53244159999999996</v>
      </c>
      <c r="N1810">
        <v>0</v>
      </c>
      <c r="O1810">
        <v>-0.84636139999999904</v>
      </c>
      <c r="P1810">
        <v>-0.68925369999999997</v>
      </c>
      <c r="Q1810">
        <v>0.1603753</v>
      </c>
      <c r="R1810">
        <v>-0.70654709999999998</v>
      </c>
      <c r="S1810">
        <v>-3.3423919999999998</v>
      </c>
      <c r="T1810">
        <v>-7.4193239999999994E-2</v>
      </c>
      <c r="U1810">
        <v>-1.0242309999999999</v>
      </c>
      <c r="V1810">
        <v>0.21239520000000001</v>
      </c>
      <c r="W1810">
        <v>0.1668094</v>
      </c>
      <c r="X1810">
        <v>0.96284110000000001</v>
      </c>
      <c r="Y1810">
        <v>0.65301569999999998</v>
      </c>
      <c r="Z1810">
        <v>2.2160550000000001E-2</v>
      </c>
      <c r="AA1810">
        <v>0.75702009999999997</v>
      </c>
      <c r="AB1810">
        <v>34</v>
      </c>
      <c r="AC1810">
        <v>-49.306899999999999</v>
      </c>
      <c r="AD1810">
        <v>-1.0973415859075</v>
      </c>
      <c r="AE1810">
        <v>-14.9544999999999</v>
      </c>
      <c r="AF1810">
        <v>33.756759035999103</v>
      </c>
      <c r="AG1810">
        <v>-1.0973415859075</v>
      </c>
      <c r="AH1810">
        <v>38.895783803353801</v>
      </c>
      <c r="AI1810">
        <v>91.220616365323394</v>
      </c>
      <c r="AJ1810">
        <v>49.046036369364302</v>
      </c>
      <c r="AK1810">
        <v>51.513153047041399</v>
      </c>
      <c r="AL1810">
        <v>80.397638039414801</v>
      </c>
      <c r="AM1810">
        <v>77.560223432171199</v>
      </c>
      <c r="AN1810">
        <v>1.0000000403803</v>
      </c>
    </row>
    <row r="1811" spans="1:40" x14ac:dyDescent="0.3">
      <c r="A1811" t="str">
        <f>"20200111150833337"</f>
        <v>20200111150833337</v>
      </c>
      <c r="B1811" t="str">
        <f>"1578726513334872"</f>
        <v>1578726513334872</v>
      </c>
      <c r="C1811" t="s">
        <v>40</v>
      </c>
      <c r="D1811">
        <v>4.9444949999999999</v>
      </c>
      <c r="E1811">
        <v>0.71374979999999999</v>
      </c>
      <c r="F1811" t="s">
        <v>43</v>
      </c>
      <c r="G1811">
        <v>-244.81319999999999</v>
      </c>
      <c r="H1811" s="1">
        <v>-2.7219210000000001E-6</v>
      </c>
      <c r="I1811">
        <v>136.7159</v>
      </c>
      <c r="J1811">
        <v>-192.77629999999999</v>
      </c>
      <c r="K1811">
        <v>1.0973250000000001</v>
      </c>
      <c r="L1811">
        <v>149.7165</v>
      </c>
      <c r="M1811">
        <v>-0.66701299999999997</v>
      </c>
      <c r="N1811">
        <v>0</v>
      </c>
      <c r="O1811">
        <v>-0.74492630000000004</v>
      </c>
      <c r="P1811">
        <v>-0.79528900000000002</v>
      </c>
      <c r="Q1811">
        <v>0.16012950000000001</v>
      </c>
      <c r="R1811">
        <v>-0.58469989999999905</v>
      </c>
      <c r="S1811">
        <v>-3.3447719999999999</v>
      </c>
      <c r="T1811">
        <v>-6.7119600000000001E-2</v>
      </c>
      <c r="U1811">
        <v>-0.99832149999999997</v>
      </c>
      <c r="V1811">
        <v>0.2076557</v>
      </c>
      <c r="W1811">
        <v>0.16673929999999901</v>
      </c>
      <c r="X1811">
        <v>0.96388640000000003</v>
      </c>
      <c r="Y1811">
        <v>0.52289160000000001</v>
      </c>
      <c r="Z1811">
        <v>1.794399E-2</v>
      </c>
      <c r="AA1811">
        <v>0.85221029999999998</v>
      </c>
      <c r="AB1811">
        <v>34</v>
      </c>
      <c r="AC1811">
        <v>-52.036900000000003</v>
      </c>
      <c r="AD1811">
        <v>-1.097327721921</v>
      </c>
      <c r="AE1811">
        <v>-13.000599999999899</v>
      </c>
      <c r="AF1811">
        <v>30.082180617570401</v>
      </c>
      <c r="AG1811">
        <v>-1.097327721921</v>
      </c>
      <c r="AH1811">
        <v>44.3791643245941</v>
      </c>
      <c r="AI1811">
        <v>91.172522369259198</v>
      </c>
      <c r="AJ1811">
        <v>55.868826250400303</v>
      </c>
      <c r="AK1811">
        <v>53.625105547558199</v>
      </c>
      <c r="AL1811">
        <v>80.401710530239896</v>
      </c>
      <c r="AM1811">
        <v>77.842252146717499</v>
      </c>
      <c r="AN1811">
        <v>0.99999993800596798</v>
      </c>
    </row>
    <row r="1812" spans="1:40" x14ac:dyDescent="0.3">
      <c r="A1812" t="str">
        <f>"20200111150833352"</f>
        <v>20200111150833352</v>
      </c>
      <c r="B1812" t="str">
        <f>"1578726513344632"</f>
        <v>1578726513344632</v>
      </c>
      <c r="C1812" t="s">
        <v>40</v>
      </c>
      <c r="D1812">
        <v>4.9602440000000003</v>
      </c>
      <c r="E1812">
        <v>0.71506119999999995</v>
      </c>
      <c r="F1812" t="s">
        <v>43</v>
      </c>
      <c r="G1812">
        <v>-253.54089999999999</v>
      </c>
      <c r="H1812" s="1">
        <v>-3.5245220000000001E-6</v>
      </c>
      <c r="I1812">
        <v>142.51490000000001</v>
      </c>
      <c r="J1812">
        <v>-192.92869999999999</v>
      </c>
      <c r="K1812">
        <v>1.097326</v>
      </c>
      <c r="L1812">
        <v>149.55709999999999</v>
      </c>
      <c r="M1812">
        <v>-0.67350849999999995</v>
      </c>
      <c r="N1812">
        <v>0</v>
      </c>
      <c r="O1812">
        <v>-0.73905880000000002</v>
      </c>
      <c r="P1812">
        <v>-0.80047669999999904</v>
      </c>
      <c r="Q1812">
        <v>0.1599267</v>
      </c>
      <c r="R1812">
        <v>-0.57763390000000003</v>
      </c>
      <c r="S1812">
        <v>-3.481522</v>
      </c>
      <c r="T1812">
        <v>-6.2871689999999994E-2</v>
      </c>
      <c r="U1812">
        <v>-0.4126129</v>
      </c>
      <c r="V1812">
        <v>0.20777780000000001</v>
      </c>
      <c r="W1812">
        <v>0.166533399999999</v>
      </c>
      <c r="X1812">
        <v>0.96389570000000002</v>
      </c>
      <c r="Y1812">
        <v>0.65451839999999994</v>
      </c>
      <c r="Z1812">
        <v>1.775558E-2</v>
      </c>
      <c r="AA1812">
        <v>0.7558376</v>
      </c>
      <c r="AB1812">
        <v>34</v>
      </c>
      <c r="AC1812">
        <v>-60.612200000000001</v>
      </c>
      <c r="AD1812">
        <v>-1.0973295245220001</v>
      </c>
      <c r="AE1812">
        <v>-7.0421999999999798</v>
      </c>
      <c r="AF1812">
        <v>40.043621423667702</v>
      </c>
      <c r="AG1812">
        <v>-1.0973295245220001</v>
      </c>
      <c r="AH1812">
        <v>46.016656294300297</v>
      </c>
      <c r="AI1812">
        <v>91.030579752171406</v>
      </c>
      <c r="AJ1812">
        <v>48.970260890914297</v>
      </c>
      <c r="AK1812">
        <v>61.010068065157697</v>
      </c>
      <c r="AL1812">
        <v>80.413675169006396</v>
      </c>
      <c r="AM1812">
        <v>77.835430195033794</v>
      </c>
      <c r="AN1812">
        <v>0.99999995398344399</v>
      </c>
    </row>
    <row r="1813" spans="1:40" x14ac:dyDescent="0.3">
      <c r="A1813" t="str">
        <f>"20200111150833374"</f>
        <v>20200111150833374</v>
      </c>
      <c r="B1813" t="str">
        <f>"1578726513365128"</f>
        <v>1578726513365128</v>
      </c>
      <c r="C1813" t="s">
        <v>40</v>
      </c>
      <c r="D1813">
        <v>5.0164470000000003</v>
      </c>
      <c r="E1813">
        <v>0.71745019999999904</v>
      </c>
      <c r="F1813" t="s">
        <v>43</v>
      </c>
      <c r="G1813">
        <v>-254.5711</v>
      </c>
      <c r="H1813" s="1">
        <v>-3.2038600000000001E-6</v>
      </c>
      <c r="I1813">
        <v>142.9708</v>
      </c>
      <c r="J1813">
        <v>-193.17400000000001</v>
      </c>
      <c r="K1813">
        <v>1.0973189999999999</v>
      </c>
      <c r="L1813">
        <v>149.3056</v>
      </c>
      <c r="M1813">
        <v>-0.68375069999999905</v>
      </c>
      <c r="N1813">
        <v>0</v>
      </c>
      <c r="O1813">
        <v>-0.72959339999999995</v>
      </c>
      <c r="P1813">
        <v>-0.8084884</v>
      </c>
      <c r="Q1813">
        <v>0.15983159999999999</v>
      </c>
      <c r="R1813">
        <v>-0.56639240000000002</v>
      </c>
      <c r="S1813">
        <v>-3.4910130000000001</v>
      </c>
      <c r="T1813">
        <v>-6.2145350000000002E-2</v>
      </c>
      <c r="U1813">
        <v>-0.37300109999999997</v>
      </c>
      <c r="V1813">
        <v>0.20781289999999999</v>
      </c>
      <c r="W1813">
        <v>0.166438</v>
      </c>
      <c r="X1813">
        <v>0.96390469999999895</v>
      </c>
      <c r="Y1813">
        <v>0.65268859999999995</v>
      </c>
      <c r="Z1813">
        <v>1.740891E-2</v>
      </c>
      <c r="AA1813">
        <v>0.7574263</v>
      </c>
      <c r="AB1813">
        <v>34</v>
      </c>
      <c r="AC1813">
        <v>-61.397100000000002</v>
      </c>
      <c r="AD1813">
        <v>-1.0973222038599999</v>
      </c>
      <c r="AE1813">
        <v>-6.3348000000000004</v>
      </c>
      <c r="AF1813">
        <v>40.454319746403002</v>
      </c>
      <c r="AG1813">
        <v>-1.0973222038599999</v>
      </c>
      <c r="AH1813">
        <v>46.591571153121699</v>
      </c>
      <c r="AI1813">
        <v>91.018828210770806</v>
      </c>
      <c r="AJ1813">
        <v>49.033018173613698</v>
      </c>
      <c r="AK1813">
        <v>61.713293581526699</v>
      </c>
      <c r="AL1813">
        <v>80.419219382342305</v>
      </c>
      <c r="AM1813">
        <v>77.833546658064705</v>
      </c>
      <c r="AN1813">
        <v>1.0000000399662401</v>
      </c>
    </row>
    <row r="1814" spans="1:40" x14ac:dyDescent="0.3">
      <c r="A1814" t="str">
        <f>"20200111150833395"</f>
        <v>20200111150833395</v>
      </c>
      <c r="B1814" t="str">
        <f>"1578726513384647"</f>
        <v>1578726513384647</v>
      </c>
      <c r="C1814" t="s">
        <v>40</v>
      </c>
      <c r="D1814">
        <v>4.9788209999999999</v>
      </c>
      <c r="E1814">
        <v>0.71816219999999997</v>
      </c>
      <c r="F1814" t="s">
        <v>43</v>
      </c>
      <c r="G1814">
        <v>-256.79640000000001</v>
      </c>
      <c r="H1814" s="1">
        <v>-2.446002E-6</v>
      </c>
      <c r="I1814">
        <v>143.71029999999999</v>
      </c>
      <c r="J1814">
        <v>-193.39949999999999</v>
      </c>
      <c r="K1814">
        <v>1.097323</v>
      </c>
      <c r="L1814">
        <v>149.0805</v>
      </c>
      <c r="M1814">
        <v>-0.69292430000000005</v>
      </c>
      <c r="N1814">
        <v>0</v>
      </c>
      <c r="O1814">
        <v>-0.72088649999999999</v>
      </c>
      <c r="P1814">
        <v>-0.81552389999999997</v>
      </c>
      <c r="Q1814">
        <v>0.159225799999999</v>
      </c>
      <c r="R1814">
        <v>-0.55638849999999995</v>
      </c>
      <c r="S1814">
        <v>-3.506561</v>
      </c>
      <c r="T1814">
        <v>-6.0479159999999997E-2</v>
      </c>
      <c r="U1814">
        <v>-0.30838009999999999</v>
      </c>
      <c r="V1814">
        <v>0.20756250000000001</v>
      </c>
      <c r="W1814">
        <v>0.1658422</v>
      </c>
      <c r="X1814">
        <v>0.96406130000000001</v>
      </c>
      <c r="Y1814">
        <v>0.65728839999999999</v>
      </c>
      <c r="Z1814">
        <v>1.6848149999999999E-2</v>
      </c>
      <c r="AA1814">
        <v>0.75345079999999998</v>
      </c>
      <c r="AB1814">
        <v>34</v>
      </c>
      <c r="AC1814">
        <v>-63.396900000000002</v>
      </c>
      <c r="AD1814">
        <v>-1.0973254460019899</v>
      </c>
      <c r="AE1814">
        <v>-5.3702000000000103</v>
      </c>
      <c r="AF1814">
        <v>41.972090954414703</v>
      </c>
      <c r="AG1814">
        <v>-1.0973254460019899</v>
      </c>
      <c r="AH1814">
        <v>47.790609814143998</v>
      </c>
      <c r="AI1814">
        <v>90.988379193651795</v>
      </c>
      <c r="AJ1814">
        <v>48.708787945401902</v>
      </c>
      <c r="AK1814">
        <v>63.614486782712198</v>
      </c>
      <c r="AL1814">
        <v>80.453837017721895</v>
      </c>
      <c r="AM1814">
        <v>77.849685752969293</v>
      </c>
      <c r="AN1814">
        <v>1.0000000084323899</v>
      </c>
    </row>
    <row r="1815" spans="1:40" x14ac:dyDescent="0.3">
      <c r="A1815" t="str">
        <f>"20200111150833416"</f>
        <v>20200111150833416</v>
      </c>
      <c r="B1815" t="str">
        <f>"1578726513414904"</f>
        <v>1578726513414904</v>
      </c>
      <c r="C1815" t="s">
        <v>40</v>
      </c>
      <c r="D1815">
        <v>4.9003139999999998</v>
      </c>
      <c r="E1815">
        <v>0.71603719999999904</v>
      </c>
      <c r="F1815" t="s">
        <v>43</v>
      </c>
      <c r="G1815">
        <v>-256.38409999999999</v>
      </c>
      <c r="H1815" s="1">
        <v>-2.8117219999999999E-6</v>
      </c>
      <c r="I1815">
        <v>144.42009999999999</v>
      </c>
      <c r="J1815">
        <v>-193.64150000000001</v>
      </c>
      <c r="K1815">
        <v>1.0973219999999999</v>
      </c>
      <c r="L1815">
        <v>148.8451</v>
      </c>
      <c r="M1815">
        <v>-0.70252130000000002</v>
      </c>
      <c r="N1815">
        <v>0</v>
      </c>
      <c r="O1815">
        <v>-0.71153719999999998</v>
      </c>
      <c r="P1815">
        <v>-0.82264300000000001</v>
      </c>
      <c r="Q1815">
        <v>0.15909079999999901</v>
      </c>
      <c r="R1815">
        <v>-0.54584670000000002</v>
      </c>
      <c r="S1815">
        <v>-3.5132140000000001</v>
      </c>
      <c r="T1815">
        <v>-6.1207770000000002E-2</v>
      </c>
      <c r="U1815">
        <v>-0.25994869999999998</v>
      </c>
      <c r="V1815">
        <v>0.20706530000000001</v>
      </c>
      <c r="W1815">
        <v>0.16572509999999999</v>
      </c>
      <c r="X1815">
        <v>0.9641883</v>
      </c>
      <c r="Y1815">
        <v>0.65763190000000005</v>
      </c>
      <c r="Z1815">
        <v>1.6941169999999998E-2</v>
      </c>
      <c r="AA1815">
        <v>0.75314890000000001</v>
      </c>
      <c r="AB1815">
        <v>34</v>
      </c>
      <c r="AC1815">
        <v>-62.742599999999896</v>
      </c>
      <c r="AD1815">
        <v>-1.09732481172199</v>
      </c>
      <c r="AE1815">
        <v>-4.4250000000000096</v>
      </c>
      <c r="AF1815">
        <v>41.526108523527398</v>
      </c>
      <c r="AG1815">
        <v>-1.09732481172199</v>
      </c>
      <c r="AH1815">
        <v>47.216412889888502</v>
      </c>
      <c r="AI1815">
        <v>90.999783576423496</v>
      </c>
      <c r="AJ1815">
        <v>48.668869062524799</v>
      </c>
      <c r="AK1815">
        <v>62.8888818237264</v>
      </c>
      <c r="AL1815">
        <v>80.460640057197296</v>
      </c>
      <c r="AM1815">
        <v>77.879478589122797</v>
      </c>
      <c r="AN1815">
        <v>0.99999996254549395</v>
      </c>
    </row>
    <row r="1816" spans="1:40" x14ac:dyDescent="0.3">
      <c r="A1816" t="str">
        <f>"20200111150833485"</f>
        <v>20200111150833485</v>
      </c>
      <c r="B1816" t="str">
        <f>"1578726513475416"</f>
        <v>1578726513475416</v>
      </c>
      <c r="C1816" t="s">
        <v>40</v>
      </c>
      <c r="D1816">
        <v>5.0795260000000004</v>
      </c>
      <c r="E1816">
        <v>0.71435009999999999</v>
      </c>
      <c r="F1816" t="s">
        <v>43</v>
      </c>
      <c r="G1816">
        <v>-262.55939999999998</v>
      </c>
      <c r="H1816" s="1">
        <v>-4.2460709999999997E-6</v>
      </c>
      <c r="I1816">
        <v>144.35740000000001</v>
      </c>
      <c r="J1816">
        <v>-194.4194</v>
      </c>
      <c r="K1816">
        <v>1.0973299999999999</v>
      </c>
      <c r="L1816">
        <v>148.12979999999999</v>
      </c>
      <c r="M1816">
        <v>-0.73174919999999899</v>
      </c>
      <c r="N1816">
        <v>0</v>
      </c>
      <c r="O1816">
        <v>-0.68144300000000002</v>
      </c>
      <c r="P1816">
        <v>-0.84479899999999997</v>
      </c>
      <c r="Q1816">
        <v>0.159716</v>
      </c>
      <c r="R1816">
        <v>-0.51069120000000001</v>
      </c>
      <c r="S1816">
        <v>-3.5060880000000001</v>
      </c>
      <c r="T1816">
        <v>-5.5824760000000001E-2</v>
      </c>
      <c r="U1816">
        <v>-0.228302</v>
      </c>
      <c r="V1816">
        <v>0.20719489999999999</v>
      </c>
      <c r="W1816">
        <v>0.1663472</v>
      </c>
      <c r="X1816">
        <v>0.96405339999999995</v>
      </c>
      <c r="Y1816">
        <v>0.63236079999999995</v>
      </c>
      <c r="Z1816">
        <v>1.497039E-2</v>
      </c>
      <c r="AA1816">
        <v>0.77452929999999998</v>
      </c>
      <c r="AB1816">
        <v>34</v>
      </c>
      <c r="AC1816">
        <v>-68.139999999999901</v>
      </c>
      <c r="AD1816">
        <v>-1.0973342460709901</v>
      </c>
      <c r="AE1816">
        <v>-3.77239999999997</v>
      </c>
      <c r="AF1816">
        <v>43.665684925156199</v>
      </c>
      <c r="AG1816">
        <v>-1.0973342460709901</v>
      </c>
      <c r="AH1816">
        <v>52.423193441004301</v>
      </c>
      <c r="AI1816">
        <v>90.921445651646295</v>
      </c>
      <c r="AJ1816">
        <v>50.2075314670791</v>
      </c>
      <c r="AK1816">
        <v>68.235528817351295</v>
      </c>
      <c r="AL1816">
        <v>80.424495367625497</v>
      </c>
      <c r="AM1816">
        <v>77.870470183086795</v>
      </c>
      <c r="AN1816">
        <v>1.0000000377927001</v>
      </c>
    </row>
    <row r="1817" spans="1:40" x14ac:dyDescent="0.3">
      <c r="A1817" t="str">
        <f>"20200111150833507"</f>
        <v>20200111150833507</v>
      </c>
      <c r="B1817" t="str">
        <f>"1578726513504696"</f>
        <v>1578726513504696</v>
      </c>
      <c r="C1817" t="s">
        <v>40</v>
      </c>
      <c r="D1817">
        <v>5.171926</v>
      </c>
      <c r="E1817">
        <v>0.71316659999999998</v>
      </c>
      <c r="F1817" t="s">
        <v>43</v>
      </c>
      <c r="G1817">
        <v>-276.83390000000003</v>
      </c>
      <c r="H1817" s="1">
        <v>-3.030061E-6</v>
      </c>
      <c r="I1817">
        <v>145.9658</v>
      </c>
      <c r="J1817">
        <v>-194.67619999999999</v>
      </c>
      <c r="K1817">
        <v>1.0973299999999999</v>
      </c>
      <c r="L1817">
        <v>147.90649999999999</v>
      </c>
      <c r="M1817">
        <v>-0.74088699999999996</v>
      </c>
      <c r="N1817">
        <v>0</v>
      </c>
      <c r="O1817">
        <v>-0.67149700000000001</v>
      </c>
      <c r="P1817">
        <v>-0.85170519999999905</v>
      </c>
      <c r="Q1817">
        <v>0.15936259999999999</v>
      </c>
      <c r="R1817">
        <v>-0.49920160000000002</v>
      </c>
      <c r="S1817">
        <v>-3.504318</v>
      </c>
      <c r="T1817">
        <v>-4.6659350000000002E-2</v>
      </c>
      <c r="U1817">
        <v>-9.2010499999999995E-2</v>
      </c>
      <c r="V1817">
        <v>0.20726459999999999</v>
      </c>
      <c r="W1817">
        <v>0.16599220000000001</v>
      </c>
      <c r="X1817">
        <v>0.96409959999999995</v>
      </c>
      <c r="Y1817">
        <v>0.65176959999999995</v>
      </c>
      <c r="Z1817">
        <v>1.259359E-2</v>
      </c>
      <c r="AA1817">
        <v>0.75831249999999994</v>
      </c>
      <c r="AB1817">
        <v>34</v>
      </c>
      <c r="AC1817">
        <v>-82.157700000000006</v>
      </c>
      <c r="AD1817">
        <v>-1.097333030061</v>
      </c>
      <c r="AE1817">
        <v>-1.9406999999999901</v>
      </c>
      <c r="AF1817">
        <v>53.726019539845304</v>
      </c>
      <c r="AG1817">
        <v>-1.097333030061</v>
      </c>
      <c r="AH1817">
        <v>62.167203367596301</v>
      </c>
      <c r="AI1817">
        <v>90.765144196356204</v>
      </c>
      <c r="AJ1817">
        <v>49.165831727171501</v>
      </c>
      <c r="AK1817">
        <v>82.173295479266102</v>
      </c>
      <c r="AL1817">
        <v>80.445122081332698</v>
      </c>
      <c r="AM1817">
        <v>77.867074928026696</v>
      </c>
      <c r="AN1817">
        <v>1.0000000317970701</v>
      </c>
    </row>
    <row r="1818" spans="1:40" x14ac:dyDescent="0.3">
      <c r="A1818" t="str">
        <f>"20200111150833533"</f>
        <v>20200111150833533</v>
      </c>
      <c r="B1818" t="str">
        <f>"1578726513525192"</f>
        <v>1578726513525192</v>
      </c>
      <c r="C1818" t="s">
        <v>40</v>
      </c>
      <c r="D1818">
        <v>5.1828719999999997</v>
      </c>
      <c r="E1818">
        <v>0.71299019999999902</v>
      </c>
      <c r="F1818" t="s">
        <v>43</v>
      </c>
      <c r="G1818">
        <v>-262.62869999999998</v>
      </c>
      <c r="H1818" s="1">
        <v>-4.6697859999999998E-6</v>
      </c>
      <c r="I1818">
        <v>146.87899999999999</v>
      </c>
      <c r="J1818">
        <v>-194.9699</v>
      </c>
      <c r="K1818">
        <v>1.097329</v>
      </c>
      <c r="L1818">
        <v>147.6584</v>
      </c>
      <c r="M1818">
        <v>-0.75105159999999904</v>
      </c>
      <c r="N1818">
        <v>0</v>
      </c>
      <c r="O1818">
        <v>-0.66010839999999904</v>
      </c>
      <c r="P1818">
        <v>-0.85918869999999903</v>
      </c>
      <c r="Q1818">
        <v>0.15933729999999999</v>
      </c>
      <c r="R1818">
        <v>-0.48621619999999999</v>
      </c>
      <c r="S1818">
        <v>-3.5018769999999901</v>
      </c>
      <c r="T1818">
        <v>-5.6550259999999998E-2</v>
      </c>
      <c r="U1818">
        <v>-5.2948000000000002E-2</v>
      </c>
      <c r="V1818">
        <v>0.2071819</v>
      </c>
      <c r="W1818">
        <v>0.1659706</v>
      </c>
      <c r="X1818">
        <v>0.96412100000000001</v>
      </c>
      <c r="Y1818">
        <v>0.6485784</v>
      </c>
      <c r="Z1818">
        <v>1.5125080000000001E-2</v>
      </c>
      <c r="AA1818">
        <v>0.76099759999999905</v>
      </c>
      <c r="AB1818">
        <v>34</v>
      </c>
      <c r="AC1818">
        <v>-67.6587999999999</v>
      </c>
      <c r="AD1818">
        <v>-1.0973336697860001</v>
      </c>
      <c r="AE1818">
        <v>-0.77940000000000897</v>
      </c>
      <c r="AF1818">
        <v>44.069114057998803</v>
      </c>
      <c r="AG1818">
        <v>-1.0973336697860001</v>
      </c>
      <c r="AH1818">
        <v>51.320819706484698</v>
      </c>
      <c r="AI1818">
        <v>90.929360802213907</v>
      </c>
      <c r="AJ1818">
        <v>49.347360961297802</v>
      </c>
      <c r="AK1818">
        <v>67.654397420901404</v>
      </c>
      <c r="AL1818">
        <v>80.446376204663494</v>
      </c>
      <c r="AM1818">
        <v>77.872033933079095</v>
      </c>
      <c r="AN1818">
        <v>0.99999994119648306</v>
      </c>
    </row>
    <row r="1819" spans="1:40" x14ac:dyDescent="0.3">
      <c r="A1819" t="str">
        <f>"20200111150833550"</f>
        <v>20200111150833550</v>
      </c>
      <c r="B1819" t="str">
        <f>"1578726513544711"</f>
        <v>1578726513544711</v>
      </c>
      <c r="C1819" t="s">
        <v>40</v>
      </c>
      <c r="D1819">
        <v>5.2530010000000003</v>
      </c>
      <c r="E1819">
        <v>0.71242819999999996</v>
      </c>
      <c r="F1819" t="s">
        <v>43</v>
      </c>
      <c r="G1819">
        <v>-257.00839999999999</v>
      </c>
      <c r="H1819" s="1">
        <v>-3.3139810000000001E-6</v>
      </c>
      <c r="I1819">
        <v>147.63800000000001</v>
      </c>
      <c r="J1819">
        <v>-195.18389999999999</v>
      </c>
      <c r="K1819">
        <v>1.097329</v>
      </c>
      <c r="L1819">
        <v>147.48230000000001</v>
      </c>
      <c r="M1819">
        <v>-0.75827069999999996</v>
      </c>
      <c r="N1819">
        <v>0</v>
      </c>
      <c r="O1819">
        <v>-0.65180280000000002</v>
      </c>
      <c r="P1819">
        <v>-0.86426289999999995</v>
      </c>
      <c r="Q1819">
        <v>0.15951389999999999</v>
      </c>
      <c r="R1819">
        <v>-0.47707929999999998</v>
      </c>
      <c r="S1819">
        <v>-3.5025019999999998</v>
      </c>
      <c r="T1819">
        <v>-6.1951989999999998E-2</v>
      </c>
      <c r="U1819">
        <v>-1.1444090000000001E-3</v>
      </c>
      <c r="V1819">
        <v>0.2067766</v>
      </c>
      <c r="W1819">
        <v>0.16616049999999999</v>
      </c>
      <c r="X1819">
        <v>0.96417529999999996</v>
      </c>
      <c r="Y1819">
        <v>0.65142349999999904</v>
      </c>
      <c r="Z1819">
        <v>1.6497250000000001E-2</v>
      </c>
      <c r="AA1819">
        <v>0.75853499999999996</v>
      </c>
      <c r="AB1819">
        <v>34</v>
      </c>
      <c r="AC1819">
        <v>-61.8245</v>
      </c>
      <c r="AD1819">
        <v>-1.0973323139810001</v>
      </c>
      <c r="AE1819">
        <v>0.15569999999999501</v>
      </c>
      <c r="AF1819">
        <v>40.406326441801703</v>
      </c>
      <c r="AG1819">
        <v>-1.0973323139810001</v>
      </c>
      <c r="AH1819">
        <v>46.767667114645</v>
      </c>
      <c r="AI1819">
        <v>91.017161649462196</v>
      </c>
      <c r="AJ1819">
        <v>49.173642423408602</v>
      </c>
      <c r="AK1819">
        <v>61.8149661657677</v>
      </c>
      <c r="AL1819">
        <v>80.435342533633502</v>
      </c>
      <c r="AM1819">
        <v>77.895720534559103</v>
      </c>
      <c r="AN1819">
        <v>0.99999994159894801</v>
      </c>
    </row>
    <row r="1820" spans="1:40" x14ac:dyDescent="0.3">
      <c r="A1820" t="str">
        <f>"20200111150833573"</f>
        <v>20200111150833573</v>
      </c>
      <c r="B1820" t="str">
        <f>"1578726513565207"</f>
        <v>1578726513565207</v>
      </c>
      <c r="C1820" t="s">
        <v>40</v>
      </c>
      <c r="D1820">
        <v>5.3106450000000001</v>
      </c>
      <c r="E1820">
        <v>0.71157499999999996</v>
      </c>
      <c r="F1820" t="s">
        <v>43</v>
      </c>
      <c r="G1820">
        <v>-251.29560000000001</v>
      </c>
      <c r="H1820" s="1">
        <v>-5.3207090000000002E-6</v>
      </c>
      <c r="I1820">
        <v>147.99109999999999</v>
      </c>
      <c r="J1820">
        <v>-195.46209999999999</v>
      </c>
      <c r="K1820">
        <v>1.0973329999999999</v>
      </c>
      <c r="L1820">
        <v>147.2593</v>
      </c>
      <c r="M1820">
        <v>-0.76742049999999995</v>
      </c>
      <c r="N1820">
        <v>0</v>
      </c>
      <c r="O1820">
        <v>-0.64100489999999999</v>
      </c>
      <c r="P1820">
        <v>-0.87083239999999995</v>
      </c>
      <c r="Q1820">
        <v>0.15949920000000001</v>
      </c>
      <c r="R1820">
        <v>-0.46498469999999997</v>
      </c>
      <c r="S1820">
        <v>-3.501328</v>
      </c>
      <c r="T1820">
        <v>-6.8472980000000003E-2</v>
      </c>
      <c r="U1820">
        <v>3.1753539999999997E-2</v>
      </c>
      <c r="V1820">
        <v>0.2065709</v>
      </c>
      <c r="W1820">
        <v>0.16615350000000001</v>
      </c>
      <c r="X1820">
        <v>0.96422059999999998</v>
      </c>
      <c r="Y1820">
        <v>0.64776529999999999</v>
      </c>
      <c r="Z1820">
        <v>1.805294E-2</v>
      </c>
      <c r="AA1820">
        <v>0.76162609999999997</v>
      </c>
      <c r="AB1820">
        <v>34</v>
      </c>
      <c r="AC1820">
        <v>-55.833500000000001</v>
      </c>
      <c r="AD1820">
        <v>-1.0973383207089999</v>
      </c>
      <c r="AE1820">
        <v>0.73179999999999201</v>
      </c>
      <c r="AF1820">
        <v>36.340355286435802</v>
      </c>
      <c r="AG1820">
        <v>-1.0973383207089999</v>
      </c>
      <c r="AH1820">
        <v>42.366105825195397</v>
      </c>
      <c r="AI1820">
        <v>91.126270674079805</v>
      </c>
      <c r="AJ1820">
        <v>49.378012706310599</v>
      </c>
      <c r="AK1820">
        <v>55.827524542345103</v>
      </c>
      <c r="AL1820">
        <v>80.435749279850896</v>
      </c>
      <c r="AM1820">
        <v>77.907958616434499</v>
      </c>
      <c r="AN1820">
        <v>0.99999994387670799</v>
      </c>
    </row>
    <row r="1821" spans="1:40" x14ac:dyDescent="0.3">
      <c r="A1821" t="str">
        <f>"20200111150833596"</f>
        <v>20200111150833596</v>
      </c>
      <c r="B1821" t="str">
        <f>"1578726513584727"</f>
        <v>1578726513584727</v>
      </c>
      <c r="C1821" t="s">
        <v>40</v>
      </c>
      <c r="D1821">
        <v>5.1641459999999997</v>
      </c>
      <c r="E1821">
        <v>0.71025490000000002</v>
      </c>
      <c r="F1821" t="s">
        <v>43</v>
      </c>
      <c r="G1821">
        <v>-245.34690000000001</v>
      </c>
      <c r="H1821" s="1">
        <v>-3.998486E-6</v>
      </c>
      <c r="I1821">
        <v>148.30950000000001</v>
      </c>
      <c r="J1821">
        <v>-195.7362</v>
      </c>
      <c r="K1821">
        <v>1.0973329999999999</v>
      </c>
      <c r="L1821">
        <v>147.0455</v>
      </c>
      <c r="M1821">
        <v>-0.77619530000000003</v>
      </c>
      <c r="N1821">
        <v>0</v>
      </c>
      <c r="O1821">
        <v>-0.63035099999999999</v>
      </c>
      <c r="P1821">
        <v>-0.87770990000000004</v>
      </c>
      <c r="Q1821">
        <v>0.15870519999999999</v>
      </c>
      <c r="R1821">
        <v>-0.45214840000000001</v>
      </c>
      <c r="S1821">
        <v>-3.4984130000000002</v>
      </c>
      <c r="T1821">
        <v>-7.6956029999999995E-2</v>
      </c>
      <c r="U1821">
        <v>7.3654170000000005E-2</v>
      </c>
      <c r="V1821">
        <v>0.20748630000000001</v>
      </c>
      <c r="W1821">
        <v>0.16533100000000001</v>
      </c>
      <c r="X1821">
        <v>0.96416539999999995</v>
      </c>
      <c r="Y1821">
        <v>0.64631660000000002</v>
      </c>
      <c r="Z1821">
        <v>2.0120590000000001E-2</v>
      </c>
      <c r="AA1821">
        <v>0.76280400000000004</v>
      </c>
      <c r="AB1821">
        <v>34</v>
      </c>
      <c r="AC1821">
        <v>-49.610700000000001</v>
      </c>
      <c r="AD1821">
        <v>-1.097336998486</v>
      </c>
      <c r="AE1821">
        <v>1.26400000000001</v>
      </c>
      <c r="AF1821">
        <v>32.240380450675602</v>
      </c>
      <c r="AG1821">
        <v>-1.097336998486</v>
      </c>
      <c r="AH1821">
        <v>37.695763515211702</v>
      </c>
      <c r="AI1821">
        <v>91.267324523777205</v>
      </c>
      <c r="AJ1821">
        <v>49.460336740347202</v>
      </c>
      <c r="AK1821">
        <v>49.614683986571201</v>
      </c>
      <c r="AL1821">
        <v>80.483535683770995</v>
      </c>
      <c r="AM1821">
        <v>77.8552863530699</v>
      </c>
      <c r="AN1821">
        <v>0.99999991140292099</v>
      </c>
    </row>
    <row r="1822" spans="1:40" x14ac:dyDescent="0.3">
      <c r="A1822" t="str">
        <f>"20200111150833617"</f>
        <v>20200111150833617</v>
      </c>
      <c r="B1822" t="str">
        <f>"1578726513614985"</f>
        <v>1578726513614985</v>
      </c>
      <c r="C1822" t="s">
        <v>40</v>
      </c>
      <c r="D1822">
        <v>5.2199150000000003</v>
      </c>
      <c r="E1822">
        <v>0.70880140000000003</v>
      </c>
      <c r="F1822" t="s">
        <v>43</v>
      </c>
      <c r="G1822">
        <v>-239.97329999999999</v>
      </c>
      <c r="H1822" s="1">
        <v>-5.8599329999999999E-6</v>
      </c>
      <c r="I1822">
        <v>148.49420000000001</v>
      </c>
      <c r="J1822">
        <v>-196.00739999999999</v>
      </c>
      <c r="K1822">
        <v>1.097337</v>
      </c>
      <c r="L1822">
        <v>146.84</v>
      </c>
      <c r="M1822">
        <v>-0.78464100000000003</v>
      </c>
      <c r="N1822">
        <v>0</v>
      </c>
      <c r="O1822">
        <v>-0.61980659999999999</v>
      </c>
      <c r="P1822">
        <v>-0.88375619999999999</v>
      </c>
      <c r="Q1822">
        <v>0.15862309999999999</v>
      </c>
      <c r="R1822">
        <v>-0.44024340000000001</v>
      </c>
      <c r="S1822">
        <v>-3.4925540000000002</v>
      </c>
      <c r="T1822">
        <v>-8.6635950000000003E-2</v>
      </c>
      <c r="U1822">
        <v>0.11437990000000001</v>
      </c>
      <c r="V1822">
        <v>0.20749860000000001</v>
      </c>
      <c r="W1822">
        <v>0.165248799999999</v>
      </c>
      <c r="X1822">
        <v>0.96417699999999995</v>
      </c>
      <c r="Y1822">
        <v>0.64484730000000001</v>
      </c>
      <c r="Z1822">
        <v>2.2475869999999998E-2</v>
      </c>
      <c r="AA1822">
        <v>0.76398089999999996</v>
      </c>
      <c r="AB1822">
        <v>34</v>
      </c>
      <c r="AC1822">
        <v>-43.965899999999998</v>
      </c>
      <c r="AD1822">
        <v>-1.097342859933</v>
      </c>
      <c r="AE1822">
        <v>1.6541999999999999</v>
      </c>
      <c r="AF1822">
        <v>28.5331037171545</v>
      </c>
      <c r="AG1822">
        <v>-1.097342859933</v>
      </c>
      <c r="AH1822">
        <v>33.454336869270499</v>
      </c>
      <c r="AI1822">
        <v>91.429623780484903</v>
      </c>
      <c r="AJ1822">
        <v>49.5392375651234</v>
      </c>
      <c r="AK1822">
        <v>43.983347126483899</v>
      </c>
      <c r="AL1822">
        <v>80.488312520025801</v>
      </c>
      <c r="AM1822">
        <v>77.854729558770501</v>
      </c>
      <c r="AN1822">
        <v>1.0000000611161901</v>
      </c>
    </row>
    <row r="1823" spans="1:40" x14ac:dyDescent="0.3">
      <c r="A1823" t="str">
        <f>"20200111150833640"</f>
        <v>20200111150833640</v>
      </c>
      <c r="B1823" t="str">
        <f>"1578726513635480"</f>
        <v>1578726513635480</v>
      </c>
      <c r="C1823" t="s">
        <v>40</v>
      </c>
      <c r="D1823">
        <v>5.2102719999999998</v>
      </c>
      <c r="E1823">
        <v>0.70758940000000004</v>
      </c>
      <c r="F1823" t="s">
        <v>43</v>
      </c>
      <c r="G1823">
        <v>-236.51820000000001</v>
      </c>
      <c r="H1823" s="1">
        <v>-3.65159E-6</v>
      </c>
      <c r="I1823">
        <v>148.6009</v>
      </c>
      <c r="J1823">
        <v>-196.2773</v>
      </c>
      <c r="K1823">
        <v>1.0973389999999901</v>
      </c>
      <c r="L1823">
        <v>146.6412</v>
      </c>
      <c r="M1823">
        <v>-0.79282140000000001</v>
      </c>
      <c r="N1823">
        <v>0</v>
      </c>
      <c r="O1823">
        <v>-0.60930769999999901</v>
      </c>
      <c r="P1823">
        <v>-0.88924409999999898</v>
      </c>
      <c r="Q1823">
        <v>0.15877169999999999</v>
      </c>
      <c r="R1823">
        <v>-0.42899470000000001</v>
      </c>
      <c r="S1823">
        <v>-3.4870760000000001</v>
      </c>
      <c r="T1823">
        <v>-9.4456670000000006E-2</v>
      </c>
      <c r="U1823">
        <v>0.15158079999999999</v>
      </c>
      <c r="V1823">
        <v>0.20688480000000001</v>
      </c>
      <c r="W1823">
        <v>0.16541800000000001</v>
      </c>
      <c r="X1823">
        <v>0.96427980000000002</v>
      </c>
      <c r="Y1823">
        <v>0.64278550000000001</v>
      </c>
      <c r="Z1823">
        <v>2.42968E-2</v>
      </c>
      <c r="AA1823">
        <v>0.76566089999999998</v>
      </c>
      <c r="AB1823">
        <v>34</v>
      </c>
      <c r="AC1823">
        <v>-40.240900000000003</v>
      </c>
      <c r="AD1823">
        <v>-1.09734265158999</v>
      </c>
      <c r="AE1823">
        <v>1.95969999999999</v>
      </c>
      <c r="AF1823">
        <v>26.0557780617522</v>
      </c>
      <c r="AG1823">
        <v>-1.09734265158999</v>
      </c>
      <c r="AH1823">
        <v>30.6897579333084</v>
      </c>
      <c r="AI1823">
        <v>91.561339592844604</v>
      </c>
      <c r="AJ1823">
        <v>49.668554681401403</v>
      </c>
      <c r="AK1823">
        <v>40.273675934825597</v>
      </c>
      <c r="AL1823">
        <v>80.478482053778606</v>
      </c>
      <c r="AM1823">
        <v>77.890847332778193</v>
      </c>
      <c r="AN1823">
        <v>0.99999998394153999</v>
      </c>
    </row>
    <row r="1824" spans="1:40" x14ac:dyDescent="0.3">
      <c r="A1824" t="str">
        <f>"20200111150833662"</f>
        <v>20200111150833662</v>
      </c>
      <c r="B1824" t="str">
        <f>"1578726513655000"</f>
        <v>1578726513655000</v>
      </c>
      <c r="C1824" t="s">
        <v>40</v>
      </c>
      <c r="D1824">
        <v>5.2668369999999998</v>
      </c>
      <c r="E1824">
        <v>0.70639909999999995</v>
      </c>
      <c r="F1824" t="s">
        <v>43</v>
      </c>
      <c r="G1824">
        <v>-236.07740000000001</v>
      </c>
      <c r="H1824" s="1">
        <v>-3.8343330000000001E-6</v>
      </c>
      <c r="I1824">
        <v>148.78540000000001</v>
      </c>
      <c r="J1824">
        <v>-196.5692</v>
      </c>
      <c r="K1824">
        <v>1.0973360000000001</v>
      </c>
      <c r="L1824">
        <v>146.43260000000001</v>
      </c>
      <c r="M1824">
        <v>-0.80142290000000005</v>
      </c>
      <c r="N1824">
        <v>0</v>
      </c>
      <c r="O1824">
        <v>-0.59794879999999995</v>
      </c>
      <c r="P1824">
        <v>-0.8954415</v>
      </c>
      <c r="Q1824">
        <v>0.15870970000000001</v>
      </c>
      <c r="R1824">
        <v>-0.41592770000000001</v>
      </c>
      <c r="S1824">
        <v>-3.4812620000000001</v>
      </c>
      <c r="T1824">
        <v>-9.5983150000000003E-2</v>
      </c>
      <c r="U1824">
        <v>0.18756100000000001</v>
      </c>
      <c r="V1824">
        <v>0.20726939999999999</v>
      </c>
      <c r="W1824">
        <v>0.16534370000000001</v>
      </c>
      <c r="X1824">
        <v>0.96421000000000001</v>
      </c>
      <c r="Y1824">
        <v>0.63980819999999905</v>
      </c>
      <c r="Z1824">
        <v>2.444315E-2</v>
      </c>
      <c r="AA1824">
        <v>0.76814589999999905</v>
      </c>
      <c r="AB1824">
        <v>34</v>
      </c>
      <c r="AC1824">
        <v>-39.508200000000002</v>
      </c>
      <c r="AD1824">
        <v>-1.0973398343330001</v>
      </c>
      <c r="AE1824">
        <v>2.3527999999999998</v>
      </c>
      <c r="AF1824">
        <v>25.4921500488981</v>
      </c>
      <c r="AG1824">
        <v>-1.0973398343330001</v>
      </c>
      <c r="AH1824">
        <v>30.235381355027499</v>
      </c>
      <c r="AI1824">
        <v>91.589388612630103</v>
      </c>
      <c r="AJ1824">
        <v>49.864986713028102</v>
      </c>
      <c r="AK1824">
        <v>39.563014982575503</v>
      </c>
      <c r="AL1824">
        <v>80.482799047645202</v>
      </c>
      <c r="AM1824">
        <v>77.868150339974207</v>
      </c>
      <c r="AN1824">
        <v>1.0000000337030199</v>
      </c>
    </row>
    <row r="1825" spans="1:40" x14ac:dyDescent="0.3">
      <c r="A1825" t="str">
        <f>"20200111150833686"</f>
        <v>20200111150833686</v>
      </c>
      <c r="B1825" t="str">
        <f>"1578726513674522"</f>
        <v>1578726513674522</v>
      </c>
      <c r="C1825" t="s">
        <v>40</v>
      </c>
      <c r="D1825">
        <v>5.2638619999999996</v>
      </c>
      <c r="E1825">
        <v>0.70518549999999902</v>
      </c>
      <c r="F1825" t="s">
        <v>43</v>
      </c>
      <c r="G1825">
        <v>-234.16210000000001</v>
      </c>
      <c r="H1825" s="1">
        <v>-4.5078969999999998E-6</v>
      </c>
      <c r="I1825">
        <v>148.9083</v>
      </c>
      <c r="J1825">
        <v>-196.86</v>
      </c>
      <c r="K1825">
        <v>1.0973360000000001</v>
      </c>
      <c r="L1825">
        <v>146.23089999999999</v>
      </c>
      <c r="M1825">
        <v>-0.80974690000000005</v>
      </c>
      <c r="N1825">
        <v>0</v>
      </c>
      <c r="O1825">
        <v>-0.58662740000000002</v>
      </c>
      <c r="P1825">
        <v>-0.90069840000000001</v>
      </c>
      <c r="Q1825">
        <v>0.15826709999999999</v>
      </c>
      <c r="R1825">
        <v>-0.40459149999999999</v>
      </c>
      <c r="S1825">
        <v>-3.4745330000000001</v>
      </c>
      <c r="T1825">
        <v>-0.1014221</v>
      </c>
      <c r="U1825">
        <v>0.22882079999999999</v>
      </c>
      <c r="V1825">
        <v>0.2059194</v>
      </c>
      <c r="W1825">
        <v>0.16494729999999999</v>
      </c>
      <c r="X1825">
        <v>0.96456710000000001</v>
      </c>
      <c r="Y1825">
        <v>0.63812979999999997</v>
      </c>
      <c r="Z1825">
        <v>2.5588260000000002E-2</v>
      </c>
      <c r="AA1825">
        <v>0.76950350000000001</v>
      </c>
      <c r="AB1825">
        <v>34</v>
      </c>
      <c r="AC1825">
        <v>-37.302100000000003</v>
      </c>
      <c r="AD1825">
        <v>-1.097340507897</v>
      </c>
      <c r="AE1825">
        <v>2.6774</v>
      </c>
      <c r="AF1825">
        <v>24.0319035037191</v>
      </c>
      <c r="AG1825">
        <v>-1.097340507897</v>
      </c>
      <c r="AH1825">
        <v>28.6125417153639</v>
      </c>
      <c r="AI1825">
        <v>91.682146736383501</v>
      </c>
      <c r="AJ1825">
        <v>49.972830441459699</v>
      </c>
      <c r="AK1825">
        <v>37.382002161679097</v>
      </c>
      <c r="AL1825">
        <v>80.505827453103294</v>
      </c>
      <c r="AM1825">
        <v>77.949182114955306</v>
      </c>
      <c r="AN1825">
        <v>1.00000005073802</v>
      </c>
    </row>
    <row r="1826" spans="1:40" x14ac:dyDescent="0.3">
      <c r="A1826" t="str">
        <f>"20200111150833706"</f>
        <v>20200111150833706</v>
      </c>
      <c r="B1826" t="str">
        <f>"1578726513695016"</f>
        <v>1578726513695016</v>
      </c>
      <c r="C1826" t="s">
        <v>40</v>
      </c>
      <c r="D1826">
        <v>5.2287299999999997</v>
      </c>
      <c r="E1826">
        <v>0.70408440000000005</v>
      </c>
      <c r="F1826" t="s">
        <v>43</v>
      </c>
      <c r="G1826">
        <v>-233.13929999999999</v>
      </c>
      <c r="H1826" s="1">
        <v>-4.8708370000000004E-6</v>
      </c>
      <c r="I1826">
        <v>148.99209999999999</v>
      </c>
      <c r="J1826">
        <v>-197.1301</v>
      </c>
      <c r="K1826">
        <v>1.0973280000000001</v>
      </c>
      <c r="L1826">
        <v>146.0489</v>
      </c>
      <c r="M1826">
        <v>-0.8172661</v>
      </c>
      <c r="N1826">
        <v>0</v>
      </c>
      <c r="O1826">
        <v>-0.5761056</v>
      </c>
      <c r="P1826">
        <v>-0.90514680000000003</v>
      </c>
      <c r="Q1826">
        <v>0.1574139</v>
      </c>
      <c r="R1826">
        <v>-0.39488010000000001</v>
      </c>
      <c r="S1826">
        <v>-3.4677280000000001</v>
      </c>
      <c r="T1826">
        <v>-0.1048887</v>
      </c>
      <c r="U1826">
        <v>0.26393129999999998</v>
      </c>
      <c r="V1826">
        <v>0.20387420000000001</v>
      </c>
      <c r="W1826">
        <v>0.16416420000000001</v>
      </c>
      <c r="X1826">
        <v>0.96513490000000002</v>
      </c>
      <c r="Y1826">
        <v>0.63599329999999998</v>
      </c>
      <c r="Z1826">
        <v>2.622122E-2</v>
      </c>
      <c r="AA1826">
        <v>0.77124890000000001</v>
      </c>
      <c r="AB1826">
        <v>34</v>
      </c>
      <c r="AC1826">
        <v>-36.0091999999999</v>
      </c>
      <c r="AD1826">
        <v>-1.097332870837</v>
      </c>
      <c r="AE1826">
        <v>2.9431999999999898</v>
      </c>
      <c r="AF1826">
        <v>23.131207209744801</v>
      </c>
      <c r="AG1826">
        <v>-1.097332870837</v>
      </c>
      <c r="AH1826">
        <v>27.710417054597599</v>
      </c>
      <c r="AI1826">
        <v>91.741279216932995</v>
      </c>
      <c r="AJ1826">
        <v>50.146636531115703</v>
      </c>
      <c r="AK1826">
        <v>36.1126584420104</v>
      </c>
      <c r="AL1826">
        <v>80.551315159043796</v>
      </c>
      <c r="AM1826">
        <v>78.072242872024901</v>
      </c>
      <c r="AN1826">
        <v>0.999999974592644</v>
      </c>
    </row>
    <row r="1827" spans="1:40" x14ac:dyDescent="0.3">
      <c r="A1827" t="str">
        <f>"20200111150833729"</f>
        <v>20200111150833729</v>
      </c>
      <c r="B1827" t="str">
        <f>"1578726513725272"</f>
        <v>1578726513725272</v>
      </c>
      <c r="C1827" t="s">
        <v>40</v>
      </c>
      <c r="D1827">
        <v>5.5931430000000004</v>
      </c>
      <c r="E1827">
        <v>0.64064469999999996</v>
      </c>
      <c r="F1827" t="s">
        <v>43</v>
      </c>
      <c r="G1827">
        <v>-231.70050000000001</v>
      </c>
      <c r="H1827" s="1">
        <v>-5.3588350000000002E-6</v>
      </c>
      <c r="I1827">
        <v>148.983</v>
      </c>
      <c r="J1827">
        <v>-197.41040000000001</v>
      </c>
      <c r="K1827">
        <v>1.0973250000000001</v>
      </c>
      <c r="L1827">
        <v>145.86519999999999</v>
      </c>
      <c r="M1827">
        <v>-0.82486150000000003</v>
      </c>
      <c r="N1827">
        <v>0</v>
      </c>
      <c r="O1827">
        <v>-0.56517709999999999</v>
      </c>
      <c r="P1827">
        <v>-0.9097018</v>
      </c>
      <c r="Q1827">
        <v>0.1565674</v>
      </c>
      <c r="R1827">
        <v>-0.38461600000000001</v>
      </c>
      <c r="S1827">
        <v>-3.4616549999999999</v>
      </c>
      <c r="T1827">
        <v>-0.1098797</v>
      </c>
      <c r="U1827">
        <v>0.29380800000000001</v>
      </c>
      <c r="V1827">
        <v>0.20199810000000001</v>
      </c>
      <c r="W1827">
        <v>0.16338239999999901</v>
      </c>
      <c r="X1827">
        <v>0.96566189999999996</v>
      </c>
      <c r="Y1827">
        <v>0.63238909999999904</v>
      </c>
      <c r="Z1827">
        <v>2.7169450000000001E-2</v>
      </c>
      <c r="AA1827">
        <v>0.77417429999999998</v>
      </c>
      <c r="AB1827">
        <v>34</v>
      </c>
      <c r="AC1827">
        <v>-34.290099999999903</v>
      </c>
      <c r="AD1827">
        <v>-1.0973303588349901</v>
      </c>
      <c r="AE1827">
        <v>3.1178000000000101</v>
      </c>
      <c r="AF1827">
        <v>21.931414742485401</v>
      </c>
      <c r="AG1827">
        <v>-1.0973303588349901</v>
      </c>
      <c r="AH1827">
        <v>26.497925928870998</v>
      </c>
      <c r="AI1827">
        <v>91.827246203916403</v>
      </c>
      <c r="AJ1827">
        <v>50.386621073967</v>
      </c>
      <c r="AK1827">
        <v>34.414112876191702</v>
      </c>
      <c r="AL1827">
        <v>80.596722071761107</v>
      </c>
      <c r="AM1827">
        <v>78.185172765758097</v>
      </c>
      <c r="AN1827">
        <v>0.999999973072489</v>
      </c>
    </row>
    <row r="1828" spans="1:40" x14ac:dyDescent="0.3">
      <c r="A1828" t="str">
        <f>"20200111150833752"</f>
        <v>20200111150833752</v>
      </c>
      <c r="B1828" t="str">
        <f>"1578726513744792"</f>
        <v>1578726513744792</v>
      </c>
      <c r="C1828" t="s">
        <v>40</v>
      </c>
      <c r="D1828">
        <v>5.3167720000000003</v>
      </c>
      <c r="E1828">
        <v>0.63808199999999904</v>
      </c>
      <c r="F1828" t="s">
        <v>43</v>
      </c>
      <c r="G1828">
        <v>-243.97470000000001</v>
      </c>
      <c r="H1828" s="1">
        <v>-3.6959690000000001E-6</v>
      </c>
      <c r="I1828">
        <v>143.97149999999999</v>
      </c>
      <c r="J1828">
        <v>-197.715</v>
      </c>
      <c r="K1828">
        <v>1.0973219999999999</v>
      </c>
      <c r="L1828">
        <v>145.67150000000001</v>
      </c>
      <c r="M1828">
        <v>-0.83287929999999999</v>
      </c>
      <c r="N1828">
        <v>0</v>
      </c>
      <c r="O1828">
        <v>-0.55329349999999999</v>
      </c>
      <c r="P1828">
        <v>-0.91459970000000002</v>
      </c>
      <c r="Q1828">
        <v>0.15649749999999901</v>
      </c>
      <c r="R1828">
        <v>-0.37284840000000002</v>
      </c>
      <c r="S1828">
        <v>-3.2550509999999999</v>
      </c>
      <c r="T1828">
        <v>-7.6708200000000004E-2</v>
      </c>
      <c r="U1828">
        <v>-0.13236999999999999</v>
      </c>
      <c r="V1828">
        <v>0.2006127</v>
      </c>
      <c r="W1828">
        <v>0.1633588</v>
      </c>
      <c r="X1828">
        <v>0.96595469999999894</v>
      </c>
      <c r="Y1828">
        <v>0.51875930000000003</v>
      </c>
      <c r="Z1828">
        <v>1.8511909999999999E-2</v>
      </c>
      <c r="AA1828">
        <v>0.85471989999999998</v>
      </c>
      <c r="AB1828">
        <v>34</v>
      </c>
      <c r="AC1828">
        <v>-46.259700000000002</v>
      </c>
      <c r="AD1828">
        <v>-1.0973256959690001</v>
      </c>
      <c r="AE1828">
        <v>-1.7000000000000099</v>
      </c>
      <c r="AF1828">
        <v>24.167872722039501</v>
      </c>
      <c r="AG1828">
        <v>-1.0973256959690001</v>
      </c>
      <c r="AH1828">
        <v>39.450697752786702</v>
      </c>
      <c r="AI1828">
        <v>91.358704037192595</v>
      </c>
      <c r="AJ1828">
        <v>58.507968024308198</v>
      </c>
      <c r="AK1828">
        <v>46.277940195880198</v>
      </c>
      <c r="AL1828">
        <v>80.598093089795995</v>
      </c>
      <c r="AM1828">
        <v>78.267408316266</v>
      </c>
      <c r="AN1828">
        <v>1.0000000176954</v>
      </c>
    </row>
    <row r="1829" spans="1:40" x14ac:dyDescent="0.3">
      <c r="A1829" t="str">
        <f>"20200111150833775"</f>
        <v>20200111150833775</v>
      </c>
      <c r="B1829" t="str">
        <f>"1578726513765287"</f>
        <v>1578726513765287</v>
      </c>
      <c r="C1829" t="s">
        <v>40</v>
      </c>
      <c r="D1829">
        <v>5.3330029999999997</v>
      </c>
      <c r="E1829">
        <v>0.64035920000000002</v>
      </c>
      <c r="F1829" t="s">
        <v>43</v>
      </c>
      <c r="G1829">
        <v>-226.05879999999999</v>
      </c>
      <c r="H1829" s="1">
        <v>-3.0287349999999998E-6</v>
      </c>
      <c r="I1829">
        <v>144.71129999999999</v>
      </c>
      <c r="J1829">
        <v>-198.02099999999999</v>
      </c>
      <c r="K1829">
        <v>1.0973280000000001</v>
      </c>
      <c r="L1829">
        <v>145.4829</v>
      </c>
      <c r="M1829">
        <v>-0.84069269999999996</v>
      </c>
      <c r="N1829">
        <v>0</v>
      </c>
      <c r="O1829">
        <v>-0.54134789999999999</v>
      </c>
      <c r="P1829">
        <v>-0.91936519999999999</v>
      </c>
      <c r="Q1829">
        <v>0.15576719999999999</v>
      </c>
      <c r="R1829">
        <v>-0.36125400000000002</v>
      </c>
      <c r="S1829">
        <v>-3.256729</v>
      </c>
      <c r="T1829">
        <v>-0.126084</v>
      </c>
      <c r="U1829">
        <v>-0.110321</v>
      </c>
      <c r="V1829">
        <v>0.19907920000000001</v>
      </c>
      <c r="W1829">
        <v>0.16268089999999999</v>
      </c>
      <c r="X1829">
        <v>0.96638630000000003</v>
      </c>
      <c r="Y1829">
        <v>0.51187179999999999</v>
      </c>
      <c r="Z1829">
        <v>2.989458E-2</v>
      </c>
      <c r="AA1829">
        <v>0.85854159999999902</v>
      </c>
      <c r="AB1829">
        <v>34</v>
      </c>
      <c r="AC1829">
        <v>-28.037800000000001</v>
      </c>
      <c r="AD1829">
        <v>-1.097331028735</v>
      </c>
      <c r="AE1829">
        <v>-0.77160000000000595</v>
      </c>
      <c r="AF1829">
        <v>14.5086139450251</v>
      </c>
      <c r="AG1829">
        <v>-1.097331028735</v>
      </c>
      <c r="AH1829">
        <v>23.954351668723898</v>
      </c>
      <c r="AI1829">
        <v>92.243851317060702</v>
      </c>
      <c r="AJ1829">
        <v>58.797649954317897</v>
      </c>
      <c r="AK1829">
        <v>28.027040119521999</v>
      </c>
      <c r="AL1829">
        <v>80.637460754571805</v>
      </c>
      <c r="AM1829">
        <v>78.359693560765507</v>
      </c>
      <c r="AN1829">
        <v>1.0000000419625601</v>
      </c>
    </row>
    <row r="1830" spans="1:40" x14ac:dyDescent="0.3">
      <c r="A1830" t="str">
        <f>"20200111150833797"</f>
        <v>20200111150833797</v>
      </c>
      <c r="B1830" t="str">
        <f>"1578726513794571"</f>
        <v>1578726513794571</v>
      </c>
      <c r="C1830" t="s">
        <v>40</v>
      </c>
      <c r="D1830">
        <v>5.2956909999999997</v>
      </c>
      <c r="E1830">
        <v>0.63765139999999998</v>
      </c>
      <c r="F1830" t="s">
        <v>43</v>
      </c>
      <c r="G1830">
        <v>-221.50489999999999</v>
      </c>
      <c r="H1830" s="1">
        <v>-4.7382309999999996E-6</v>
      </c>
      <c r="I1830">
        <v>145.10910000000001</v>
      </c>
      <c r="J1830">
        <v>-198.3116</v>
      </c>
      <c r="K1830">
        <v>1.0973310000000001</v>
      </c>
      <c r="L1830">
        <v>145.3092</v>
      </c>
      <c r="M1830">
        <v>-0.84789530000000002</v>
      </c>
      <c r="N1830">
        <v>0</v>
      </c>
      <c r="O1830">
        <v>-0.52999540000000001</v>
      </c>
      <c r="P1830">
        <v>-0.92367109999999997</v>
      </c>
      <c r="Q1830">
        <v>0.1554894</v>
      </c>
      <c r="R1830">
        <v>-0.3502208</v>
      </c>
      <c r="S1830">
        <v>-3.2685849999999999</v>
      </c>
      <c r="T1830">
        <v>-0.15273149999999999</v>
      </c>
      <c r="U1830">
        <v>-5.2017210000000001E-2</v>
      </c>
      <c r="V1830">
        <v>0.19766880000000001</v>
      </c>
      <c r="W1830">
        <v>0.16245079999999901</v>
      </c>
      <c r="X1830">
        <v>0.96671439999999997</v>
      </c>
      <c r="Y1830">
        <v>0.51539199999999996</v>
      </c>
      <c r="Z1830">
        <v>3.5741820000000001E-2</v>
      </c>
      <c r="AA1830">
        <v>0.85620889999999905</v>
      </c>
      <c r="AB1830">
        <v>34</v>
      </c>
      <c r="AC1830">
        <v>-23.193299999999901</v>
      </c>
      <c r="AD1830">
        <v>-1.0973357382310001</v>
      </c>
      <c r="AE1830">
        <v>-0.20009999999999101</v>
      </c>
      <c r="AF1830">
        <v>12.096683952785099</v>
      </c>
      <c r="AG1830">
        <v>-1.0973357382310001</v>
      </c>
      <c r="AH1830">
        <v>19.7291462693602</v>
      </c>
      <c r="AI1830">
        <v>92.714746522214995</v>
      </c>
      <c r="AJ1830">
        <v>58.4859672234264</v>
      </c>
      <c r="AK1830">
        <v>23.1683646573033</v>
      </c>
      <c r="AL1830">
        <v>80.650821610879404</v>
      </c>
      <c r="AM1830">
        <v>78.4437511187311</v>
      </c>
      <c r="AN1830">
        <v>0.99999997404071905</v>
      </c>
    </row>
    <row r="1831" spans="1:40" x14ac:dyDescent="0.3">
      <c r="A1831" t="str">
        <f>"20200111150833819"</f>
        <v>20200111150833819</v>
      </c>
      <c r="B1831" t="str">
        <f>"1578726513815064"</f>
        <v>1578726513815064</v>
      </c>
      <c r="C1831" t="s">
        <v>40</v>
      </c>
      <c r="D1831">
        <v>5.2999000000000001</v>
      </c>
      <c r="E1831">
        <v>0.63526400000000005</v>
      </c>
      <c r="F1831" t="s">
        <v>43</v>
      </c>
      <c r="G1831">
        <v>-217.09389999999999</v>
      </c>
      <c r="H1831" s="1">
        <v>-2.8176439999999999E-6</v>
      </c>
      <c r="I1831">
        <v>145.1165</v>
      </c>
      <c r="J1831">
        <v>-198.6046</v>
      </c>
      <c r="K1831">
        <v>1.0973280000000001</v>
      </c>
      <c r="L1831">
        <v>145.1395</v>
      </c>
      <c r="M1831">
        <v>-0.85494709999999996</v>
      </c>
      <c r="N1831">
        <v>0</v>
      </c>
      <c r="O1831">
        <v>-0.51854330000000004</v>
      </c>
      <c r="P1831">
        <v>-0.92784999999999995</v>
      </c>
      <c r="Q1831">
        <v>0.15536549999999999</v>
      </c>
      <c r="R1831">
        <v>-0.33905180000000001</v>
      </c>
      <c r="S1831">
        <v>-3.2673190000000001</v>
      </c>
      <c r="T1831">
        <v>-0.1908888</v>
      </c>
      <c r="U1831">
        <v>-3.3538819999999997E-2</v>
      </c>
      <c r="V1831">
        <v>0.19633310000000001</v>
      </c>
      <c r="W1831">
        <v>0.1623723</v>
      </c>
      <c r="X1831">
        <v>0.96699979999999996</v>
      </c>
      <c r="Y1831">
        <v>0.50810690000000003</v>
      </c>
      <c r="Z1831">
        <v>4.3897199999999997E-2</v>
      </c>
      <c r="AA1831">
        <v>0.86017469999999996</v>
      </c>
      <c r="AB1831">
        <v>34</v>
      </c>
      <c r="AC1831">
        <v>-18.489299999999901</v>
      </c>
      <c r="AD1831">
        <v>-1.097330817644</v>
      </c>
      <c r="AE1831">
        <v>-2.29999999999961E-2</v>
      </c>
      <c r="AF1831">
        <v>9.5351058907410504</v>
      </c>
      <c r="AG1831">
        <v>-1.097330817644</v>
      </c>
      <c r="AH1831">
        <v>15.765179795456</v>
      </c>
      <c r="AI1831">
        <v>93.408424919492504</v>
      </c>
      <c r="AJ1831">
        <v>58.833586018806898</v>
      </c>
      <c r="AK1831">
        <v>18.4570656729083</v>
      </c>
      <c r="AL1831">
        <v>80.655380391449896</v>
      </c>
      <c r="AM1831">
        <v>78.523058010984897</v>
      </c>
      <c r="AN1831">
        <v>1.0000000315814599</v>
      </c>
    </row>
    <row r="1832" spans="1:40" x14ac:dyDescent="0.3">
      <c r="A1832" t="str">
        <f>"20200111150833842"</f>
        <v>20200111150833842</v>
      </c>
      <c r="B1832" t="str">
        <f>"1578726513834584"</f>
        <v>1578726513834584</v>
      </c>
      <c r="C1832" t="s">
        <v>40</v>
      </c>
      <c r="D1832">
        <v>5.3096769999999998</v>
      </c>
      <c r="E1832">
        <v>0.63280899999999995</v>
      </c>
      <c r="F1832" t="s">
        <v>43</v>
      </c>
      <c r="G1832">
        <v>-216.52670000000001</v>
      </c>
      <c r="H1832" s="1">
        <v>-3.0735950000000002E-6</v>
      </c>
      <c r="I1832">
        <v>145.07060000000001</v>
      </c>
      <c r="J1832">
        <v>-198.90430000000001</v>
      </c>
      <c r="K1832">
        <v>1.0973329999999999</v>
      </c>
      <c r="L1832">
        <v>144.97149999999999</v>
      </c>
      <c r="M1832">
        <v>-0.8619388</v>
      </c>
      <c r="N1832">
        <v>0</v>
      </c>
      <c r="O1832">
        <v>-0.50683670000000003</v>
      </c>
      <c r="P1832">
        <v>-0.93204770000000003</v>
      </c>
      <c r="Q1832">
        <v>0.15584619999999999</v>
      </c>
      <c r="R1832">
        <v>-0.32710729999999999</v>
      </c>
      <c r="S1832">
        <v>-3.2621609999999999</v>
      </c>
      <c r="T1832">
        <v>-0.19973540000000001</v>
      </c>
      <c r="U1832">
        <v>-1.2527470000000001E-2</v>
      </c>
      <c r="V1832">
        <v>0.19553709999999999</v>
      </c>
      <c r="W1832">
        <v>0.16287950000000001</v>
      </c>
      <c r="X1832">
        <v>0.96707580000000004</v>
      </c>
      <c r="Y1832">
        <v>0.50175029999999998</v>
      </c>
      <c r="Z1832">
        <v>4.5194989999999997E-2</v>
      </c>
      <c r="AA1832">
        <v>0.86383099999999902</v>
      </c>
      <c r="AB1832">
        <v>34</v>
      </c>
      <c r="AC1832">
        <v>-17.622399999999999</v>
      </c>
      <c r="AD1832">
        <v>-1.097336073595</v>
      </c>
      <c r="AE1832">
        <v>9.9100000000021199E-2</v>
      </c>
      <c r="AF1832">
        <v>8.9830695752429293</v>
      </c>
      <c r="AG1832">
        <v>-1.097336073595</v>
      </c>
      <c r="AH1832">
        <v>15.0820723146278</v>
      </c>
      <c r="AI1832">
        <v>93.576896009564393</v>
      </c>
      <c r="AJ1832">
        <v>59.221446815969202</v>
      </c>
      <c r="AK1832">
        <v>17.588876904331599</v>
      </c>
      <c r="AL1832">
        <v>80.625928031292801</v>
      </c>
      <c r="AM1832">
        <v>78.569236623887804</v>
      </c>
      <c r="AN1832">
        <v>1.00000004597114</v>
      </c>
    </row>
    <row r="1833" spans="1:40" x14ac:dyDescent="0.3">
      <c r="A1833" t="str">
        <f>"20200111150833863"</f>
        <v>20200111150833863</v>
      </c>
      <c r="B1833" t="str">
        <f>"1578726513855083"</f>
        <v>1578726513855083</v>
      </c>
      <c r="C1833" t="s">
        <v>40</v>
      </c>
      <c r="D1833">
        <v>5.4013429999999998</v>
      </c>
      <c r="E1833">
        <v>0.63107969999999902</v>
      </c>
      <c r="F1833" t="s">
        <v>43</v>
      </c>
      <c r="G1833">
        <v>-216.03290000000001</v>
      </c>
      <c r="H1833" s="1">
        <v>-3.2936499999999998E-6</v>
      </c>
      <c r="I1833">
        <v>145.02029999999999</v>
      </c>
      <c r="J1833">
        <v>-199.2133</v>
      </c>
      <c r="K1833">
        <v>1.0973379999999999</v>
      </c>
      <c r="L1833">
        <v>144.804</v>
      </c>
      <c r="M1833">
        <v>-0.86892349999999996</v>
      </c>
      <c r="N1833">
        <v>0</v>
      </c>
      <c r="O1833">
        <v>-0.49476619999999999</v>
      </c>
      <c r="P1833">
        <v>-0.93591939999999996</v>
      </c>
      <c r="Q1833">
        <v>0.15617420000000001</v>
      </c>
      <c r="R1833">
        <v>-0.3156969</v>
      </c>
      <c r="S1833">
        <v>-3.256866</v>
      </c>
      <c r="T1833">
        <v>-0.2086499</v>
      </c>
      <c r="U1833">
        <v>9.2773439999999999E-3</v>
      </c>
      <c r="V1833">
        <v>0.1938405</v>
      </c>
      <c r="W1833">
        <v>0.16326479999999999</v>
      </c>
      <c r="X1833">
        <v>0.96735230000000005</v>
      </c>
      <c r="Y1833">
        <v>0.4953244</v>
      </c>
      <c r="Z1833">
        <v>4.6412109999999999E-2</v>
      </c>
      <c r="AA1833">
        <v>0.8674674</v>
      </c>
      <c r="AB1833">
        <v>34</v>
      </c>
      <c r="AC1833">
        <v>-16.819600000000001</v>
      </c>
      <c r="AD1833">
        <v>-1.09734129365</v>
      </c>
      <c r="AE1833">
        <v>0.216299999999989</v>
      </c>
      <c r="AF1833">
        <v>8.4744113978025393</v>
      </c>
      <c r="AG1833">
        <v>-1.09734129365</v>
      </c>
      <c r="AH1833">
        <v>14.447735207945501</v>
      </c>
      <c r="AI1833">
        <v>93.748322381696994</v>
      </c>
      <c r="AJ1833">
        <v>59.6059730994115</v>
      </c>
      <c r="AK1833">
        <v>16.785614647455201</v>
      </c>
      <c r="AL1833">
        <v>80.603552047872896</v>
      </c>
      <c r="AM1833">
        <v>78.668994770378106</v>
      </c>
      <c r="AN1833">
        <v>1.00000000333729</v>
      </c>
    </row>
    <row r="1834" spans="1:40" x14ac:dyDescent="0.3">
      <c r="A1834" t="str">
        <f>"20200111150833887"</f>
        <v>20200111150833887</v>
      </c>
      <c r="B1834" t="str">
        <f>"1578726513885336"</f>
        <v>1578726513885336</v>
      </c>
      <c r="C1834" t="s">
        <v>40</v>
      </c>
      <c r="D1834">
        <v>5.349577</v>
      </c>
      <c r="E1834">
        <v>0.62938899999999998</v>
      </c>
      <c r="F1834" t="s">
        <v>43</v>
      </c>
      <c r="G1834">
        <v>-215.76609999999999</v>
      </c>
      <c r="H1834" s="1">
        <v>-3.4094579999999998E-6</v>
      </c>
      <c r="I1834">
        <v>144.98169999999999</v>
      </c>
      <c r="J1834">
        <v>-199.52279999999999</v>
      </c>
      <c r="K1834">
        <v>1.0973440000000001</v>
      </c>
      <c r="L1834">
        <v>144.64160000000001</v>
      </c>
      <c r="M1834">
        <v>-0.87569560000000002</v>
      </c>
      <c r="N1834">
        <v>0</v>
      </c>
      <c r="O1834">
        <v>-0.48267870000000002</v>
      </c>
      <c r="P1834">
        <v>-0.93935440000000003</v>
      </c>
      <c r="Q1834">
        <v>0.15621309999999999</v>
      </c>
      <c r="R1834">
        <v>-0.30530459999999998</v>
      </c>
      <c r="S1834">
        <v>-3.253174</v>
      </c>
      <c r="T1834">
        <v>-0.2156633</v>
      </c>
      <c r="U1834">
        <v>3.4927369999999999E-2</v>
      </c>
      <c r="V1834">
        <v>0.19114700000000001</v>
      </c>
      <c r="W1834">
        <v>0.16339509999999999</v>
      </c>
      <c r="X1834">
        <v>0.96786609999999995</v>
      </c>
      <c r="Y1834">
        <v>0.49002869999999998</v>
      </c>
      <c r="Z1834">
        <v>4.7150749999999998E-2</v>
      </c>
      <c r="AA1834">
        <v>0.87043019999999904</v>
      </c>
      <c r="AB1834">
        <v>34</v>
      </c>
      <c r="AC1834">
        <v>-16.243300000000001</v>
      </c>
      <c r="AD1834">
        <v>-1.097347409458</v>
      </c>
      <c r="AE1834">
        <v>0.34009999999997798</v>
      </c>
      <c r="AF1834">
        <v>8.1018850800850508</v>
      </c>
      <c r="AG1834">
        <v>-1.097347409458</v>
      </c>
      <c r="AH1834">
        <v>13.9974268623927</v>
      </c>
      <c r="AI1834">
        <v>93.881583490640097</v>
      </c>
      <c r="AJ1834">
        <v>59.9372067479541</v>
      </c>
      <c r="AK1834">
        <v>16.210264401174399</v>
      </c>
      <c r="AL1834">
        <v>80.595984388419694</v>
      </c>
      <c r="AM1834">
        <v>78.828237209373896</v>
      </c>
      <c r="AN1834">
        <v>0.99999996092110899</v>
      </c>
    </row>
    <row r="1835" spans="1:40" x14ac:dyDescent="0.3">
      <c r="A1835" t="str">
        <f>"20200111150833908"</f>
        <v>20200111150833908</v>
      </c>
      <c r="B1835" t="str">
        <f>"1578726513904856"</f>
        <v>1578726513904856</v>
      </c>
      <c r="C1835" t="s">
        <v>40</v>
      </c>
      <c r="D1835">
        <v>5.2904260000000001</v>
      </c>
      <c r="E1835">
        <v>0.62818180000000001</v>
      </c>
      <c r="F1835" t="s">
        <v>43</v>
      </c>
      <c r="G1835">
        <v>-215.88499999999999</v>
      </c>
      <c r="H1835" s="1">
        <v>-3.34056E-6</v>
      </c>
      <c r="I1835">
        <v>144.934</v>
      </c>
      <c r="J1835">
        <v>-199.81649999999999</v>
      </c>
      <c r="K1835">
        <v>1.097343</v>
      </c>
      <c r="L1835">
        <v>144.4923</v>
      </c>
      <c r="M1835">
        <v>-0.88191659999999905</v>
      </c>
      <c r="N1835">
        <v>0</v>
      </c>
      <c r="O1835">
        <v>-0.47121659999999999</v>
      </c>
      <c r="P1835">
        <v>-0.94276599999999999</v>
      </c>
      <c r="Q1835">
        <v>0.15515139999999999</v>
      </c>
      <c r="R1835">
        <v>-0.29516150000000002</v>
      </c>
      <c r="S1835">
        <v>-3.2487949999999999</v>
      </c>
      <c r="T1835">
        <v>-0.2178833</v>
      </c>
      <c r="U1835">
        <v>5.8059689999999997E-2</v>
      </c>
      <c r="V1835">
        <v>0.18899659999999999</v>
      </c>
      <c r="W1835">
        <v>0.16240940000000001</v>
      </c>
      <c r="X1835">
        <v>0.96845420000000004</v>
      </c>
      <c r="Y1835">
        <v>0.48485790000000001</v>
      </c>
      <c r="Z1835">
        <v>4.6849019999999998E-2</v>
      </c>
      <c r="AA1835">
        <v>0.87333729999999998</v>
      </c>
      <c r="AB1835">
        <v>34</v>
      </c>
      <c r="AC1835">
        <v>-16.0685</v>
      </c>
      <c r="AD1835">
        <v>-1.0973463405599999</v>
      </c>
      <c r="AE1835">
        <v>0.44169999999999698</v>
      </c>
      <c r="AF1835">
        <v>7.92506252294557</v>
      </c>
      <c r="AG1835">
        <v>-1.0973463405599999</v>
      </c>
      <c r="AH1835">
        <v>13.8994089201595</v>
      </c>
      <c r="AI1835">
        <v>93.923436742942101</v>
      </c>
      <c r="AJ1835">
        <v>60.3093949799173</v>
      </c>
      <c r="AK1835">
        <v>16.037591880127898</v>
      </c>
      <c r="AL1835">
        <v>80.653226134553705</v>
      </c>
      <c r="AM1835">
        <v>78.957354232150905</v>
      </c>
      <c r="AN1835">
        <v>1.0000000327587699</v>
      </c>
    </row>
    <row r="1836" spans="1:40" x14ac:dyDescent="0.3">
      <c r="A1836" t="str">
        <f>"20200111150833932"</f>
        <v>20200111150833932</v>
      </c>
      <c r="B1836" t="str">
        <f>"1578726513925352"</f>
        <v>1578726513925352</v>
      </c>
      <c r="C1836" t="s">
        <v>40</v>
      </c>
      <c r="D1836">
        <v>5.2690010000000003</v>
      </c>
      <c r="E1836">
        <v>0.62761979999999995</v>
      </c>
      <c r="F1836" t="s">
        <v>43</v>
      </c>
      <c r="G1836">
        <v>-215.72329999999999</v>
      </c>
      <c r="H1836" s="1">
        <v>-3.4092540000000001E-6</v>
      </c>
      <c r="I1836">
        <v>144.90479999999999</v>
      </c>
      <c r="J1836">
        <v>-200.1386</v>
      </c>
      <c r="K1836">
        <v>1.0973580000000001</v>
      </c>
      <c r="L1836">
        <v>144.33410000000001</v>
      </c>
      <c r="M1836">
        <v>-0.88850799999999996</v>
      </c>
      <c r="N1836">
        <v>0</v>
      </c>
      <c r="O1836">
        <v>-0.45866679999999999</v>
      </c>
      <c r="P1836">
        <v>-0.94639499999999999</v>
      </c>
      <c r="Q1836">
        <v>0.15412919999999999</v>
      </c>
      <c r="R1836">
        <v>-0.28386739999999999</v>
      </c>
      <c r="S1836">
        <v>-3.2453159999999999</v>
      </c>
      <c r="T1836">
        <v>-0.22388279999999999</v>
      </c>
      <c r="U1836">
        <v>8.415222E-2</v>
      </c>
      <c r="V1836">
        <v>0.18688089999999999</v>
      </c>
      <c r="W1836">
        <v>0.16146359999999901</v>
      </c>
      <c r="X1836">
        <v>0.96902279999999996</v>
      </c>
      <c r="Y1836">
        <v>0.47941669999999997</v>
      </c>
      <c r="Z1836">
        <v>4.7229720000000003E-2</v>
      </c>
      <c r="AA1836">
        <v>0.87631550000000002</v>
      </c>
      <c r="AB1836">
        <v>34</v>
      </c>
      <c r="AC1836">
        <v>-15.5846999999999</v>
      </c>
      <c r="AD1836">
        <v>-1.0973614092540001</v>
      </c>
      <c r="AE1836">
        <v>0.570699999999987</v>
      </c>
      <c r="AF1836">
        <v>7.6182183600195197</v>
      </c>
      <c r="AG1836">
        <v>-1.0973614092540001</v>
      </c>
      <c r="AH1836">
        <v>13.519640796352601</v>
      </c>
      <c r="AI1836">
        <v>94.044879339339701</v>
      </c>
      <c r="AJ1836">
        <v>60.599059844721097</v>
      </c>
      <c r="AK1836">
        <v>15.557060786210901</v>
      </c>
      <c r="AL1836">
        <v>80.708141703122394</v>
      </c>
      <c r="AM1836">
        <v>79.084235491542401</v>
      </c>
      <c r="AN1836">
        <v>1.0000000759148</v>
      </c>
    </row>
    <row r="1837" spans="1:40" x14ac:dyDescent="0.3">
      <c r="A1837" t="str">
        <f>"20200111150833953"</f>
        <v>20200111150833953</v>
      </c>
      <c r="B1837" t="str">
        <f>"1578726513944872"</f>
        <v>1578726513944872</v>
      </c>
      <c r="C1837" t="s">
        <v>40</v>
      </c>
      <c r="D1837">
        <v>5.177549</v>
      </c>
      <c r="E1837">
        <v>0.55533109999999997</v>
      </c>
      <c r="F1837" t="s">
        <v>43</v>
      </c>
      <c r="G1837">
        <v>-215.73769999999999</v>
      </c>
      <c r="H1837" s="1">
        <v>-3.4030249999999999E-6</v>
      </c>
      <c r="I1837">
        <v>144.90710000000001</v>
      </c>
      <c r="J1837">
        <v>-200.45079999999999</v>
      </c>
      <c r="K1837">
        <v>1.097378</v>
      </c>
      <c r="L1837">
        <v>144.18600000000001</v>
      </c>
      <c r="M1837">
        <v>-0.89466979999999996</v>
      </c>
      <c r="N1837">
        <v>0</v>
      </c>
      <c r="O1837">
        <v>-0.44652890000000001</v>
      </c>
      <c r="P1837">
        <v>-0.94981320000000002</v>
      </c>
      <c r="Q1837">
        <v>0.1525656</v>
      </c>
      <c r="R1837">
        <v>-0.27309080000000002</v>
      </c>
      <c r="S1837">
        <v>-3.2428129999999999</v>
      </c>
      <c r="T1837">
        <v>-0.2281241</v>
      </c>
      <c r="U1837">
        <v>0.11912540000000001</v>
      </c>
      <c r="V1837">
        <v>0.18475549999999999</v>
      </c>
      <c r="W1837">
        <v>0.1599787</v>
      </c>
      <c r="X1837">
        <v>0.96967630000000005</v>
      </c>
      <c r="Y1837">
        <v>0.47688700000000001</v>
      </c>
      <c r="Z1837">
        <v>4.7305420000000001E-2</v>
      </c>
      <c r="AA1837">
        <v>0.87769069999999905</v>
      </c>
      <c r="AB1837">
        <v>34</v>
      </c>
      <c r="AC1837">
        <v>-15.286899999999999</v>
      </c>
      <c r="AD1837">
        <v>-1.097381403025</v>
      </c>
      <c r="AE1837">
        <v>0.72110000000000696</v>
      </c>
      <c r="AF1837">
        <v>7.4336317640045699</v>
      </c>
      <c r="AG1837">
        <v>-1.097381403025</v>
      </c>
      <c r="AH1837">
        <v>13.2876022288815</v>
      </c>
      <c r="AI1837">
        <v>94.1224476080275</v>
      </c>
      <c r="AJ1837">
        <v>60.775554078798599</v>
      </c>
      <c r="AK1837">
        <v>15.2651072757285</v>
      </c>
      <c r="AL1837">
        <v>80.794339667832404</v>
      </c>
      <c r="AM1837">
        <v>79.2125517397604</v>
      </c>
      <c r="AN1837">
        <v>0.99999995300781397</v>
      </c>
    </row>
    <row r="1838" spans="1:40" x14ac:dyDescent="0.3">
      <c r="A1838" t="str">
        <f>"20200111150833976"</f>
        <v>20200111150833976</v>
      </c>
      <c r="B1838" t="str">
        <f>"1578726513965367"</f>
        <v>1578726513965367</v>
      </c>
      <c r="C1838" t="s">
        <v>40</v>
      </c>
      <c r="D1838">
        <v>5.3944429999999999</v>
      </c>
      <c r="E1838">
        <v>0.50342659999999995</v>
      </c>
      <c r="F1838" t="s">
        <v>81</v>
      </c>
      <c r="G1838">
        <v>-387.96890000000002</v>
      </c>
      <c r="H1838">
        <v>8.7179380000000002</v>
      </c>
      <c r="I1838">
        <v>119.6172</v>
      </c>
      <c r="J1838">
        <v>-200.76480000000001</v>
      </c>
      <c r="K1838">
        <v>1.0974079999999999</v>
      </c>
      <c r="L1838">
        <v>144.04220000000001</v>
      </c>
      <c r="M1838">
        <v>-0.90064719999999998</v>
      </c>
      <c r="N1838">
        <v>0</v>
      </c>
      <c r="O1838">
        <v>-0.43434660000000003</v>
      </c>
      <c r="P1838">
        <v>-0.95312430000000004</v>
      </c>
      <c r="Q1838">
        <v>0.15138190000000001</v>
      </c>
      <c r="R1838">
        <v>-0.2619879</v>
      </c>
      <c r="S1838">
        <v>-3.024826</v>
      </c>
      <c r="T1838">
        <v>0.1229261</v>
      </c>
      <c r="U1838">
        <v>-0.39631650000000002</v>
      </c>
      <c r="V1838">
        <v>0.1829432</v>
      </c>
      <c r="W1838">
        <v>0.15886310000000001</v>
      </c>
      <c r="X1838">
        <v>0.97020320000000004</v>
      </c>
      <c r="Y1838">
        <v>0.3131099</v>
      </c>
      <c r="Z1838">
        <v>-2.332205E-2</v>
      </c>
      <c r="AA1838">
        <v>0.94943049999999996</v>
      </c>
      <c r="AB1838">
        <v>34</v>
      </c>
      <c r="AC1838">
        <v>-187.20410000000001</v>
      </c>
      <c r="AD1838">
        <v>7.6205299999999996</v>
      </c>
      <c r="AE1838">
        <v>-24.425000000000001</v>
      </c>
      <c r="AF1838">
        <v>59.221933716396499</v>
      </c>
      <c r="AG1838">
        <v>7.6205299999999996</v>
      </c>
      <c r="AH1838">
        <v>178.93813605788699</v>
      </c>
      <c r="AI1838">
        <v>87.684751518222797</v>
      </c>
      <c r="AJ1838">
        <v>71.687357997222406</v>
      </c>
      <c r="AK1838">
        <v>188.63765914170199</v>
      </c>
      <c r="AL1838">
        <v>80.8590871125908</v>
      </c>
      <c r="AM1838">
        <v>79.3215890592639</v>
      </c>
      <c r="AN1838">
        <v>0.99999997412904396</v>
      </c>
    </row>
    <row r="1839" spans="1:40" x14ac:dyDescent="0.3">
      <c r="A1839" t="str">
        <f>"20200111150833997"</f>
        <v>20200111150833997</v>
      </c>
      <c r="B1839" t="str">
        <f>"1578726513994648"</f>
        <v>1578726513994648</v>
      </c>
      <c r="C1839" t="s">
        <v>40</v>
      </c>
      <c r="D1839">
        <v>7.9238770000000001</v>
      </c>
      <c r="E1839">
        <v>0.50234869999999998</v>
      </c>
      <c r="F1839" t="s">
        <v>43</v>
      </c>
      <c r="G1839">
        <v>-216.71340000000001</v>
      </c>
      <c r="H1839" s="1">
        <v>-1.6252600000000001E-6</v>
      </c>
      <c r="I1839">
        <v>139.95910000000001</v>
      </c>
      <c r="J1839">
        <v>-201.06139999999999</v>
      </c>
      <c r="K1839">
        <v>1.0974410000000001</v>
      </c>
      <c r="L1839">
        <v>143.911</v>
      </c>
      <c r="M1839">
        <v>-0.90609479999999998</v>
      </c>
      <c r="N1839">
        <v>0</v>
      </c>
      <c r="O1839">
        <v>-0.42286499999999999</v>
      </c>
      <c r="P1839">
        <v>-0.95583899999999999</v>
      </c>
      <c r="Q1839">
        <v>0.15107950000000001</v>
      </c>
      <c r="R1839">
        <v>-0.25208560000000002</v>
      </c>
      <c r="S1839">
        <v>-2.9709319999999999</v>
      </c>
      <c r="T1839">
        <v>-0.20442689999999999</v>
      </c>
      <c r="U1839">
        <v>-0.76060490000000003</v>
      </c>
      <c r="V1839">
        <v>0.18067349999999999</v>
      </c>
      <c r="W1839">
        <v>0.15864139999999999</v>
      </c>
      <c r="X1839">
        <v>0.97066470000000005</v>
      </c>
      <c r="Y1839">
        <v>0.18367729999999999</v>
      </c>
      <c r="Z1839">
        <v>3.3743450000000001E-2</v>
      </c>
      <c r="AA1839">
        <v>0.98240729999999998</v>
      </c>
      <c r="AB1839">
        <v>34</v>
      </c>
      <c r="AC1839">
        <v>-15.651999999999999</v>
      </c>
      <c r="AD1839">
        <v>-1.09744262525999</v>
      </c>
      <c r="AE1839">
        <v>-3.95189999999999</v>
      </c>
      <c r="AF1839">
        <v>3.0241801339833798</v>
      </c>
      <c r="AG1839">
        <v>-1.09744262525999</v>
      </c>
      <c r="AH1839">
        <v>15.781786571764099</v>
      </c>
      <c r="AI1839">
        <v>93.907002384003206</v>
      </c>
      <c r="AJ1839">
        <v>79.152214640130794</v>
      </c>
      <c r="AK1839">
        <v>16.106360023147101</v>
      </c>
      <c r="AL1839">
        <v>80.871952830698902</v>
      </c>
      <c r="AM1839">
        <v>79.455982931727206</v>
      </c>
      <c r="AN1839">
        <v>0.99999998361114895</v>
      </c>
    </row>
    <row r="1840" spans="1:40" x14ac:dyDescent="0.3">
      <c r="A1840" t="str">
        <f>"20200111150834021"</f>
        <v>20200111150834021</v>
      </c>
      <c r="B1840" t="str">
        <f>"1578726514015144"</f>
        <v>1578726514015144</v>
      </c>
      <c r="C1840" t="s">
        <v>40</v>
      </c>
      <c r="D1840">
        <v>5.3419840000000001</v>
      </c>
      <c r="E1840">
        <v>0.47903519999999999</v>
      </c>
      <c r="F1840" t="s">
        <v>43</v>
      </c>
      <c r="G1840">
        <v>-218.26840000000001</v>
      </c>
      <c r="H1840" s="1">
        <v>-8.0719420000000001E-7</v>
      </c>
      <c r="I1840">
        <v>139.64709999999999</v>
      </c>
      <c r="J1840">
        <v>-201.37960000000001</v>
      </c>
      <c r="K1840">
        <v>1.097475</v>
      </c>
      <c r="L1840">
        <v>143.77520000000001</v>
      </c>
      <c r="M1840">
        <v>-0.91173150000000003</v>
      </c>
      <c r="N1840">
        <v>0</v>
      </c>
      <c r="O1840">
        <v>-0.41057060000000001</v>
      </c>
      <c r="P1840">
        <v>-0.95858679999999996</v>
      </c>
      <c r="Q1840">
        <v>0.15187439999999999</v>
      </c>
      <c r="R1840">
        <v>-0.24092649999999999</v>
      </c>
      <c r="S1840">
        <v>-2.9742130000000002</v>
      </c>
      <c r="T1840">
        <v>-0.18969130000000001</v>
      </c>
      <c r="U1840">
        <v>-0.73701479999999997</v>
      </c>
      <c r="V1840">
        <v>0.1788167</v>
      </c>
      <c r="W1840">
        <v>0.15950149999999999</v>
      </c>
      <c r="X1840">
        <v>0.97086760000000005</v>
      </c>
      <c r="Y1840">
        <v>0.17817359999999999</v>
      </c>
      <c r="Z1840">
        <v>3.0455929999999999E-2</v>
      </c>
      <c r="AA1840">
        <v>0.98352759999999995</v>
      </c>
      <c r="AB1840">
        <v>34</v>
      </c>
      <c r="AC1840">
        <v>-16.8888</v>
      </c>
      <c r="AD1840">
        <v>-1.0974758071941999</v>
      </c>
      <c r="AE1840">
        <v>-4.1281000000000097</v>
      </c>
      <c r="AF1840">
        <v>3.1580236365041201</v>
      </c>
      <c r="AG1840">
        <v>-1.0974758071941999</v>
      </c>
      <c r="AH1840">
        <v>17.026599112764401</v>
      </c>
      <c r="AI1840">
        <v>93.6263082012225</v>
      </c>
      <c r="AJ1840">
        <v>79.492419886875098</v>
      </c>
      <c r="AK1840">
        <v>17.3517331636607</v>
      </c>
      <c r="AL1840">
        <v>80.822037480563495</v>
      </c>
      <c r="AM1840">
        <v>79.5640846931054</v>
      </c>
      <c r="AN1840">
        <v>1.0000000187154401</v>
      </c>
    </row>
    <row r="1841" spans="1:40" x14ac:dyDescent="0.3">
      <c r="A1841" t="str">
        <f>"20200111150834042"</f>
        <v>20200111150834042</v>
      </c>
      <c r="B1841" t="str">
        <f>"1578726514034664"</f>
        <v>1578726514034664</v>
      </c>
      <c r="C1841" t="s">
        <v>40</v>
      </c>
      <c r="D1841">
        <v>5.8664680000000002</v>
      </c>
      <c r="E1841">
        <v>0.50093710000000002</v>
      </c>
      <c r="F1841" t="s">
        <v>73</v>
      </c>
      <c r="G1841">
        <v>-321.45490000000001</v>
      </c>
      <c r="H1841">
        <v>49.953830000000004</v>
      </c>
      <c r="I1841">
        <v>104.7324</v>
      </c>
      <c r="J1841">
        <v>-201.71090000000001</v>
      </c>
      <c r="K1841">
        <v>1.09751</v>
      </c>
      <c r="L1841">
        <v>143.6395</v>
      </c>
      <c r="M1841">
        <v>-0.91737679999999999</v>
      </c>
      <c r="N1841">
        <v>0</v>
      </c>
      <c r="O1841">
        <v>-0.39779700000000001</v>
      </c>
      <c r="P1841">
        <v>-0.9613836</v>
      </c>
      <c r="Q1841">
        <v>0.1536371</v>
      </c>
      <c r="R1841">
        <v>-0.22833580000000001</v>
      </c>
      <c r="S1841">
        <v>-2.7304689999999998</v>
      </c>
      <c r="T1841">
        <v>1.110976</v>
      </c>
      <c r="U1841">
        <v>-0.88781739999999998</v>
      </c>
      <c r="V1841">
        <v>0.17791899999999999</v>
      </c>
      <c r="W1841">
        <v>0.16129470000000001</v>
      </c>
      <c r="X1841">
        <v>0.9707363</v>
      </c>
      <c r="Y1841">
        <v>6.3616740000000005E-2</v>
      </c>
      <c r="Z1841">
        <v>-0.1587182</v>
      </c>
      <c r="AA1841">
        <v>0.98527229999999999</v>
      </c>
      <c r="AB1841">
        <v>34</v>
      </c>
      <c r="AC1841">
        <v>-119.744</v>
      </c>
      <c r="AD1841">
        <v>48.856319999999997</v>
      </c>
      <c r="AE1841">
        <v>-38.9071</v>
      </c>
      <c r="AF1841">
        <v>10.379518019800299</v>
      </c>
      <c r="AG1841">
        <v>48.856319999999997</v>
      </c>
      <c r="AH1841">
        <v>108.93582708573901</v>
      </c>
      <c r="AI1841">
        <v>65.940903997740705</v>
      </c>
      <c r="AJ1841">
        <v>84.557230000341804</v>
      </c>
      <c r="AK1841">
        <v>119.84026377273899</v>
      </c>
      <c r="AL1841">
        <v>80.717947316374193</v>
      </c>
      <c r="AM1841">
        <v>79.6139586592043</v>
      </c>
      <c r="AN1841">
        <v>1.0000000574733801</v>
      </c>
    </row>
    <row r="1842" spans="1:40" x14ac:dyDescent="0.3">
      <c r="A1842" t="str">
        <f>"20200111150834065"</f>
        <v>20200111150834065</v>
      </c>
      <c r="B1842" t="str">
        <f>"1578726514055164"</f>
        <v>1578726514055164</v>
      </c>
      <c r="C1842" t="s">
        <v>40</v>
      </c>
      <c r="D1842">
        <v>5.2098190000000004</v>
      </c>
      <c r="E1842">
        <v>0.50024990000000003</v>
      </c>
      <c r="F1842" t="s">
        <v>43</v>
      </c>
      <c r="G1842">
        <v>-243.67269999999999</v>
      </c>
      <c r="H1842" s="1">
        <v>-3.6722109999999998E-6</v>
      </c>
      <c r="I1842">
        <v>134.11670000000001</v>
      </c>
      <c r="J1842">
        <v>-202.0367</v>
      </c>
      <c r="K1842">
        <v>1.0975379999999999</v>
      </c>
      <c r="L1842">
        <v>143.5112</v>
      </c>
      <c r="M1842">
        <v>-0.9227166</v>
      </c>
      <c r="N1842">
        <v>0</v>
      </c>
      <c r="O1842">
        <v>-0.38524950000000002</v>
      </c>
      <c r="P1842">
        <v>-0.96425609999999995</v>
      </c>
      <c r="Q1842">
        <v>0.15417639999999999</v>
      </c>
      <c r="R1842">
        <v>-0.2155001</v>
      </c>
      <c r="S1842">
        <v>-2.972702</v>
      </c>
      <c r="T1842">
        <v>-7.775116E-2</v>
      </c>
      <c r="U1842">
        <v>-0.67462159999999904</v>
      </c>
      <c r="V1842">
        <v>0.17759539999999999</v>
      </c>
      <c r="W1842">
        <v>0.1618472</v>
      </c>
      <c r="X1842">
        <v>0.97070350000000005</v>
      </c>
      <c r="Y1842">
        <v>0.1713317</v>
      </c>
      <c r="Z1842">
        <v>1.1856480000000001E-2</v>
      </c>
      <c r="AA1842">
        <v>0.98514210000000002</v>
      </c>
      <c r="AB1842">
        <v>34</v>
      </c>
      <c r="AC1842">
        <v>-41.636000000000003</v>
      </c>
      <c r="AD1842">
        <v>-1.0975416722110001</v>
      </c>
      <c r="AE1842">
        <v>-9.3944999999999901</v>
      </c>
      <c r="AF1842">
        <v>7.3675677041360101</v>
      </c>
      <c r="AG1842">
        <v>-1.0975416722110001</v>
      </c>
      <c r="AH1842">
        <v>42.013393867851399</v>
      </c>
      <c r="AI1842">
        <v>91.473950786361101</v>
      </c>
      <c r="AJ1842">
        <v>80.053611227859193</v>
      </c>
      <c r="AK1842">
        <v>42.668617459351502</v>
      </c>
      <c r="AL1842">
        <v>80.685869055792097</v>
      </c>
      <c r="AM1842">
        <v>79.632096117073601</v>
      </c>
      <c r="AN1842">
        <v>0.99999996358062404</v>
      </c>
    </row>
    <row r="1843" spans="1:40" x14ac:dyDescent="0.3">
      <c r="A1843" t="str">
        <f>"20200111150834088"</f>
        <v>20200111150834088</v>
      </c>
      <c r="B1843" t="str">
        <f>"1578726514085416"</f>
        <v>1578726514085416</v>
      </c>
      <c r="C1843" t="s">
        <v>40</v>
      </c>
      <c r="D1843">
        <v>6.5320299999999998</v>
      </c>
      <c r="E1843">
        <v>0.50104359999999903</v>
      </c>
      <c r="F1843" t="s">
        <v>43</v>
      </c>
      <c r="G1843">
        <v>-261.24630000000002</v>
      </c>
      <c r="H1843" s="1">
        <v>-5.3192300000000002E-6</v>
      </c>
      <c r="I1843">
        <v>130.7681</v>
      </c>
      <c r="J1843">
        <v>-202.35679999999999</v>
      </c>
      <c r="K1843">
        <v>1.097553</v>
      </c>
      <c r="L1843">
        <v>143.38999999999999</v>
      </c>
      <c r="M1843">
        <v>-0.927763</v>
      </c>
      <c r="N1843">
        <v>0</v>
      </c>
      <c r="O1843">
        <v>-0.3729325</v>
      </c>
      <c r="P1843">
        <v>-0.96688379999999996</v>
      </c>
      <c r="Q1843">
        <v>0.15392709999999901</v>
      </c>
      <c r="R1843">
        <v>-0.20357339999999999</v>
      </c>
      <c r="S1843">
        <v>-2.9768370000000002</v>
      </c>
      <c r="T1843">
        <v>-5.5180430000000003E-2</v>
      </c>
      <c r="U1843">
        <v>-0.64067079999999998</v>
      </c>
      <c r="V1843">
        <v>0.17666309999999999</v>
      </c>
      <c r="W1843">
        <v>0.1616312</v>
      </c>
      <c r="X1843">
        <v>0.97090969999999999</v>
      </c>
      <c r="Y1843">
        <v>0.1693122</v>
      </c>
      <c r="Z1843">
        <v>8.1917869999999903E-3</v>
      </c>
      <c r="AA1843">
        <v>0.98552839999999997</v>
      </c>
      <c r="AB1843">
        <v>34</v>
      </c>
      <c r="AC1843">
        <v>-58.889499999999998</v>
      </c>
      <c r="AD1843">
        <v>-1.09755831923</v>
      </c>
      <c r="AE1843">
        <v>-12.621899999999901</v>
      </c>
      <c r="AF1843">
        <v>10.2491811064109</v>
      </c>
      <c r="AG1843">
        <v>-1.09755831923</v>
      </c>
      <c r="AH1843">
        <v>59.328170270440097</v>
      </c>
      <c r="AI1843">
        <v>91.044372599793405</v>
      </c>
      <c r="AJ1843">
        <v>80.198662110560903</v>
      </c>
      <c r="AK1843">
        <v>60.216958867535403</v>
      </c>
      <c r="AL1843">
        <v>80.698411069999196</v>
      </c>
      <c r="AM1843">
        <v>79.687495456714601</v>
      </c>
      <c r="AN1843">
        <v>1.00000007063456</v>
      </c>
    </row>
    <row r="1844" spans="1:40" x14ac:dyDescent="0.3">
      <c r="A1844" t="str">
        <f>"20200111150834111"</f>
        <v>20200111150834111</v>
      </c>
      <c r="B1844" t="str">
        <f>"1578726514104936"</f>
        <v>1578726514104936</v>
      </c>
      <c r="C1844" t="s">
        <v>40</v>
      </c>
      <c r="D1844">
        <v>5.1405399999999997</v>
      </c>
      <c r="E1844">
        <v>0.50134899999999905</v>
      </c>
      <c r="F1844" t="s">
        <v>43</v>
      </c>
      <c r="G1844">
        <v>-262.47620000000001</v>
      </c>
      <c r="H1844" s="1">
        <v>-4.7422600000000001E-6</v>
      </c>
      <c r="I1844">
        <v>131.36349999999999</v>
      </c>
      <c r="J1844">
        <v>-202.68620000000001</v>
      </c>
      <c r="K1844">
        <v>1.097569</v>
      </c>
      <c r="L1844">
        <v>143.27029999999999</v>
      </c>
      <c r="M1844">
        <v>-0.93275509999999995</v>
      </c>
      <c r="N1844">
        <v>0</v>
      </c>
      <c r="O1844">
        <v>-0.3602651</v>
      </c>
      <c r="P1844">
        <v>-0.96925320000000004</v>
      </c>
      <c r="Q1844">
        <v>0.15341270000000001</v>
      </c>
      <c r="R1844">
        <v>-0.19238659999999999</v>
      </c>
      <c r="S1844">
        <v>-2.9856720000000001</v>
      </c>
      <c r="T1844">
        <v>-5.4507369999999999E-2</v>
      </c>
      <c r="U1844">
        <v>-0.59725950000000005</v>
      </c>
      <c r="V1844">
        <v>0.1746674</v>
      </c>
      <c r="W1844">
        <v>0.16118370000000001</v>
      </c>
      <c r="X1844">
        <v>0.97134500000000001</v>
      </c>
      <c r="Y1844">
        <v>0.17023450000000001</v>
      </c>
      <c r="Z1844">
        <v>7.8810779999999997E-3</v>
      </c>
      <c r="AA1844">
        <v>0.98537209999999997</v>
      </c>
      <c r="AB1844">
        <v>34</v>
      </c>
      <c r="AC1844">
        <v>-59.7899999999999</v>
      </c>
      <c r="AD1844">
        <v>-1.09757374226</v>
      </c>
      <c r="AE1844">
        <v>-11.9068</v>
      </c>
      <c r="AF1844">
        <v>10.4316641291541</v>
      </c>
      <c r="AG1844">
        <v>-1.09757374226</v>
      </c>
      <c r="AH1844">
        <v>60.044884914534101</v>
      </c>
      <c r="AI1844">
        <v>91.031754316533494</v>
      </c>
      <c r="AJ1844">
        <v>80.144311710807997</v>
      </c>
      <c r="AK1844">
        <v>60.954183523551698</v>
      </c>
      <c r="AL1844">
        <v>80.724390904775603</v>
      </c>
      <c r="AM1844">
        <v>79.806008050295304</v>
      </c>
      <c r="AN1844">
        <v>0.99999999739672496</v>
      </c>
    </row>
    <row r="1845" spans="1:40" x14ac:dyDescent="0.3">
      <c r="A1845" t="str">
        <f>"20200111150834134"</f>
        <v>20200111150834134</v>
      </c>
      <c r="B1845" t="str">
        <f>"1578726514125432"</f>
        <v>1578726514125432</v>
      </c>
      <c r="C1845" t="s">
        <v>40</v>
      </c>
      <c r="D1845">
        <v>5.2516109999999996</v>
      </c>
      <c r="E1845">
        <v>0.49990560000000001</v>
      </c>
      <c r="F1845" t="s">
        <v>43</v>
      </c>
      <c r="G1845">
        <v>-273.97899999999998</v>
      </c>
      <c r="H1845" s="1">
        <v>-4.6141910000000002E-6</v>
      </c>
      <c r="I1845">
        <v>129.92269999999999</v>
      </c>
      <c r="J1845">
        <v>-203.0275</v>
      </c>
      <c r="K1845">
        <v>1.097577</v>
      </c>
      <c r="L1845">
        <v>143.1515</v>
      </c>
      <c r="M1845">
        <v>-0.93771899999999997</v>
      </c>
      <c r="N1845">
        <v>0</v>
      </c>
      <c r="O1845">
        <v>-0.34714010000000001</v>
      </c>
      <c r="P1845">
        <v>-0.97141529999999998</v>
      </c>
      <c r="Q1845">
        <v>0.15313769999999999</v>
      </c>
      <c r="R1845">
        <v>-0.1813872</v>
      </c>
      <c r="S1845">
        <v>-2.9912719999999999</v>
      </c>
      <c r="T1845">
        <v>-4.6051500000000002E-2</v>
      </c>
      <c r="U1845">
        <v>-0.56002810000000003</v>
      </c>
      <c r="V1845">
        <v>0.17204420000000001</v>
      </c>
      <c r="W1845">
        <v>0.16099539999999901</v>
      </c>
      <c r="X1845">
        <v>0.97184429999999999</v>
      </c>
      <c r="Y1845">
        <v>0.16860749999999999</v>
      </c>
      <c r="Z1845">
        <v>6.4581150000000004E-3</v>
      </c>
      <c r="AA1845">
        <v>0.98566209999999999</v>
      </c>
      <c r="AB1845">
        <v>34</v>
      </c>
      <c r="AC1845">
        <v>-70.951499999999996</v>
      </c>
      <c r="AD1845">
        <v>-1.097581614191</v>
      </c>
      <c r="AE1845">
        <v>-13.2288</v>
      </c>
      <c r="AF1845">
        <v>12.223467863311599</v>
      </c>
      <c r="AG1845">
        <v>-1.097581614191</v>
      </c>
      <c r="AH1845">
        <v>71.114659528337597</v>
      </c>
      <c r="AI1845">
        <v>90.871453773725406</v>
      </c>
      <c r="AJ1845">
        <v>80.2470775386669</v>
      </c>
      <c r="AK1845">
        <v>72.165869022943298</v>
      </c>
      <c r="AL1845">
        <v>80.735322815438494</v>
      </c>
      <c r="AM1845">
        <v>79.961019081304698</v>
      </c>
      <c r="AN1845">
        <v>1.0000000345086399</v>
      </c>
    </row>
    <row r="1846" spans="1:40" x14ac:dyDescent="0.3">
      <c r="A1846" t="str">
        <f>"20200111150834156"</f>
        <v>20200111150834156</v>
      </c>
      <c r="B1846" t="str">
        <f>"1578726514144952"</f>
        <v>1578726514144952</v>
      </c>
      <c r="C1846" t="s">
        <v>40</v>
      </c>
      <c r="D1846">
        <v>5.2520720000000001</v>
      </c>
      <c r="E1846">
        <v>0.49874289999999999</v>
      </c>
      <c r="F1846" t="s">
        <v>43</v>
      </c>
      <c r="G1846">
        <v>-238.8142</v>
      </c>
      <c r="H1846" s="1">
        <v>-1.1514629999999999E-6</v>
      </c>
      <c r="I1846">
        <v>136.75280000000001</v>
      </c>
      <c r="J1846">
        <v>-203.3546</v>
      </c>
      <c r="K1846">
        <v>1.0975900000000001</v>
      </c>
      <c r="L1846">
        <v>143.04259999999999</v>
      </c>
      <c r="M1846">
        <v>-0.94227890000000003</v>
      </c>
      <c r="N1846">
        <v>0</v>
      </c>
      <c r="O1846">
        <v>-0.33456540000000001</v>
      </c>
      <c r="P1846">
        <v>-0.97321899999999995</v>
      </c>
      <c r="Q1846">
        <v>0.15325559999999999</v>
      </c>
      <c r="R1846">
        <v>-0.17134170000000001</v>
      </c>
      <c r="S1846">
        <v>-3.0025629999999999</v>
      </c>
      <c r="T1846">
        <v>-9.2088459999999997E-2</v>
      </c>
      <c r="U1846">
        <v>-0.53685000000000005</v>
      </c>
      <c r="V1846">
        <v>0.16907150000000001</v>
      </c>
      <c r="W1846">
        <v>0.16121050000000001</v>
      </c>
      <c r="X1846">
        <v>0.97233020000000003</v>
      </c>
      <c r="Y1846">
        <v>0.16329109999999999</v>
      </c>
      <c r="Z1846">
        <v>1.243738E-2</v>
      </c>
      <c r="AA1846">
        <v>0.98649949999999997</v>
      </c>
      <c r="AB1846">
        <v>34</v>
      </c>
      <c r="AC1846">
        <v>-35.459599999999902</v>
      </c>
      <c r="AD1846">
        <v>-1.0975911514629999</v>
      </c>
      <c r="AE1846">
        <v>-6.2897999999999801</v>
      </c>
      <c r="AF1846">
        <v>5.93182337645161</v>
      </c>
      <c r="AG1846">
        <v>-1.0975911514629999</v>
      </c>
      <c r="AH1846">
        <v>35.487353069644499</v>
      </c>
      <c r="AI1846">
        <v>91.747314320407298</v>
      </c>
      <c r="AJ1846">
        <v>80.510559002083596</v>
      </c>
      <c r="AK1846">
        <v>35.996436806922901</v>
      </c>
      <c r="AL1846">
        <v>80.722835126268905</v>
      </c>
      <c r="AM1846">
        <v>80.135874885755996</v>
      </c>
      <c r="AN1846">
        <v>1.0000000076272699</v>
      </c>
    </row>
    <row r="1847" spans="1:40" x14ac:dyDescent="0.3">
      <c r="A1847" t="str">
        <f>"20200111150834179"</f>
        <v>20200111150834179</v>
      </c>
      <c r="B1847" t="str">
        <f>"1578726514175208"</f>
        <v>1578726514175208</v>
      </c>
      <c r="C1847" t="s">
        <v>40</v>
      </c>
      <c r="D1847">
        <v>5.2420349999999996</v>
      </c>
      <c r="E1847">
        <v>0.49740069999999997</v>
      </c>
      <c r="F1847" t="s">
        <v>43</v>
      </c>
      <c r="G1847">
        <v>-230.11689999999999</v>
      </c>
      <c r="H1847" s="1">
        <v>-4.4255950000000001E-6</v>
      </c>
      <c r="I1847">
        <v>138.4691</v>
      </c>
      <c r="J1847">
        <v>-203.67679999999999</v>
      </c>
      <c r="K1847">
        <v>1.0976090000000001</v>
      </c>
      <c r="L1847">
        <v>142.94</v>
      </c>
      <c r="M1847">
        <v>-0.94658439999999999</v>
      </c>
      <c r="N1847">
        <v>0</v>
      </c>
      <c r="O1847">
        <v>-0.32218239999999998</v>
      </c>
      <c r="P1847">
        <v>-0.97483330000000001</v>
      </c>
      <c r="Q1847">
        <v>0.15360460000000001</v>
      </c>
      <c r="R1847">
        <v>-0.16157299999999999</v>
      </c>
      <c r="S1847">
        <v>-3.0113979999999998</v>
      </c>
      <c r="T1847">
        <v>-0.1235054</v>
      </c>
      <c r="U1847">
        <v>-0.51461789999999996</v>
      </c>
      <c r="V1847">
        <v>0.16605590000000001</v>
      </c>
      <c r="W1847">
        <v>0.161658</v>
      </c>
      <c r="X1847">
        <v>0.97277550000000002</v>
      </c>
      <c r="Y1847">
        <v>0.1577626</v>
      </c>
      <c r="Z1847">
        <v>1.605678E-2</v>
      </c>
      <c r="AA1847">
        <v>0.98734650000000002</v>
      </c>
      <c r="AB1847">
        <v>34</v>
      </c>
      <c r="AC1847">
        <v>-26.440100000000001</v>
      </c>
      <c r="AD1847">
        <v>-1.0976134255949901</v>
      </c>
      <c r="AE1847">
        <v>-4.4709000000000003</v>
      </c>
      <c r="AF1847">
        <v>4.2796586430461998</v>
      </c>
      <c r="AG1847">
        <v>-1.0976134255949901</v>
      </c>
      <c r="AH1847">
        <v>26.426291609723101</v>
      </c>
      <c r="AI1847">
        <v>92.347853292435502</v>
      </c>
      <c r="AJ1847">
        <v>80.8009858856243</v>
      </c>
      <c r="AK1847">
        <v>26.793079732930401</v>
      </c>
      <c r="AL1847">
        <v>80.696854625343306</v>
      </c>
      <c r="AM1847">
        <v>80.312800003162096</v>
      </c>
      <c r="AN1847">
        <v>1.00000002214452</v>
      </c>
    </row>
    <row r="1848" spans="1:40" x14ac:dyDescent="0.3">
      <c r="A1848" t="str">
        <f>"20200111150834201"</f>
        <v>20200111150834201</v>
      </c>
      <c r="B1848" t="str">
        <f>"1578726514194728"</f>
        <v>1578726514194728</v>
      </c>
      <c r="C1848" t="s">
        <v>40</v>
      </c>
      <c r="D1848">
        <v>6.0664069999999999</v>
      </c>
      <c r="E1848">
        <v>0.49695020000000001</v>
      </c>
      <c r="F1848" t="s">
        <v>43</v>
      </c>
      <c r="G1848">
        <v>-224.8819</v>
      </c>
      <c r="H1848" s="1">
        <v>-2.2046500000000001E-6</v>
      </c>
      <c r="I1848">
        <v>139.4658</v>
      </c>
      <c r="J1848">
        <v>-204.0016</v>
      </c>
      <c r="K1848">
        <v>1.0976250000000001</v>
      </c>
      <c r="L1848">
        <v>142.84139999999999</v>
      </c>
      <c r="M1848">
        <v>-0.95073510000000006</v>
      </c>
      <c r="N1848">
        <v>0</v>
      </c>
      <c r="O1848">
        <v>-0.30971959999999998</v>
      </c>
      <c r="P1848">
        <v>-0.97628890000000002</v>
      </c>
      <c r="Q1848">
        <v>0.15355969999999999</v>
      </c>
      <c r="R1848">
        <v>-0.1525764</v>
      </c>
      <c r="S1848">
        <v>-3.0200809999999998</v>
      </c>
      <c r="T1848">
        <v>-0.15632460000000001</v>
      </c>
      <c r="U1848">
        <v>-0.49479679999999998</v>
      </c>
      <c r="V1848">
        <v>0.16223309999999999</v>
      </c>
      <c r="W1848">
        <v>0.16173940000000001</v>
      </c>
      <c r="X1848">
        <v>0.97340680000000002</v>
      </c>
      <c r="Y1848">
        <v>0.15135960000000001</v>
      </c>
      <c r="Z1848">
        <v>1.950561E-2</v>
      </c>
      <c r="AA1848">
        <v>0.98828629999999995</v>
      </c>
      <c r="AB1848">
        <v>34</v>
      </c>
      <c r="AC1848">
        <v>-20.880299999999998</v>
      </c>
      <c r="AD1848">
        <v>-1.09762720465</v>
      </c>
      <c r="AE1848">
        <v>-3.3755999999999902</v>
      </c>
      <c r="AF1848">
        <v>3.2492741576023301</v>
      </c>
      <c r="AG1848">
        <v>-1.09762720465</v>
      </c>
      <c r="AH1848">
        <v>20.842839261046201</v>
      </c>
      <c r="AI1848">
        <v>92.978618712028094</v>
      </c>
      <c r="AJ1848">
        <v>81.139251574473704</v>
      </c>
      <c r="AK1848">
        <v>21.123127526326599</v>
      </c>
      <c r="AL1848">
        <v>80.692128396242396</v>
      </c>
      <c r="AM1848">
        <v>80.537756061325595</v>
      </c>
      <c r="AN1848">
        <v>1.0000000052671001</v>
      </c>
    </row>
    <row r="1849" spans="1:40" x14ac:dyDescent="0.3">
      <c r="A1849" t="str">
        <f>"20200111150834222"</f>
        <v>20200111150834222</v>
      </c>
      <c r="B1849" t="str">
        <f>"1578726514215224"</f>
        <v>1578726514215224</v>
      </c>
      <c r="C1849" t="s">
        <v>40</v>
      </c>
      <c r="D1849">
        <v>5.3561019999999999</v>
      </c>
      <c r="E1849">
        <v>0.48207410000000001</v>
      </c>
      <c r="F1849" t="s">
        <v>43</v>
      </c>
      <c r="G1849">
        <v>-224.02809999999999</v>
      </c>
      <c r="H1849" s="1">
        <v>-2.5735610000000002E-6</v>
      </c>
      <c r="I1849">
        <v>139.72659999999999</v>
      </c>
      <c r="J1849">
        <v>-204.32390000000001</v>
      </c>
      <c r="K1849">
        <v>1.097653</v>
      </c>
      <c r="L1849">
        <v>142.7483</v>
      </c>
      <c r="M1849">
        <v>-0.95466589999999996</v>
      </c>
      <c r="N1849">
        <v>0</v>
      </c>
      <c r="O1849">
        <v>-0.29738320000000001</v>
      </c>
      <c r="P1849">
        <v>-0.97762070000000001</v>
      </c>
      <c r="Q1849">
        <v>0.15318119999999999</v>
      </c>
      <c r="R1849">
        <v>-0.14419849999999901</v>
      </c>
      <c r="S1849">
        <v>-3.0254210000000001</v>
      </c>
      <c r="T1849">
        <v>-0.16581960000000001</v>
      </c>
      <c r="U1849">
        <v>-0.47055049999999998</v>
      </c>
      <c r="V1849">
        <v>0.15796289999999999</v>
      </c>
      <c r="W1849">
        <v>0.16150320000000001</v>
      </c>
      <c r="X1849">
        <v>0.97414809999999996</v>
      </c>
      <c r="Y1849">
        <v>0.1465128</v>
      </c>
      <c r="Z1849">
        <v>1.9900069999999999E-2</v>
      </c>
      <c r="AA1849">
        <v>0.98900860000000002</v>
      </c>
      <c r="AB1849">
        <v>34</v>
      </c>
      <c r="AC1849">
        <v>-19.704199999999901</v>
      </c>
      <c r="AD1849">
        <v>-1.0976555735609901</v>
      </c>
      <c r="AE1849">
        <v>-3.0217000000000001</v>
      </c>
      <c r="AF1849">
        <v>2.9662528308641298</v>
      </c>
      <c r="AG1849">
        <v>-1.0976555735609901</v>
      </c>
      <c r="AH1849">
        <v>19.6516852221439</v>
      </c>
      <c r="AI1849">
        <v>93.161230074551696</v>
      </c>
      <c r="AJ1849">
        <v>81.416490486868597</v>
      </c>
      <c r="AK1849">
        <v>19.904578259410801</v>
      </c>
      <c r="AL1849">
        <v>80.705842289079399</v>
      </c>
      <c r="AM1849">
        <v>80.789378186904401</v>
      </c>
      <c r="AN1849">
        <v>1.00000004106012</v>
      </c>
    </row>
    <row r="1850" spans="1:40" x14ac:dyDescent="0.3">
      <c r="A1850" t="str">
        <f>"20200111150834246"</f>
        <v>20200111150834246</v>
      </c>
      <c r="B1850" t="str">
        <f>"1578726514235719"</f>
        <v>1578726514235719</v>
      </c>
      <c r="C1850" t="s">
        <v>40</v>
      </c>
      <c r="D1850">
        <v>5.1930019999999999</v>
      </c>
      <c r="E1850">
        <v>0.47942620000000002</v>
      </c>
      <c r="F1850" t="s">
        <v>73</v>
      </c>
      <c r="G1850">
        <v>-331.19260000000003</v>
      </c>
      <c r="H1850">
        <v>41.284439999999996</v>
      </c>
      <c r="I1850">
        <v>116.7359</v>
      </c>
      <c r="J1850">
        <v>-204.6876</v>
      </c>
      <c r="K1850">
        <v>1.097693</v>
      </c>
      <c r="L1850">
        <v>142.64859999999999</v>
      </c>
      <c r="M1850">
        <v>-0.95888200000000001</v>
      </c>
      <c r="N1850">
        <v>0</v>
      </c>
      <c r="O1850">
        <v>-0.28349469999999999</v>
      </c>
      <c r="P1850">
        <v>-0.97897109999999998</v>
      </c>
      <c r="Q1850">
        <v>0.15323689999999901</v>
      </c>
      <c r="R1850">
        <v>-0.1346628</v>
      </c>
      <c r="S1850">
        <v>-2.8416899999999998</v>
      </c>
      <c r="T1850">
        <v>0.90012999999999899</v>
      </c>
      <c r="U1850">
        <v>-0.58264159999999998</v>
      </c>
      <c r="V1850">
        <v>0.15329209999999999</v>
      </c>
      <c r="W1850">
        <v>0.16171350000000001</v>
      </c>
      <c r="X1850">
        <v>0.97485909999999998</v>
      </c>
      <c r="Y1850">
        <v>6.9068099999999993E-2</v>
      </c>
      <c r="Z1850">
        <v>-9.5864710000000006E-2</v>
      </c>
      <c r="AA1850">
        <v>0.99299530000000003</v>
      </c>
      <c r="AB1850">
        <v>34</v>
      </c>
      <c r="AC1850">
        <v>-126.505</v>
      </c>
      <c r="AD1850">
        <v>40.186746999999997</v>
      </c>
      <c r="AE1850">
        <v>-25.912699999999901</v>
      </c>
      <c r="AF1850">
        <v>10.044439822616599</v>
      </c>
      <c r="AG1850">
        <v>40.186746999999997</v>
      </c>
      <c r="AH1850">
        <v>117.30025946235099</v>
      </c>
      <c r="AI1850">
        <v>71.152760100242901</v>
      </c>
      <c r="AJ1850">
        <v>85.105692553634498</v>
      </c>
      <c r="AK1850">
        <v>124.399422328751</v>
      </c>
      <c r="AL1850">
        <v>80.693632051175001</v>
      </c>
      <c r="AM1850">
        <v>81.063676827030093</v>
      </c>
      <c r="AN1850">
        <v>0.999999994428734</v>
      </c>
    </row>
    <row r="1851" spans="1:40" x14ac:dyDescent="0.3">
      <c r="A1851" t="str">
        <f>"20200111150834267"</f>
        <v>20200111150834267</v>
      </c>
      <c r="B1851" t="str">
        <f>"1578726514265000"</f>
        <v>1578726514265000</v>
      </c>
      <c r="C1851" t="s">
        <v>40</v>
      </c>
      <c r="D1851">
        <v>5.2612069999999997</v>
      </c>
      <c r="E1851">
        <v>0.48724289999999998</v>
      </c>
      <c r="F1851" t="s">
        <v>73</v>
      </c>
      <c r="G1851">
        <v>-331.44159999999999</v>
      </c>
      <c r="H1851">
        <v>41.785080000000001</v>
      </c>
      <c r="I1851">
        <v>116.9712</v>
      </c>
      <c r="J1851">
        <v>-205.00450000000001</v>
      </c>
      <c r="K1851">
        <v>1.097729</v>
      </c>
      <c r="L1851">
        <v>142.56620000000001</v>
      </c>
      <c r="M1851">
        <v>-0.96236409999999994</v>
      </c>
      <c r="N1851">
        <v>0</v>
      </c>
      <c r="O1851">
        <v>-0.27143979999999901</v>
      </c>
      <c r="P1851">
        <v>-0.97985940000000005</v>
      </c>
      <c r="Q1851">
        <v>0.1536932</v>
      </c>
      <c r="R1851">
        <v>-0.1274914</v>
      </c>
      <c r="S1851">
        <v>-2.8424070000000001</v>
      </c>
      <c r="T1851">
        <v>0.91239800000000004</v>
      </c>
      <c r="U1851">
        <v>-0.57580569999999998</v>
      </c>
      <c r="V1851">
        <v>0.1481634</v>
      </c>
      <c r="W1851">
        <v>0.16233789999999901</v>
      </c>
      <c r="X1851">
        <v>0.97554799999999997</v>
      </c>
      <c r="Y1851">
        <v>5.9456009999999997E-2</v>
      </c>
      <c r="Z1851">
        <v>-9.2053360000000001E-2</v>
      </c>
      <c r="AA1851">
        <v>0.99397740000000001</v>
      </c>
      <c r="AB1851">
        <v>34</v>
      </c>
      <c r="AC1851">
        <v>-126.4371</v>
      </c>
      <c r="AD1851">
        <v>40.687351</v>
      </c>
      <c r="AE1851">
        <v>-25.594999999999999</v>
      </c>
      <c r="AF1851">
        <v>8.8125474399512207</v>
      </c>
      <c r="AG1851">
        <v>40.687351</v>
      </c>
      <c r="AH1851">
        <v>116.99853296367</v>
      </c>
      <c r="AI1851">
        <v>70.874620795784196</v>
      </c>
      <c r="AJ1851">
        <v>85.692508888276095</v>
      </c>
      <c r="AK1851">
        <v>124.18445248673299</v>
      </c>
      <c r="AL1851">
        <v>80.657377038492598</v>
      </c>
      <c r="AM1851">
        <v>81.364080246604303</v>
      </c>
      <c r="AN1851">
        <v>0.99999994358998301</v>
      </c>
    </row>
    <row r="1852" spans="1:40" x14ac:dyDescent="0.3">
      <c r="A1852" t="str">
        <f>"20200111150834290"</f>
        <v>20200111150834290</v>
      </c>
      <c r="B1852" t="str">
        <f>"1578726514285496"</f>
        <v>1578726514285496</v>
      </c>
      <c r="C1852" t="s">
        <v>40</v>
      </c>
      <c r="D1852">
        <v>5.3261690000000002</v>
      </c>
      <c r="E1852">
        <v>0.48634620000000001</v>
      </c>
      <c r="F1852" t="s">
        <v>41</v>
      </c>
      <c r="G1852">
        <v>-205.90190000000001</v>
      </c>
      <c r="H1852">
        <v>1.0113129999999999</v>
      </c>
      <c r="I1852">
        <v>142.42850000000001</v>
      </c>
      <c r="J1852">
        <v>-205.3323</v>
      </c>
      <c r="K1852">
        <v>1.0977870000000001</v>
      </c>
      <c r="L1852">
        <v>142.4853</v>
      </c>
      <c r="M1852">
        <v>-0.96577539999999995</v>
      </c>
      <c r="N1852">
        <v>0</v>
      </c>
      <c r="O1852">
        <v>-0.25904060000000001</v>
      </c>
      <c r="P1852">
        <v>-0.98076240000000003</v>
      </c>
      <c r="Q1852">
        <v>0.1536554</v>
      </c>
      <c r="R1852">
        <v>-0.12039519999999999</v>
      </c>
      <c r="S1852">
        <v>-3.0467680000000001</v>
      </c>
      <c r="T1852">
        <v>-0.29310150000000001</v>
      </c>
      <c r="U1852">
        <v>-0.46783449999999999</v>
      </c>
      <c r="V1852">
        <v>0.14264399999999999</v>
      </c>
      <c r="W1852">
        <v>0.16248280000000001</v>
      </c>
      <c r="X1852">
        <v>0.9763463</v>
      </c>
      <c r="Y1852">
        <v>0.107853</v>
      </c>
      <c r="Z1852">
        <v>2.953091E-2</v>
      </c>
      <c r="AA1852">
        <v>0.99372819999999995</v>
      </c>
      <c r="AB1852">
        <v>34</v>
      </c>
      <c r="AC1852">
        <v>-0.56960000000000799</v>
      </c>
      <c r="AD1852">
        <v>-8.6474000000000106E-2</v>
      </c>
      <c r="AE1852">
        <v>-5.6799999999981303E-2</v>
      </c>
      <c r="AF1852">
        <v>9.0633295235337599E-2</v>
      </c>
      <c r="AG1852">
        <v>-8.6474000000000106E-2</v>
      </c>
      <c r="AH1852">
        <v>0.55226560989589002</v>
      </c>
      <c r="AI1852">
        <v>98.783513170808902</v>
      </c>
      <c r="AJ1852">
        <v>80.680164124905502</v>
      </c>
      <c r="AK1852">
        <v>0.56629449119243203</v>
      </c>
      <c r="AL1852">
        <v>80.648964026827201</v>
      </c>
      <c r="AM1852">
        <v>81.687906071689895</v>
      </c>
      <c r="AN1852">
        <v>1.00000003427776</v>
      </c>
    </row>
    <row r="1853" spans="1:40" x14ac:dyDescent="0.3">
      <c r="A1853" t="str">
        <f>"20200111150834312"</f>
        <v>20200111150834312</v>
      </c>
      <c r="B1853" t="str">
        <f>"1578726514305016"</f>
        <v>1578726514305016</v>
      </c>
      <c r="C1853" t="s">
        <v>40</v>
      </c>
      <c r="D1853">
        <v>5.2693940000000001</v>
      </c>
      <c r="E1853">
        <v>0.4866663</v>
      </c>
      <c r="F1853" t="s">
        <v>41</v>
      </c>
      <c r="G1853">
        <v>-206.20320000000001</v>
      </c>
      <c r="H1853">
        <v>1.017309</v>
      </c>
      <c r="I1853">
        <v>142.35570000000001</v>
      </c>
      <c r="J1853">
        <v>-205.67330000000001</v>
      </c>
      <c r="K1853">
        <v>1.097874</v>
      </c>
      <c r="L1853">
        <v>142.4057</v>
      </c>
      <c r="M1853">
        <v>-0.96911440000000004</v>
      </c>
      <c r="N1853">
        <v>0</v>
      </c>
      <c r="O1853">
        <v>-0.246256</v>
      </c>
      <c r="P1853">
        <v>-0.98187599999999997</v>
      </c>
      <c r="Q1853">
        <v>0.1535791</v>
      </c>
      <c r="R1853">
        <v>-0.111054399999999</v>
      </c>
      <c r="S1853">
        <v>-3.047272</v>
      </c>
      <c r="T1853">
        <v>-0.2814873</v>
      </c>
      <c r="U1853">
        <v>-0.45368960000000003</v>
      </c>
      <c r="V1853">
        <v>0.13899489999999901</v>
      </c>
      <c r="W1853">
        <v>0.1625327</v>
      </c>
      <c r="X1853">
        <v>0.97686419999999996</v>
      </c>
      <c r="Y1853">
        <v>9.9456589999999997E-2</v>
      </c>
      <c r="Z1853">
        <v>2.6857760000000001E-2</v>
      </c>
      <c r="AA1853">
        <v>0.99467939999999999</v>
      </c>
      <c r="AB1853">
        <v>34</v>
      </c>
      <c r="AC1853">
        <v>-0.52989999999999704</v>
      </c>
      <c r="AD1853">
        <v>-8.0564999999999998E-2</v>
      </c>
      <c r="AE1853">
        <v>-4.9999999999982898E-2</v>
      </c>
      <c r="AF1853">
        <v>8.0204901516635702E-2</v>
      </c>
      <c r="AG1853">
        <v>-8.0564999999999998E-2</v>
      </c>
      <c r="AH1853">
        <v>0.51411344517383495</v>
      </c>
      <c r="AI1853">
        <v>98.801434539773297</v>
      </c>
      <c r="AJ1853">
        <v>81.132975359572299</v>
      </c>
      <c r="AK1853">
        <v>0.52653222119904797</v>
      </c>
      <c r="AL1853">
        <v>80.646066722079098</v>
      </c>
      <c r="AM1853">
        <v>81.9019237843697</v>
      </c>
      <c r="AN1853">
        <v>1.00000006301846</v>
      </c>
    </row>
    <row r="1854" spans="1:40" x14ac:dyDescent="0.3">
      <c r="A1854" t="str">
        <f>"20200111150834335"</f>
        <v>20200111150834335</v>
      </c>
      <c r="B1854" t="str">
        <f>"1578726514325512"</f>
        <v>1578726514325512</v>
      </c>
      <c r="C1854" t="s">
        <v>40</v>
      </c>
      <c r="D1854">
        <v>5.27677</v>
      </c>
      <c r="E1854">
        <v>0.48628399999999999</v>
      </c>
      <c r="F1854" t="s">
        <v>41</v>
      </c>
      <c r="G1854">
        <v>-206.5044</v>
      </c>
      <c r="H1854">
        <v>1.0192380000000001</v>
      </c>
      <c r="I1854">
        <v>142.2903</v>
      </c>
      <c r="J1854">
        <v>-206.01849999999999</v>
      </c>
      <c r="K1854">
        <v>1.097988</v>
      </c>
      <c r="L1854">
        <v>142.3297</v>
      </c>
      <c r="M1854">
        <v>-0.97227370000000002</v>
      </c>
      <c r="N1854">
        <v>0</v>
      </c>
      <c r="O1854">
        <v>-0.23347270000000001</v>
      </c>
      <c r="P1854">
        <v>-0.98296749999999999</v>
      </c>
      <c r="Q1854">
        <v>0.1534481</v>
      </c>
      <c r="R1854">
        <v>-0.10113709999999999</v>
      </c>
      <c r="S1854">
        <v>-3.0525669999999998</v>
      </c>
      <c r="T1854">
        <v>-0.28859649999999998</v>
      </c>
      <c r="U1854">
        <v>-0.42391970000000001</v>
      </c>
      <c r="V1854">
        <v>0.13593939999999999</v>
      </c>
      <c r="W1854">
        <v>0.1625125</v>
      </c>
      <c r="X1854">
        <v>0.97729739999999998</v>
      </c>
      <c r="Y1854">
        <v>9.6106510000000006E-2</v>
      </c>
      <c r="Z1854">
        <v>2.6191369999999999E-2</v>
      </c>
      <c r="AA1854">
        <v>0.99502639999999998</v>
      </c>
      <c r="AB1854">
        <v>34</v>
      </c>
      <c r="AC1854">
        <v>-0.48590000000001499</v>
      </c>
      <c r="AD1854">
        <v>-7.8750000000000098E-2</v>
      </c>
      <c r="AE1854">
        <v>-3.9400000000000497E-2</v>
      </c>
      <c r="AF1854">
        <v>7.3232337225806299E-2</v>
      </c>
      <c r="AG1854">
        <v>-7.8750000000000098E-2</v>
      </c>
      <c r="AH1854">
        <v>0.46941900855706098</v>
      </c>
      <c r="AI1854">
        <v>99.411526195821693</v>
      </c>
      <c r="AJ1854">
        <v>81.132969834622003</v>
      </c>
      <c r="AK1854">
        <v>0.48157942575472201</v>
      </c>
      <c r="AL1854">
        <v>80.647239291181805</v>
      </c>
      <c r="AM1854">
        <v>82.081124242916701</v>
      </c>
      <c r="AN1854">
        <v>1.00000002058768</v>
      </c>
    </row>
    <row r="1855" spans="1:40" x14ac:dyDescent="0.3">
      <c r="A1855" t="str">
        <f>"20200111150834357"</f>
        <v>20200111150834357</v>
      </c>
      <c r="B1855" t="str">
        <f>"1578726514354792"</f>
        <v>1578726514354792</v>
      </c>
      <c r="C1855" t="s">
        <v>40</v>
      </c>
      <c r="D1855">
        <v>5.2163519999999997</v>
      </c>
      <c r="E1855">
        <v>0.48501909999999998</v>
      </c>
      <c r="F1855" t="s">
        <v>41</v>
      </c>
      <c r="G1855">
        <v>-206.80719999999999</v>
      </c>
      <c r="H1855">
        <v>1.0234650000000001</v>
      </c>
      <c r="I1855">
        <v>142.22710000000001</v>
      </c>
      <c r="J1855">
        <v>-206.3554</v>
      </c>
      <c r="K1855">
        <v>1.0981320000000001</v>
      </c>
      <c r="L1855">
        <v>142.25989999999999</v>
      </c>
      <c r="M1855">
        <v>-0.97513939999999999</v>
      </c>
      <c r="N1855">
        <v>0</v>
      </c>
      <c r="O1855">
        <v>-0.22119949999999999</v>
      </c>
      <c r="P1855">
        <v>-0.9839019</v>
      </c>
      <c r="Q1855">
        <v>0.15320259999999999</v>
      </c>
      <c r="R1855">
        <v>-9.2012079999999996E-2</v>
      </c>
      <c r="S1855">
        <v>-3.0561069999999999</v>
      </c>
      <c r="T1855">
        <v>-0.2886608</v>
      </c>
      <c r="U1855">
        <v>-0.3978119</v>
      </c>
      <c r="V1855">
        <v>0.13262399999999999</v>
      </c>
      <c r="W1855">
        <v>0.1623878</v>
      </c>
      <c r="X1855">
        <v>0.97777349999999996</v>
      </c>
      <c r="Y1855">
        <v>9.2136040000000002E-2</v>
      </c>
      <c r="Z1855">
        <v>2.4880880000000001E-2</v>
      </c>
      <c r="AA1855">
        <v>0.99543550000000003</v>
      </c>
      <c r="AB1855">
        <v>34</v>
      </c>
      <c r="AC1855">
        <v>-0.45179999999999099</v>
      </c>
      <c r="AD1855">
        <v>-7.4666999999999803E-2</v>
      </c>
      <c r="AE1855">
        <v>-3.27999999999804E-2</v>
      </c>
      <c r="AF1855">
        <v>6.6161690674347906E-2</v>
      </c>
      <c r="AG1855">
        <v>-7.4666999999999803E-2</v>
      </c>
      <c r="AH1855">
        <v>0.43601593059612698</v>
      </c>
      <c r="AI1855">
        <v>99.609628427141899</v>
      </c>
      <c r="AJ1855">
        <v>81.371677123303499</v>
      </c>
      <c r="AK1855">
        <v>0.44728337990081302</v>
      </c>
      <c r="AL1855">
        <v>80.654479782556095</v>
      </c>
      <c r="AM1855">
        <v>82.275611233731098</v>
      </c>
      <c r="AN1855">
        <v>0.99999997013354402</v>
      </c>
    </row>
    <row r="1856" spans="1:40" x14ac:dyDescent="0.3">
      <c r="A1856" t="str">
        <f>"20200111150834379"</f>
        <v>20200111150834379</v>
      </c>
      <c r="B1856" t="str">
        <f>"1578726514375288"</f>
        <v>1578726514375288</v>
      </c>
      <c r="C1856" t="s">
        <v>40</v>
      </c>
      <c r="D1856">
        <v>6.416385</v>
      </c>
      <c r="E1856">
        <v>0.48501909999999998</v>
      </c>
      <c r="F1856" t="s">
        <v>41</v>
      </c>
      <c r="G1856">
        <v>-207.11080000000001</v>
      </c>
      <c r="H1856">
        <v>1.0283370000000001</v>
      </c>
      <c r="I1856">
        <v>142.166</v>
      </c>
      <c r="J1856">
        <v>-206.6771</v>
      </c>
      <c r="K1856">
        <v>1.0983019999999999</v>
      </c>
      <c r="L1856">
        <v>142.19730000000001</v>
      </c>
      <c r="M1856">
        <v>-0.97767559999999998</v>
      </c>
      <c r="N1856">
        <v>0</v>
      </c>
      <c r="O1856">
        <v>-0.20970829999999999</v>
      </c>
      <c r="P1856">
        <v>-0.98484740000000004</v>
      </c>
      <c r="Q1856">
        <v>0.151861</v>
      </c>
      <c r="R1856">
        <v>-8.3750469999999994E-2</v>
      </c>
      <c r="S1856">
        <v>-3.057404</v>
      </c>
      <c r="T1856">
        <v>-0.28212930000000003</v>
      </c>
      <c r="U1856">
        <v>-0.38059999999999999</v>
      </c>
      <c r="V1856">
        <v>0.1292517</v>
      </c>
      <c r="W1856">
        <v>0.16117190000000001</v>
      </c>
      <c r="X1856">
        <v>0.97842609999999997</v>
      </c>
      <c r="Y1856">
        <v>8.6116310000000001E-2</v>
      </c>
      <c r="Z1856">
        <v>2.3017559999999999E-2</v>
      </c>
      <c r="AA1856">
        <v>0.99601919999999999</v>
      </c>
      <c r="AB1856">
        <v>34</v>
      </c>
      <c r="AC1856">
        <v>-0.43370000000001602</v>
      </c>
      <c r="AD1856">
        <v>-6.9964999999999999E-2</v>
      </c>
      <c r="AE1856">
        <v>-3.1300000000015801E-2</v>
      </c>
      <c r="AF1856">
        <v>5.8831335303066001E-2</v>
      </c>
      <c r="AG1856">
        <v>-6.9964999999999999E-2</v>
      </c>
      <c r="AH1856">
        <v>0.41975175641546902</v>
      </c>
      <c r="AI1856">
        <v>99.373201641521206</v>
      </c>
      <c r="AJ1856">
        <v>82.021542061651999</v>
      </c>
      <c r="AK1856">
        <v>0.42959022830182297</v>
      </c>
      <c r="AL1856">
        <v>80.725076053082105</v>
      </c>
      <c r="AM1856">
        <v>82.474705503207602</v>
      </c>
      <c r="AN1856">
        <v>1.0000000082318501</v>
      </c>
    </row>
    <row r="1857" spans="1:40" x14ac:dyDescent="0.3">
      <c r="A1857" t="str">
        <f>"20200111150834402"</f>
        <v>20200111150834402</v>
      </c>
      <c r="B1857" t="str">
        <f>"1578726514394808"</f>
        <v>1578726514394808</v>
      </c>
      <c r="C1857" t="s">
        <v>40</v>
      </c>
      <c r="D1857">
        <v>5.2715959999999997</v>
      </c>
      <c r="E1857">
        <v>0.56772919999999905</v>
      </c>
      <c r="F1857" t="s">
        <v>41</v>
      </c>
      <c r="G1857">
        <v>-207.41390000000001</v>
      </c>
      <c r="H1857">
        <v>1.029355</v>
      </c>
      <c r="I1857">
        <v>142.11179999999999</v>
      </c>
      <c r="J1857">
        <v>-207.017</v>
      </c>
      <c r="K1857">
        <v>1.0985199999999999</v>
      </c>
      <c r="L1857">
        <v>142.1352</v>
      </c>
      <c r="M1857">
        <v>-0.98014040000000002</v>
      </c>
      <c r="N1857">
        <v>0</v>
      </c>
      <c r="O1857">
        <v>-0.19787080000000001</v>
      </c>
      <c r="P1857">
        <v>-0.98580970000000001</v>
      </c>
      <c r="Q1857">
        <v>0.1499509</v>
      </c>
      <c r="R1857">
        <v>-7.5457799999999894E-2</v>
      </c>
      <c r="S1857">
        <v>-3.06012</v>
      </c>
      <c r="T1857">
        <v>-0.28627989999999998</v>
      </c>
      <c r="U1857">
        <v>-0.3549042</v>
      </c>
      <c r="V1857">
        <v>0.12556400000000001</v>
      </c>
      <c r="W1857">
        <v>0.15940079999999901</v>
      </c>
      <c r="X1857">
        <v>0.97919610000000001</v>
      </c>
      <c r="Y1857">
        <v>8.2450919999999997E-2</v>
      </c>
      <c r="Z1857">
        <v>2.2102340000000002E-2</v>
      </c>
      <c r="AA1857">
        <v>0.99634999999999996</v>
      </c>
      <c r="AB1857">
        <v>34</v>
      </c>
      <c r="AC1857">
        <v>-0.39690000000001602</v>
      </c>
      <c r="AD1857">
        <v>-6.9165000000000101E-2</v>
      </c>
      <c r="AE1857">
        <v>-2.3400000000009399E-2</v>
      </c>
      <c r="AF1857">
        <v>5.3971119242367499E-2</v>
      </c>
      <c r="AG1857">
        <v>-6.9165000000000101E-2</v>
      </c>
      <c r="AH1857">
        <v>0.38211793601071697</v>
      </c>
      <c r="AI1857">
        <v>100.160981827225</v>
      </c>
      <c r="AJ1857">
        <v>81.960605527517998</v>
      </c>
      <c r="AK1857">
        <v>0.39205968417877901</v>
      </c>
      <c r="AL1857">
        <v>80.827881468529995</v>
      </c>
      <c r="AM1857">
        <v>82.692741518762404</v>
      </c>
      <c r="AN1857">
        <v>0.99999996769592403</v>
      </c>
    </row>
    <row r="1858" spans="1:40" x14ac:dyDescent="0.3">
      <c r="A1858" t="str">
        <f>"20200111150834424"</f>
        <v>20200111150834424</v>
      </c>
      <c r="B1858" t="str">
        <f>"1578726514415304"</f>
        <v>1578726514415304</v>
      </c>
      <c r="C1858" t="s">
        <v>40</v>
      </c>
      <c r="D1858">
        <v>5.208615</v>
      </c>
      <c r="E1858">
        <v>0.56709279999999995</v>
      </c>
      <c r="F1858" t="s">
        <v>43</v>
      </c>
      <c r="G1858">
        <v>-220.32689999999999</v>
      </c>
      <c r="H1858" s="1">
        <v>-4.861309E-6</v>
      </c>
      <c r="I1858">
        <v>143.54300000000001</v>
      </c>
      <c r="J1858">
        <v>-207.3579</v>
      </c>
      <c r="K1858">
        <v>1.0987720000000001</v>
      </c>
      <c r="L1858">
        <v>142.077</v>
      </c>
      <c r="M1858">
        <v>-0.98240249999999996</v>
      </c>
      <c r="N1858">
        <v>0</v>
      </c>
      <c r="O1858">
        <v>-0.1863184</v>
      </c>
      <c r="P1858">
        <v>-0.98659660000000005</v>
      </c>
      <c r="Q1858">
        <v>0.148424</v>
      </c>
      <c r="R1858">
        <v>-6.7803290000000002E-2</v>
      </c>
      <c r="S1858">
        <v>-3.1073460000000002</v>
      </c>
      <c r="T1858">
        <v>-0.25646259999999999</v>
      </c>
      <c r="U1858">
        <v>0.32867429999999997</v>
      </c>
      <c r="V1858">
        <v>0.121532399999999</v>
      </c>
      <c r="W1858">
        <v>0.1580213</v>
      </c>
      <c r="X1858">
        <v>0.97992809999999997</v>
      </c>
      <c r="Y1858">
        <v>0.2870509</v>
      </c>
      <c r="Z1858">
        <v>2.7073320000000001E-2</v>
      </c>
      <c r="AA1858">
        <v>0.95753270000000001</v>
      </c>
      <c r="AB1858">
        <v>34</v>
      </c>
      <c r="AC1858">
        <v>-12.9689999999999</v>
      </c>
      <c r="AD1858">
        <v>-1.0987768613090001</v>
      </c>
      <c r="AE1858">
        <v>1.466</v>
      </c>
      <c r="AF1858">
        <v>3.8297514639581798</v>
      </c>
      <c r="AG1858">
        <v>-1.0987768613090001</v>
      </c>
      <c r="AH1858">
        <v>12.380950264804101</v>
      </c>
      <c r="AI1858">
        <v>94.846167034741896</v>
      </c>
      <c r="AJ1858">
        <v>72.811795183714693</v>
      </c>
      <c r="AK1858">
        <v>13.006238361885901</v>
      </c>
      <c r="AL1858">
        <v>80.907935693051499</v>
      </c>
      <c r="AM1858">
        <v>82.9301774496017</v>
      </c>
      <c r="AN1858">
        <v>0.99999996833652904</v>
      </c>
    </row>
    <row r="1859" spans="1:40" x14ac:dyDescent="0.3">
      <c r="A1859" t="str">
        <f>"20200111150834446"</f>
        <v>20200111150834446</v>
      </c>
      <c r="B1859" t="str">
        <f>"1578726514434827"</f>
        <v>1578726514434827</v>
      </c>
      <c r="C1859" t="s">
        <v>40</v>
      </c>
      <c r="D1859">
        <v>5.2010500000000004</v>
      </c>
      <c r="E1859">
        <v>0.56668980000000002</v>
      </c>
      <c r="F1859" t="s">
        <v>43</v>
      </c>
      <c r="G1859">
        <v>-219.41249999999999</v>
      </c>
      <c r="H1859" s="1">
        <v>-1.273863E-6</v>
      </c>
      <c r="I1859">
        <v>143.43350000000001</v>
      </c>
      <c r="J1859">
        <v>-207.69800000000001</v>
      </c>
      <c r="K1859">
        <v>1.0990260000000001</v>
      </c>
      <c r="L1859">
        <v>142.02269999999999</v>
      </c>
      <c r="M1859">
        <v>-0.9844676</v>
      </c>
      <c r="N1859">
        <v>0</v>
      </c>
      <c r="O1859">
        <v>-0.1750826</v>
      </c>
      <c r="P1859">
        <v>-0.98716190000000004</v>
      </c>
      <c r="Q1859">
        <v>0.14773149999999999</v>
      </c>
      <c r="R1859">
        <v>-6.0720950000000003E-2</v>
      </c>
      <c r="S1859">
        <v>-3.1074069999999998</v>
      </c>
      <c r="T1859">
        <v>-0.28323999999999999</v>
      </c>
      <c r="U1859">
        <v>0.34968569999999999</v>
      </c>
      <c r="V1859">
        <v>0.11726499999999999</v>
      </c>
      <c r="W1859">
        <v>0.15747459999999999</v>
      </c>
      <c r="X1859">
        <v>0.98053590000000002</v>
      </c>
      <c r="Y1859">
        <v>0.2822228</v>
      </c>
      <c r="Z1859">
        <v>2.8650040000000002E-2</v>
      </c>
      <c r="AA1859">
        <v>0.95892100000000002</v>
      </c>
      <c r="AB1859">
        <v>34</v>
      </c>
      <c r="AC1859">
        <v>-11.714499999999999</v>
      </c>
      <c r="AD1859">
        <v>-1.099027273863</v>
      </c>
      <c r="AE1859">
        <v>1.41080000000002</v>
      </c>
      <c r="AF1859">
        <v>3.4105937441899501</v>
      </c>
      <c r="AG1859">
        <v>-1.099027273863</v>
      </c>
      <c r="AH1859">
        <v>11.189417923454201</v>
      </c>
      <c r="AI1859">
        <v>95.367340596695897</v>
      </c>
      <c r="AJ1859">
        <v>73.048501405631896</v>
      </c>
      <c r="AK1859">
        <v>11.749173762538399</v>
      </c>
      <c r="AL1859">
        <v>80.939656662658393</v>
      </c>
      <c r="AM1859">
        <v>83.1802292867213</v>
      </c>
      <c r="AN1859">
        <v>0.99999999052948496</v>
      </c>
    </row>
    <row r="1860" spans="1:40" x14ac:dyDescent="0.3">
      <c r="A1860" t="str">
        <f>"20200111150834468"</f>
        <v>20200111150834468</v>
      </c>
      <c r="B1860" t="str">
        <f>"1578726514465082"</f>
        <v>1578726514465082</v>
      </c>
      <c r="C1860" t="s">
        <v>40</v>
      </c>
      <c r="D1860">
        <v>5.214518</v>
      </c>
      <c r="E1860">
        <v>0.56629189999999996</v>
      </c>
      <c r="F1860" t="s">
        <v>43</v>
      </c>
      <c r="G1860">
        <v>-220.0403</v>
      </c>
      <c r="H1860" s="1">
        <v>-4.949494E-6</v>
      </c>
      <c r="I1860">
        <v>143.49029999999999</v>
      </c>
      <c r="J1860">
        <v>-208.03970000000001</v>
      </c>
      <c r="K1860">
        <v>1.0992869999999999</v>
      </c>
      <c r="L1860">
        <v>141.97190000000001</v>
      </c>
      <c r="M1860">
        <v>-0.98635600000000001</v>
      </c>
      <c r="N1860">
        <v>0</v>
      </c>
      <c r="O1860">
        <v>-0.1641145</v>
      </c>
      <c r="P1860">
        <v>-0.987479</v>
      </c>
      <c r="Q1860">
        <v>0.1484666</v>
      </c>
      <c r="R1860">
        <v>-5.3317410000000003E-2</v>
      </c>
      <c r="S1860">
        <v>-3.1030730000000002</v>
      </c>
      <c r="T1860">
        <v>-0.27631689999999998</v>
      </c>
      <c r="U1860">
        <v>0.36900329999999998</v>
      </c>
      <c r="V1860">
        <v>0.1136003</v>
      </c>
      <c r="W1860">
        <v>0.15833349999999999</v>
      </c>
      <c r="X1860">
        <v>0.98082899999999995</v>
      </c>
      <c r="Y1860">
        <v>0.27773409999999998</v>
      </c>
      <c r="Z1860">
        <v>2.681907E-2</v>
      </c>
      <c r="AA1860">
        <v>0.96028360000000001</v>
      </c>
      <c r="AB1860">
        <v>34</v>
      </c>
      <c r="AC1860">
        <v>-12.000599999999899</v>
      </c>
      <c r="AD1860">
        <v>-1.0992919494939899</v>
      </c>
      <c r="AE1860">
        <v>1.51839999999998</v>
      </c>
      <c r="AF1860">
        <v>3.43904442021265</v>
      </c>
      <c r="AG1860">
        <v>-1.0992919494939899</v>
      </c>
      <c r="AH1860">
        <v>11.493721839631201</v>
      </c>
      <c r="AI1860">
        <v>95.235340844937994</v>
      </c>
      <c r="AJ1860">
        <v>73.342254904239198</v>
      </c>
      <c r="AK1860">
        <v>12.0474524710095</v>
      </c>
      <c r="AL1860">
        <v>80.889820417522998</v>
      </c>
      <c r="AM1860">
        <v>83.393399121813502</v>
      </c>
      <c r="AN1860">
        <v>1.00000002631166</v>
      </c>
    </row>
    <row r="1861" spans="1:40" x14ac:dyDescent="0.3">
      <c r="A1861" t="str">
        <f>"20200111150834492"</f>
        <v>20200111150834492</v>
      </c>
      <c r="B1861" t="str">
        <f>"1578726514485575"</f>
        <v>1578726514485575</v>
      </c>
      <c r="C1861" t="s">
        <v>40</v>
      </c>
      <c r="D1861">
        <v>5.1997999999999998</v>
      </c>
      <c r="E1861">
        <v>0.56601579999999996</v>
      </c>
      <c r="F1861" t="s">
        <v>43</v>
      </c>
      <c r="G1861">
        <v>-220.57730000000001</v>
      </c>
      <c r="H1861" s="1">
        <v>-4.7760700000000003E-6</v>
      </c>
      <c r="I1861">
        <v>143.5429</v>
      </c>
      <c r="J1861">
        <v>-208.38759999999999</v>
      </c>
      <c r="K1861">
        <v>1.0995790000000001</v>
      </c>
      <c r="L1861">
        <v>141.9238</v>
      </c>
      <c r="M1861">
        <v>-0.98809190000000002</v>
      </c>
      <c r="N1861">
        <v>0</v>
      </c>
      <c r="O1861">
        <v>-0.1533204</v>
      </c>
      <c r="P1861">
        <v>-0.98754609999999998</v>
      </c>
      <c r="Q1861">
        <v>0.15068199999999901</v>
      </c>
      <c r="R1861">
        <v>-4.5250209999999999E-2</v>
      </c>
      <c r="S1861">
        <v>-3.0998839999999999</v>
      </c>
      <c r="T1861">
        <v>-0.27179720000000002</v>
      </c>
      <c r="U1861">
        <v>0.38844299999999998</v>
      </c>
      <c r="V1861">
        <v>0.11078</v>
      </c>
      <c r="W1861">
        <v>0.16064619999999999</v>
      </c>
      <c r="X1861">
        <v>0.98077550000000002</v>
      </c>
      <c r="Y1861">
        <v>0.27339330000000001</v>
      </c>
      <c r="Z1861">
        <v>2.5275019999999999E-2</v>
      </c>
      <c r="AA1861">
        <v>0.96157020000000004</v>
      </c>
      <c r="AB1861">
        <v>34</v>
      </c>
      <c r="AC1861">
        <v>-12.1897</v>
      </c>
      <c r="AD1861">
        <v>-1.09958377607</v>
      </c>
      <c r="AE1861">
        <v>1.6191</v>
      </c>
      <c r="AF1861">
        <v>3.4415208259999401</v>
      </c>
      <c r="AG1861">
        <v>-1.09958377607</v>
      </c>
      <c r="AH1861">
        <v>11.703705988899801</v>
      </c>
      <c r="AI1861">
        <v>95.150473148009596</v>
      </c>
      <c r="AJ1861">
        <v>73.613819399869698</v>
      </c>
      <c r="AK1861">
        <v>12.2486686603482</v>
      </c>
      <c r="AL1861">
        <v>80.7555940011476</v>
      </c>
      <c r="AM1861">
        <v>83.555672506708902</v>
      </c>
      <c r="AN1861">
        <v>0.99999999568734499</v>
      </c>
    </row>
    <row r="1862" spans="1:40" x14ac:dyDescent="0.3">
      <c r="A1862" t="str">
        <f>"20200111150834514"</f>
        <v>20200111150834514</v>
      </c>
      <c r="B1862" t="str">
        <f>"1578726514505096"</f>
        <v>1578726514505096</v>
      </c>
      <c r="C1862" t="s">
        <v>40</v>
      </c>
      <c r="D1862">
        <v>5.1365800000000004</v>
      </c>
      <c r="E1862">
        <v>0.56536819999999999</v>
      </c>
      <c r="F1862" t="s">
        <v>43</v>
      </c>
      <c r="G1862">
        <v>-221.1189</v>
      </c>
      <c r="H1862" s="1">
        <v>-4.6035759999999996E-6</v>
      </c>
      <c r="I1862">
        <v>143.6095</v>
      </c>
      <c r="J1862">
        <v>-208.73660000000001</v>
      </c>
      <c r="K1862">
        <v>1.099901</v>
      </c>
      <c r="L1862">
        <v>141.87909999999999</v>
      </c>
      <c r="M1862">
        <v>-0.98965329999999996</v>
      </c>
      <c r="N1862">
        <v>0</v>
      </c>
      <c r="O1862">
        <v>-0.14290039999999901</v>
      </c>
      <c r="P1862">
        <v>-0.98750320000000003</v>
      </c>
      <c r="Q1862">
        <v>0.15342449999999999</v>
      </c>
      <c r="R1862">
        <v>-3.6034919999999998E-2</v>
      </c>
      <c r="S1862">
        <v>-3.0974270000000002</v>
      </c>
      <c r="T1862">
        <v>-0.26751940000000002</v>
      </c>
      <c r="U1862">
        <v>0.41014099999999998</v>
      </c>
      <c r="V1862">
        <v>0.10947900000000001</v>
      </c>
      <c r="W1862">
        <v>0.16344629999999999</v>
      </c>
      <c r="X1862">
        <v>0.98045890000000002</v>
      </c>
      <c r="Y1862">
        <v>0.2700803</v>
      </c>
      <c r="Z1862">
        <v>2.3855390000000001E-2</v>
      </c>
      <c r="AA1862">
        <v>0.96254220000000001</v>
      </c>
      <c r="AB1862">
        <v>34</v>
      </c>
      <c r="AC1862">
        <v>-12.382299999999899</v>
      </c>
      <c r="AD1862">
        <v>-1.099905603576</v>
      </c>
      <c r="AE1862">
        <v>1.7303999999999999</v>
      </c>
      <c r="AF1862">
        <v>3.45547703138533</v>
      </c>
      <c r="AG1862">
        <v>-1.099905603576</v>
      </c>
      <c r="AH1862">
        <v>11.9156843468201</v>
      </c>
      <c r="AI1862">
        <v>95.066302679386197</v>
      </c>
      <c r="AJ1862">
        <v>73.828157802864496</v>
      </c>
      <c r="AK1862">
        <v>12.455265846390599</v>
      </c>
      <c r="AL1862">
        <v>80.593011236086994</v>
      </c>
      <c r="AM1862">
        <v>83.628689271680202</v>
      </c>
      <c r="AN1862">
        <v>0.99999999950694995</v>
      </c>
    </row>
    <row r="1863" spans="1:40" x14ac:dyDescent="0.3">
      <c r="A1863" t="str">
        <f>"20200111150834536"</f>
        <v>20200111150834536</v>
      </c>
      <c r="B1863" t="str">
        <f>"1578726514524616"</f>
        <v>1578726514524616</v>
      </c>
      <c r="C1863" t="s">
        <v>40</v>
      </c>
      <c r="D1863">
        <v>5.1819329999999999</v>
      </c>
      <c r="E1863">
        <v>0.5649573</v>
      </c>
      <c r="F1863" t="s">
        <v>43</v>
      </c>
      <c r="G1863">
        <v>-221.636</v>
      </c>
      <c r="H1863" s="1">
        <v>-4.4400529999999998E-6</v>
      </c>
      <c r="I1863">
        <v>143.6797</v>
      </c>
      <c r="J1863">
        <v>-209.07419999999999</v>
      </c>
      <c r="K1863">
        <v>1.1002529999999999</v>
      </c>
      <c r="L1863">
        <v>141.8391</v>
      </c>
      <c r="M1863">
        <v>-0.99099879999999996</v>
      </c>
      <c r="N1863">
        <v>0</v>
      </c>
      <c r="O1863">
        <v>-0.13325590000000001</v>
      </c>
      <c r="P1863">
        <v>-0.98761379999999999</v>
      </c>
      <c r="Q1863">
        <v>0.15461910000000001</v>
      </c>
      <c r="R1863">
        <v>-2.6684380000000001E-2</v>
      </c>
      <c r="S1863">
        <v>-3.0947420000000001</v>
      </c>
      <c r="T1863">
        <v>-0.26388289999999998</v>
      </c>
      <c r="U1863">
        <v>0.43200680000000002</v>
      </c>
      <c r="V1863">
        <v>0.10908039999999899</v>
      </c>
      <c r="W1863">
        <v>0.16468160000000001</v>
      </c>
      <c r="X1863">
        <v>0.98029659999999996</v>
      </c>
      <c r="Y1863">
        <v>0.26757579999999997</v>
      </c>
      <c r="Z1863">
        <v>2.2621809999999999E-2</v>
      </c>
      <c r="AA1863">
        <v>0.96327119999999999</v>
      </c>
      <c r="AB1863">
        <v>34</v>
      </c>
      <c r="AC1863">
        <v>-12.5618</v>
      </c>
      <c r="AD1863">
        <v>-1.1002574400530001</v>
      </c>
      <c r="AE1863">
        <v>1.84059999999999</v>
      </c>
      <c r="AF1863">
        <v>3.4721764237086399</v>
      </c>
      <c r="AG1863">
        <v>-1.1002574400530001</v>
      </c>
      <c r="AH1863">
        <v>12.113483822744</v>
      </c>
      <c r="AI1863">
        <v>94.9900162229942</v>
      </c>
      <c r="AJ1863">
        <v>74.005721957594901</v>
      </c>
      <c r="AK1863">
        <v>12.649231829468199</v>
      </c>
      <c r="AL1863">
        <v>80.521261467454806</v>
      </c>
      <c r="AM1863">
        <v>83.650654272115602</v>
      </c>
      <c r="AN1863">
        <v>0.99999999350713997</v>
      </c>
    </row>
    <row r="1864" spans="1:40" x14ac:dyDescent="0.3">
      <c r="A1864" t="str">
        <f>"20200111150834558"</f>
        <v>20200111150834558</v>
      </c>
      <c r="B1864" t="str">
        <f>"1578726514554872"</f>
        <v>1578726514554872</v>
      </c>
      <c r="C1864" t="s">
        <v>40</v>
      </c>
      <c r="D1864">
        <v>5.2348290000000004</v>
      </c>
      <c r="E1864">
        <v>0.56452239999999998</v>
      </c>
      <c r="F1864" t="s">
        <v>43</v>
      </c>
      <c r="G1864">
        <v>-222.09440000000001</v>
      </c>
      <c r="H1864" s="1">
        <v>-4.2985679999999998E-6</v>
      </c>
      <c r="I1864">
        <v>143.76150000000001</v>
      </c>
      <c r="J1864">
        <v>-209.40690000000001</v>
      </c>
      <c r="K1864">
        <v>1.1006389999999999</v>
      </c>
      <c r="L1864">
        <v>141.80250000000001</v>
      </c>
      <c r="M1864">
        <v>-0.99217560000000005</v>
      </c>
      <c r="N1864">
        <v>0</v>
      </c>
      <c r="O1864">
        <v>-0.12419669999999999</v>
      </c>
      <c r="P1864">
        <v>-0.98778739999999998</v>
      </c>
      <c r="Q1864">
        <v>0.15472920000000001</v>
      </c>
      <c r="R1864">
        <v>-1.8302209999999999E-2</v>
      </c>
      <c r="S1864">
        <v>-3.0908509999999998</v>
      </c>
      <c r="T1864">
        <v>-0.26118789999999997</v>
      </c>
      <c r="U1864">
        <v>0.45637509999999998</v>
      </c>
      <c r="V1864">
        <v>0.1082915</v>
      </c>
      <c r="W1864">
        <v>0.16484989999999999</v>
      </c>
      <c r="X1864">
        <v>0.9803558</v>
      </c>
      <c r="Y1864">
        <v>0.26644610000000002</v>
      </c>
      <c r="Z1864">
        <v>2.1602119999999999E-2</v>
      </c>
      <c r="AA1864">
        <v>0.96360769999999996</v>
      </c>
      <c r="AB1864">
        <v>34</v>
      </c>
      <c r="AC1864">
        <v>-12.6875</v>
      </c>
      <c r="AD1864">
        <v>-1.1006432985679999</v>
      </c>
      <c r="AE1864">
        <v>1.9590000000000001</v>
      </c>
      <c r="AF1864">
        <v>3.4940217487999998</v>
      </c>
      <c r="AG1864">
        <v>-1.1006432985679999</v>
      </c>
      <c r="AH1864">
        <v>12.2558464229575</v>
      </c>
      <c r="AI1864">
        <v>94.9360693075906</v>
      </c>
      <c r="AJ1864">
        <v>74.0876681692029</v>
      </c>
      <c r="AK1864">
        <v>12.791613471133701</v>
      </c>
      <c r="AL1864">
        <v>80.511485190261098</v>
      </c>
      <c r="AM1864">
        <v>83.696581112341804</v>
      </c>
      <c r="AN1864">
        <v>1.0000000165479399</v>
      </c>
    </row>
    <row r="1865" spans="1:40" x14ac:dyDescent="0.3">
      <c r="A1865" t="str">
        <f>"20200111150834581"</f>
        <v>20200111150834581</v>
      </c>
      <c r="B1865" t="str">
        <f>"1578726514575368"</f>
        <v>1578726514575368</v>
      </c>
      <c r="C1865" t="s">
        <v>40</v>
      </c>
      <c r="D1865">
        <v>5.2672829999999999</v>
      </c>
      <c r="E1865">
        <v>0.56363949999999996</v>
      </c>
      <c r="F1865" t="s">
        <v>43</v>
      </c>
      <c r="G1865">
        <v>-222.35579999999999</v>
      </c>
      <c r="H1865" s="1">
        <v>-4.2177719999999997E-6</v>
      </c>
      <c r="I1865">
        <v>143.8075</v>
      </c>
      <c r="J1865">
        <v>-209.73500000000001</v>
      </c>
      <c r="K1865">
        <v>1.1010549999999999</v>
      </c>
      <c r="L1865">
        <v>141.76910000000001</v>
      </c>
      <c r="M1865">
        <v>-0.9931991</v>
      </c>
      <c r="N1865">
        <v>0</v>
      </c>
      <c r="O1865">
        <v>-0.1157328</v>
      </c>
      <c r="P1865">
        <v>-0.98796360000000005</v>
      </c>
      <c r="Q1865">
        <v>0.15424660000000001</v>
      </c>
      <c r="R1865">
        <v>-1.166493E-2</v>
      </c>
      <c r="S1865">
        <v>-3.087021</v>
      </c>
      <c r="T1865">
        <v>-0.26239279999999998</v>
      </c>
      <c r="U1865">
        <v>0.4779968</v>
      </c>
      <c r="V1865">
        <v>0.1063506</v>
      </c>
      <c r="W1865">
        <v>0.16446</v>
      </c>
      <c r="X1865">
        <v>0.98063370000000005</v>
      </c>
      <c r="Y1865">
        <v>0.26502239999999999</v>
      </c>
      <c r="Z1865">
        <v>2.094445E-2</v>
      </c>
      <c r="AA1865">
        <v>0.96401479999999995</v>
      </c>
      <c r="AB1865">
        <v>34</v>
      </c>
      <c r="AC1865">
        <v>-12.6207999999999</v>
      </c>
      <c r="AD1865">
        <v>-1.101059217772</v>
      </c>
      <c r="AE1865">
        <v>2.03839999999999</v>
      </c>
      <c r="AF1865">
        <v>3.4597955642900899</v>
      </c>
      <c r="AG1865">
        <v>-1.101059217772</v>
      </c>
      <c r="AH1865">
        <v>12.209485348969499</v>
      </c>
      <c r="AI1865">
        <v>94.958814391679894</v>
      </c>
      <c r="AJ1865">
        <v>74.178888706847502</v>
      </c>
      <c r="AK1865">
        <v>12.7378981482198</v>
      </c>
      <c r="AL1865">
        <v>80.534133761542606</v>
      </c>
      <c r="AM1865">
        <v>83.8104124059562</v>
      </c>
      <c r="AN1865">
        <v>0.99999999764802505</v>
      </c>
    </row>
    <row r="1866" spans="1:40" x14ac:dyDescent="0.3">
      <c r="A1866" t="str">
        <f>"20200111150834603"</f>
        <v>20200111150834603</v>
      </c>
      <c r="B1866" t="str">
        <f>"1578726514594889"</f>
        <v>1578726514594889</v>
      </c>
      <c r="C1866" t="s">
        <v>40</v>
      </c>
      <c r="D1866">
        <v>5.2656720000000004</v>
      </c>
      <c r="E1866">
        <v>0.56276530000000002</v>
      </c>
      <c r="F1866" t="s">
        <v>43</v>
      </c>
      <c r="G1866">
        <v>-222.4999</v>
      </c>
      <c r="H1866" s="1">
        <v>-4.1676989999999997E-6</v>
      </c>
      <c r="I1866">
        <v>143.80160000000001</v>
      </c>
      <c r="J1866">
        <v>-210.0909</v>
      </c>
      <c r="K1866">
        <v>1.101531</v>
      </c>
      <c r="L1866">
        <v>141.73580000000001</v>
      </c>
      <c r="M1866">
        <v>-0.99416300000000002</v>
      </c>
      <c r="N1866">
        <v>0</v>
      </c>
      <c r="O1866">
        <v>-0.1071449</v>
      </c>
      <c r="P1866">
        <v>-0.98784439999999996</v>
      </c>
      <c r="Q1866">
        <v>0.15530949999999999</v>
      </c>
      <c r="R1866">
        <v>-6.5067419999999898E-3</v>
      </c>
      <c r="S1866">
        <v>-3.0838779999999999</v>
      </c>
      <c r="T1866">
        <v>-0.26600479999999999</v>
      </c>
      <c r="U1866">
        <v>0.49104310000000001</v>
      </c>
      <c r="V1866">
        <v>0.1028018</v>
      </c>
      <c r="W1866">
        <v>0.16565369999999999</v>
      </c>
      <c r="X1866">
        <v>0.98081119999999999</v>
      </c>
      <c r="Y1866">
        <v>0.260826</v>
      </c>
      <c r="Z1866">
        <v>2.0332599999999999E-2</v>
      </c>
      <c r="AA1866">
        <v>0.96517169999999997</v>
      </c>
      <c r="AB1866">
        <v>34</v>
      </c>
      <c r="AC1866">
        <v>-12.408999999999899</v>
      </c>
      <c r="AD1866">
        <v>-1.101535167699</v>
      </c>
      <c r="AE1866">
        <v>2.0657999999999901</v>
      </c>
      <c r="AF1866">
        <v>3.3578275514770999</v>
      </c>
      <c r="AG1866">
        <v>-1.101535167699</v>
      </c>
      <c r="AH1866">
        <v>12.0240040448509</v>
      </c>
      <c r="AI1866">
        <v>95.042454378493701</v>
      </c>
      <c r="AJ1866">
        <v>74.397059072438793</v>
      </c>
      <c r="AK1866">
        <v>12.5325599484593</v>
      </c>
      <c r="AL1866">
        <v>80.464788521920696</v>
      </c>
      <c r="AM1866">
        <v>84.016502667717205</v>
      </c>
      <c r="AN1866">
        <v>0.99999998422618397</v>
      </c>
    </row>
    <row r="1867" spans="1:40" x14ac:dyDescent="0.3">
      <c r="A1867" t="str">
        <f>"20200111150834636"</f>
        <v>20200111150834636</v>
      </c>
      <c r="B1867" t="str">
        <f>"1578726514625146"</f>
        <v>1578726514625146</v>
      </c>
      <c r="C1867" t="s">
        <v>40</v>
      </c>
      <c r="D1867">
        <v>5.2643449999999996</v>
      </c>
      <c r="E1867">
        <v>0.55074029999999996</v>
      </c>
      <c r="F1867" t="s">
        <v>43</v>
      </c>
      <c r="G1867">
        <v>-222.90950000000001</v>
      </c>
      <c r="H1867" s="1">
        <v>-4.0303390000000002E-6</v>
      </c>
      <c r="I1867">
        <v>143.81299999999999</v>
      </c>
      <c r="J1867">
        <v>-210.60839999999999</v>
      </c>
      <c r="K1867">
        <v>1.1022160000000001</v>
      </c>
      <c r="L1867">
        <v>141.6918</v>
      </c>
      <c r="M1867">
        <v>-0.99534860000000003</v>
      </c>
      <c r="N1867">
        <v>0</v>
      </c>
      <c r="O1867">
        <v>-9.5517389999999994E-2</v>
      </c>
      <c r="P1867">
        <v>-0.98729339999999999</v>
      </c>
      <c r="Q1867">
        <v>0.158905399999999</v>
      </c>
      <c r="R1867">
        <v>1.020385E-3</v>
      </c>
      <c r="S1867">
        <v>-3.0818180000000002</v>
      </c>
      <c r="T1867">
        <v>-0.26483079999999998</v>
      </c>
      <c r="U1867">
        <v>0.49940489999999998</v>
      </c>
      <c r="V1867">
        <v>9.8551899999999901E-2</v>
      </c>
      <c r="W1867">
        <v>0.16940169999999999</v>
      </c>
      <c r="X1867">
        <v>0.98060729999999996</v>
      </c>
      <c r="Y1867">
        <v>0.25227240000000001</v>
      </c>
      <c r="Z1867">
        <v>1.8896840000000002E-2</v>
      </c>
      <c r="AA1867">
        <v>0.96747169999999905</v>
      </c>
      <c r="AB1867">
        <v>34</v>
      </c>
      <c r="AC1867">
        <v>-12.3011</v>
      </c>
      <c r="AD1867">
        <v>-1.102220030339</v>
      </c>
      <c r="AE1867">
        <v>2.12119999999998</v>
      </c>
      <c r="AF1867">
        <v>3.2611345940004699</v>
      </c>
      <c r="AG1867">
        <v>-1.102220030339</v>
      </c>
      <c r="AH1867">
        <v>11.949054289880999</v>
      </c>
      <c r="AI1867">
        <v>95.085277889557005</v>
      </c>
      <c r="AJ1867">
        <v>74.734609632343805</v>
      </c>
      <c r="AK1867">
        <v>12.435022567651</v>
      </c>
      <c r="AL1867">
        <v>80.246965979679302</v>
      </c>
      <c r="AM1867">
        <v>84.260993907945505</v>
      </c>
      <c r="AN1867">
        <v>1.00000004488489</v>
      </c>
    </row>
    <row r="1868" spans="1:40" x14ac:dyDescent="0.3">
      <c r="A1868" t="str">
        <f>"20200111150834658"</f>
        <v>20200111150834658</v>
      </c>
      <c r="B1868" t="str">
        <f>"1578726514655400"</f>
        <v>1578726514655400</v>
      </c>
      <c r="C1868" t="s">
        <v>40</v>
      </c>
      <c r="D1868">
        <v>5.2359739999999997</v>
      </c>
      <c r="E1868">
        <v>0.54827990000000004</v>
      </c>
      <c r="F1868" t="s">
        <v>43</v>
      </c>
      <c r="G1868">
        <v>-226.0504</v>
      </c>
      <c r="H1868" s="1">
        <v>-2.7962020000000001E-6</v>
      </c>
      <c r="I1868">
        <v>143.82380000000001</v>
      </c>
      <c r="J1868">
        <v>-210.93350000000001</v>
      </c>
      <c r="K1868">
        <v>1.1026469999999999</v>
      </c>
      <c r="L1868">
        <v>141.6669</v>
      </c>
      <c r="M1868">
        <v>-0.99597089999999999</v>
      </c>
      <c r="N1868">
        <v>0</v>
      </c>
      <c r="O1868">
        <v>-8.8800030000000002E-2</v>
      </c>
      <c r="P1868">
        <v>-0.9871027</v>
      </c>
      <c r="Q1868">
        <v>0.16003319999999999</v>
      </c>
      <c r="R1868">
        <v>4.1885350000000002E-3</v>
      </c>
      <c r="S1868">
        <v>-3.0734859999999999</v>
      </c>
      <c r="T1868">
        <v>-0.21938050000000001</v>
      </c>
      <c r="U1868">
        <v>0.42434690000000003</v>
      </c>
      <c r="V1868">
        <v>9.4911770000000006E-2</v>
      </c>
      <c r="W1868">
        <v>0.17064089999999901</v>
      </c>
      <c r="X1868">
        <v>0.9807515</v>
      </c>
      <c r="Y1868">
        <v>0.22342010000000001</v>
      </c>
      <c r="Z1868">
        <v>1.423056E-2</v>
      </c>
      <c r="AA1868">
        <v>0.9746184</v>
      </c>
      <c r="AB1868">
        <v>34</v>
      </c>
      <c r="AC1868">
        <v>-15.1168999999999</v>
      </c>
      <c r="AD1868">
        <v>-1.1026497962020001</v>
      </c>
      <c r="AE1868">
        <v>2.1568999999999998</v>
      </c>
      <c r="AF1868">
        <v>3.4727559759502999</v>
      </c>
      <c r="AG1868">
        <v>-1.1026497962020001</v>
      </c>
      <c r="AH1868">
        <v>14.7885112128345</v>
      </c>
      <c r="AI1868">
        <v>94.151632190536702</v>
      </c>
      <c r="AJ1868">
        <v>76.784790251511794</v>
      </c>
      <c r="AK1868">
        <v>15.230756203606401</v>
      </c>
      <c r="AL1868">
        <v>80.174915908567201</v>
      </c>
      <c r="AM1868">
        <v>84.472440487140105</v>
      </c>
      <c r="AN1868">
        <v>1.00000003279479</v>
      </c>
    </row>
    <row r="1869" spans="1:40" x14ac:dyDescent="0.3">
      <c r="A1869" t="str">
        <f>"20200111150834679"</f>
        <v>20200111150834679</v>
      </c>
      <c r="B1869" t="str">
        <f>"1578726514674920"</f>
        <v>1578726514674920</v>
      </c>
      <c r="C1869" t="s">
        <v>40</v>
      </c>
      <c r="D1869">
        <v>5.2926000000000002</v>
      </c>
      <c r="E1869">
        <v>0.54681269999999904</v>
      </c>
      <c r="F1869" t="s">
        <v>43</v>
      </c>
      <c r="G1869">
        <v>-225.0958</v>
      </c>
      <c r="H1869" s="1">
        <v>-3.1401359999999999E-6</v>
      </c>
      <c r="I1869">
        <v>143.57740000000001</v>
      </c>
      <c r="J1869">
        <v>-211.26329999999999</v>
      </c>
      <c r="K1869">
        <v>1.1031260000000001</v>
      </c>
      <c r="L1869">
        <v>141.64330000000001</v>
      </c>
      <c r="M1869">
        <v>-0.99650930000000004</v>
      </c>
      <c r="N1869">
        <v>0</v>
      </c>
      <c r="O1869">
        <v>-8.2547700000000002E-2</v>
      </c>
      <c r="P1869">
        <v>-0.98680500000000004</v>
      </c>
      <c r="Q1869">
        <v>0.1617555</v>
      </c>
      <c r="R1869">
        <v>7.1434380000000002E-3</v>
      </c>
      <c r="S1869">
        <v>-3.076279</v>
      </c>
      <c r="T1869">
        <v>-0.239513</v>
      </c>
      <c r="U1869">
        <v>0.4150085</v>
      </c>
      <c r="V1869">
        <v>9.1499899999999995E-2</v>
      </c>
      <c r="W1869">
        <v>0.1724715</v>
      </c>
      <c r="X1869">
        <v>0.9807555</v>
      </c>
      <c r="Y1869">
        <v>0.21416760000000001</v>
      </c>
      <c r="Z1869">
        <v>1.467974E-2</v>
      </c>
      <c r="AA1869">
        <v>0.97668659999999996</v>
      </c>
      <c r="AB1869">
        <v>34</v>
      </c>
      <c r="AC1869">
        <v>-13.8325</v>
      </c>
      <c r="AD1869">
        <v>-1.1031291401359999</v>
      </c>
      <c r="AE1869">
        <v>1.9340999999999999</v>
      </c>
      <c r="AF1869">
        <v>3.0503994566086399</v>
      </c>
      <c r="AG1869">
        <v>-1.1031291401359999</v>
      </c>
      <c r="AH1869">
        <v>13.5411468968791</v>
      </c>
      <c r="AI1869">
        <v>94.543942260430399</v>
      </c>
      <c r="AJ1869">
        <v>77.304952138716303</v>
      </c>
      <c r="AK1869">
        <v>13.924241093415199</v>
      </c>
      <c r="AL1869">
        <v>80.068451516038394</v>
      </c>
      <c r="AM1869">
        <v>84.670000217092394</v>
      </c>
      <c r="AN1869">
        <v>1.0000000003962499</v>
      </c>
    </row>
    <row r="1870" spans="1:40" x14ac:dyDescent="0.3">
      <c r="A1870" t="str">
        <f>"20200111150834703"</f>
        <v>20200111150834703</v>
      </c>
      <c r="B1870" t="str">
        <f>"1578726514695416"</f>
        <v>1578726514695416</v>
      </c>
      <c r="C1870" t="s">
        <v>40</v>
      </c>
      <c r="D1870">
        <v>5.2430029999999999</v>
      </c>
      <c r="E1870">
        <v>0.54660509999999995</v>
      </c>
      <c r="F1870" t="s">
        <v>43</v>
      </c>
      <c r="G1870">
        <v>-225.93260000000001</v>
      </c>
      <c r="H1870" s="1">
        <v>-2.7883879999999999E-6</v>
      </c>
      <c r="I1870">
        <v>143.6045</v>
      </c>
      <c r="J1870">
        <v>-211.6183</v>
      </c>
      <c r="K1870">
        <v>1.103701</v>
      </c>
      <c r="L1870">
        <v>141.6199</v>
      </c>
      <c r="M1870">
        <v>-0.99698880000000001</v>
      </c>
      <c r="N1870">
        <v>0</v>
      </c>
      <c r="O1870">
        <v>-7.6549720000000002E-2</v>
      </c>
      <c r="P1870">
        <v>-0.98638009999999998</v>
      </c>
      <c r="Q1870">
        <v>0.1641147</v>
      </c>
      <c r="R1870">
        <v>1.099602E-2</v>
      </c>
      <c r="S1870">
        <v>-3.075043</v>
      </c>
      <c r="T1870">
        <v>-0.23124420000000001</v>
      </c>
      <c r="U1870">
        <v>0.41113280000000002</v>
      </c>
      <c r="V1870">
        <v>8.9190469999999994E-2</v>
      </c>
      <c r="W1870">
        <v>0.1749261</v>
      </c>
      <c r="X1870">
        <v>0.98053349999999995</v>
      </c>
      <c r="Y1870">
        <v>0.2072232</v>
      </c>
      <c r="Z1870">
        <v>1.3472939999999999E-2</v>
      </c>
      <c r="AA1870">
        <v>0.97820090000000004</v>
      </c>
      <c r="AB1870">
        <v>34</v>
      </c>
      <c r="AC1870">
        <v>-14.314299999999999</v>
      </c>
      <c r="AD1870">
        <v>-1.1037037883879901</v>
      </c>
      <c r="AE1870">
        <v>1.9845999999999999</v>
      </c>
      <c r="AF1870">
        <v>3.0567851842759799</v>
      </c>
      <c r="AG1870">
        <v>-1.1037037883879901</v>
      </c>
      <c r="AH1870">
        <v>14.038472641426701</v>
      </c>
      <c r="AI1870">
        <v>94.392829704098403</v>
      </c>
      <c r="AJ1870">
        <v>77.715962807960196</v>
      </c>
      <c r="AK1870">
        <v>14.409747111569899</v>
      </c>
      <c r="AL1870">
        <v>79.925642512783</v>
      </c>
      <c r="AM1870">
        <v>84.802611906430897</v>
      </c>
      <c r="AN1870">
        <v>1.0000000125111399</v>
      </c>
    </row>
    <row r="1871" spans="1:40" x14ac:dyDescent="0.3">
      <c r="A1871" t="str">
        <f>"20200111150834726"</f>
        <v>20200111150834726</v>
      </c>
      <c r="B1871" t="str">
        <f>"1578726514714935"</f>
        <v>1578726514714935</v>
      </c>
      <c r="C1871" t="s">
        <v>40</v>
      </c>
      <c r="D1871">
        <v>5.1309750000000003</v>
      </c>
      <c r="E1871">
        <v>0.54457800000000001</v>
      </c>
      <c r="F1871" t="s">
        <v>43</v>
      </c>
      <c r="G1871">
        <v>-226.49600000000001</v>
      </c>
      <c r="H1871" s="1">
        <v>-2.5592060000000002E-6</v>
      </c>
      <c r="I1871">
        <v>143.6515</v>
      </c>
      <c r="J1871">
        <v>-211.97200000000001</v>
      </c>
      <c r="K1871">
        <v>1.1042780000000001</v>
      </c>
      <c r="L1871">
        <v>141.59809999999999</v>
      </c>
      <c r="M1871">
        <v>-0.99739029999999995</v>
      </c>
      <c r="N1871">
        <v>0</v>
      </c>
      <c r="O1871">
        <v>-7.1135530000000002E-2</v>
      </c>
      <c r="P1871">
        <v>-0.98627100000000001</v>
      </c>
      <c r="Q1871">
        <v>0.16445100000000001</v>
      </c>
      <c r="R1871">
        <v>1.50157E-2</v>
      </c>
      <c r="S1871">
        <v>-3.0747070000000001</v>
      </c>
      <c r="T1871">
        <v>-0.228098</v>
      </c>
      <c r="U1871">
        <v>0.41987609999999997</v>
      </c>
      <c r="V1871">
        <v>8.7619680000000005E-2</v>
      </c>
      <c r="W1871">
        <v>0.17534759999999999</v>
      </c>
      <c r="X1871">
        <v>0.98059980000000002</v>
      </c>
      <c r="Y1871">
        <v>0.20470060000000001</v>
      </c>
      <c r="Z1871">
        <v>1.2796719999999999E-2</v>
      </c>
      <c r="AA1871">
        <v>0.97874099999999997</v>
      </c>
      <c r="AB1871">
        <v>34</v>
      </c>
      <c r="AC1871">
        <v>-14.5239999999999</v>
      </c>
      <c r="AD1871">
        <v>-1.1042805592059901</v>
      </c>
      <c r="AE1871">
        <v>2.0534000000000101</v>
      </c>
      <c r="AF1871">
        <v>3.06408270494207</v>
      </c>
      <c r="AG1871">
        <v>-1.1042805592059901</v>
      </c>
      <c r="AH1871">
        <v>14.2602991376368</v>
      </c>
      <c r="AI1871">
        <v>94.329571565544896</v>
      </c>
      <c r="AJ1871">
        <v>77.873346033215498</v>
      </c>
      <c r="AK1871">
        <v>14.627514138466999</v>
      </c>
      <c r="AL1871">
        <v>79.901112871970597</v>
      </c>
      <c r="AM1871">
        <v>84.894001606040902</v>
      </c>
      <c r="AN1871">
        <v>0.99999997845455102</v>
      </c>
    </row>
    <row r="1872" spans="1:40" x14ac:dyDescent="0.3">
      <c r="A1872" t="str">
        <f>"20200111150834748"</f>
        <v>20200111150834748</v>
      </c>
      <c r="B1872" t="str">
        <f>"1578726514745192"</f>
        <v>1578726514745192</v>
      </c>
      <c r="C1872" t="s">
        <v>40</v>
      </c>
      <c r="D1872">
        <v>5.2975789999999998</v>
      </c>
      <c r="E1872">
        <v>0.54270209999999997</v>
      </c>
      <c r="F1872" t="s">
        <v>43</v>
      </c>
      <c r="G1872">
        <v>-226.82380000000001</v>
      </c>
      <c r="H1872" s="1">
        <v>-2.4053660000000002E-6</v>
      </c>
      <c r="I1872">
        <v>143.6019</v>
      </c>
      <c r="J1872">
        <v>-212.30609999999999</v>
      </c>
      <c r="K1872">
        <v>1.1048180000000001</v>
      </c>
      <c r="L1872">
        <v>141.5787</v>
      </c>
      <c r="M1872">
        <v>-0.99770510000000001</v>
      </c>
      <c r="N1872">
        <v>0</v>
      </c>
      <c r="O1872">
        <v>-6.6585030000000003E-2</v>
      </c>
      <c r="P1872">
        <v>-0.98641710000000005</v>
      </c>
      <c r="Q1872">
        <v>0.16333110000000001</v>
      </c>
      <c r="R1872">
        <v>1.7450980000000001E-2</v>
      </c>
      <c r="S1872">
        <v>-3.0735779999999999</v>
      </c>
      <c r="T1872">
        <v>-0.22853200000000001</v>
      </c>
      <c r="U1872">
        <v>0.4147034</v>
      </c>
      <c r="V1872">
        <v>8.5333880000000001E-2</v>
      </c>
      <c r="W1872">
        <v>0.1743227</v>
      </c>
      <c r="X1872">
        <v>0.98098399999999997</v>
      </c>
      <c r="Y1872">
        <v>0.19868839999999999</v>
      </c>
      <c r="Z1872">
        <v>1.226825E-2</v>
      </c>
      <c r="AA1872">
        <v>0.97998600000000002</v>
      </c>
      <c r="AB1872">
        <v>34</v>
      </c>
      <c r="AC1872">
        <v>-14.5177</v>
      </c>
      <c r="AD1872">
        <v>-1.104820405366</v>
      </c>
      <c r="AE1872">
        <v>2.0232000000000001</v>
      </c>
      <c r="AF1872">
        <v>2.96857895559739</v>
      </c>
      <c r="AG1872">
        <v>-1.104820405366</v>
      </c>
      <c r="AH1872">
        <v>14.269683997574001</v>
      </c>
      <c r="AI1872">
        <v>94.334811110215298</v>
      </c>
      <c r="AJ1872">
        <v>78.248151037172704</v>
      </c>
      <c r="AK1872">
        <v>14.6170096303706</v>
      </c>
      <c r="AL1872">
        <v>79.960753554356103</v>
      </c>
      <c r="AM1872">
        <v>85.0284667010514</v>
      </c>
      <c r="AN1872">
        <v>0.99999994153356997</v>
      </c>
    </row>
    <row r="1873" spans="1:40" x14ac:dyDescent="0.3">
      <c r="A1873" t="str">
        <f>"20200111150834770"</f>
        <v>20200111150834770</v>
      </c>
      <c r="B1873" t="str">
        <f>"1578726514764712"</f>
        <v>1578726514764712</v>
      </c>
      <c r="C1873" t="s">
        <v>40</v>
      </c>
      <c r="D1873">
        <v>5.281453</v>
      </c>
      <c r="E1873">
        <v>0.54263070000000002</v>
      </c>
      <c r="F1873" t="s">
        <v>43</v>
      </c>
      <c r="G1873">
        <v>-226.33</v>
      </c>
      <c r="H1873" s="1">
        <v>-2.573256E-6</v>
      </c>
      <c r="I1873">
        <v>143.43680000000001</v>
      </c>
      <c r="J1873">
        <v>-212.64789999999999</v>
      </c>
      <c r="K1873">
        <v>1.1053949999999999</v>
      </c>
      <c r="L1873">
        <v>141.5599</v>
      </c>
      <c r="M1873">
        <v>-0.99796450000000003</v>
      </c>
      <c r="N1873">
        <v>0</v>
      </c>
      <c r="O1873">
        <v>-6.2585829999999995E-2</v>
      </c>
      <c r="P1873">
        <v>-0.9868519</v>
      </c>
      <c r="Q1873">
        <v>0.16053700000000001</v>
      </c>
      <c r="R1873">
        <v>1.873934E-2</v>
      </c>
      <c r="S1873">
        <v>-3.0742029999999998</v>
      </c>
      <c r="T1873">
        <v>-0.24218980000000001</v>
      </c>
      <c r="U1873">
        <v>0.40731810000000002</v>
      </c>
      <c r="V1873">
        <v>8.2433510000000002E-2</v>
      </c>
      <c r="W1873">
        <v>0.17163779999999901</v>
      </c>
      <c r="X1873">
        <v>0.98170519999999994</v>
      </c>
      <c r="Y1873">
        <v>0.19236059999999999</v>
      </c>
      <c r="Z1873">
        <v>1.243739E-2</v>
      </c>
      <c r="AA1873">
        <v>0.98124549999999999</v>
      </c>
      <c r="AB1873">
        <v>34</v>
      </c>
      <c r="AC1873">
        <v>-13.6821</v>
      </c>
      <c r="AD1873">
        <v>-1.105397573256</v>
      </c>
      <c r="AE1873">
        <v>1.8769</v>
      </c>
      <c r="AF1873">
        <v>2.7122133503382999</v>
      </c>
      <c r="AG1873">
        <v>-1.105397573256</v>
      </c>
      <c r="AH1873">
        <v>13.4516166793002</v>
      </c>
      <c r="AI1873">
        <v>94.605500240545396</v>
      </c>
      <c r="AJ1873">
        <v>78.600443465596001</v>
      </c>
      <c r="AK1873">
        <v>13.766771456646699</v>
      </c>
      <c r="AL1873">
        <v>80.116941714900705</v>
      </c>
      <c r="AM1873">
        <v>85.200149459308093</v>
      </c>
      <c r="AN1873">
        <v>0.99999995883339898</v>
      </c>
    </row>
    <row r="1874" spans="1:40" x14ac:dyDescent="0.3">
      <c r="A1874" t="str">
        <f>"20200111150834792"</f>
        <v>20200111150834792</v>
      </c>
      <c r="B1874" t="str">
        <f>"1578726514785209"</f>
        <v>1578726514785209</v>
      </c>
      <c r="C1874" t="s">
        <v>40</v>
      </c>
      <c r="D1874">
        <v>5.2911640000000002</v>
      </c>
      <c r="E1874">
        <v>0.54247250000000002</v>
      </c>
      <c r="F1874" t="s">
        <v>43</v>
      </c>
      <c r="G1874">
        <v>-226.25620000000001</v>
      </c>
      <c r="H1874" s="1">
        <v>-2.5906619999999998E-6</v>
      </c>
      <c r="I1874">
        <v>143.38319999999999</v>
      </c>
      <c r="J1874">
        <v>-212.97739999999999</v>
      </c>
      <c r="K1874">
        <v>1.1059829999999999</v>
      </c>
      <c r="L1874">
        <v>141.54249999999999</v>
      </c>
      <c r="M1874">
        <v>-0.99815989999999999</v>
      </c>
      <c r="N1874">
        <v>0</v>
      </c>
      <c r="O1874">
        <v>-5.9395549999999998E-2</v>
      </c>
      <c r="P1874">
        <v>-0.98711859999999996</v>
      </c>
      <c r="Q1874">
        <v>0.15881010000000001</v>
      </c>
      <c r="R1874">
        <v>1.939285E-2</v>
      </c>
      <c r="S1874">
        <v>-3.0727540000000002</v>
      </c>
      <c r="T1874">
        <v>-0.24959919999999999</v>
      </c>
      <c r="U1874">
        <v>0.41171259999999998</v>
      </c>
      <c r="V1874">
        <v>7.9696799999999998E-2</v>
      </c>
      <c r="W1874">
        <v>0.170014</v>
      </c>
      <c r="X1874">
        <v>0.98221369999999997</v>
      </c>
      <c r="Y1874">
        <v>0.1906303</v>
      </c>
      <c r="Z1874">
        <v>1.24939E-2</v>
      </c>
      <c r="AA1874">
        <v>0.98158239999999997</v>
      </c>
      <c r="AB1874">
        <v>34</v>
      </c>
      <c r="AC1874">
        <v>-13.2788</v>
      </c>
      <c r="AD1874">
        <v>-1.105985590662</v>
      </c>
      <c r="AE1874">
        <v>1.84069999999999</v>
      </c>
      <c r="AF1874">
        <v>2.6084560867331699</v>
      </c>
      <c r="AG1874">
        <v>-1.105985590662</v>
      </c>
      <c r="AH1874">
        <v>13.0571438872168</v>
      </c>
      <c r="AI1874">
        <v>94.748215686576202</v>
      </c>
      <c r="AJ1874">
        <v>78.702610769008999</v>
      </c>
      <c r="AK1874">
        <v>13.3609974842693</v>
      </c>
      <c r="AL1874">
        <v>80.211367410643106</v>
      </c>
      <c r="AM1874">
        <v>85.361183968604294</v>
      </c>
      <c r="AN1874">
        <v>1.00000004629696</v>
      </c>
    </row>
    <row r="1875" spans="1:40" x14ac:dyDescent="0.3">
      <c r="A1875" t="str">
        <f>"20200111150834815"</f>
        <v>20200111150834815</v>
      </c>
      <c r="B1875" t="str">
        <f>"1578726514805704"</f>
        <v>1578726514805704</v>
      </c>
      <c r="C1875" t="s">
        <v>40</v>
      </c>
      <c r="D1875">
        <v>5.2750069999999996</v>
      </c>
      <c r="E1875">
        <v>0.54236110000000004</v>
      </c>
      <c r="F1875" t="s">
        <v>43</v>
      </c>
      <c r="G1875">
        <v>-226.31829999999999</v>
      </c>
      <c r="H1875" s="1">
        <v>-2.5506729999999999E-6</v>
      </c>
      <c r="I1875">
        <v>143.333</v>
      </c>
      <c r="J1875">
        <v>-213.3329</v>
      </c>
      <c r="K1875">
        <v>1.1066560000000001</v>
      </c>
      <c r="L1875">
        <v>141.52420000000001</v>
      </c>
      <c r="M1875">
        <v>-0.99831789999999998</v>
      </c>
      <c r="N1875">
        <v>0</v>
      </c>
      <c r="O1875">
        <v>-5.6689410000000003E-2</v>
      </c>
      <c r="P1875">
        <v>-0.98717639999999995</v>
      </c>
      <c r="Q1875">
        <v>0.15828229999999999</v>
      </c>
      <c r="R1875">
        <v>2.0724119999999999E-2</v>
      </c>
      <c r="S1875">
        <v>-3.0719910000000001</v>
      </c>
      <c r="T1875">
        <v>-0.25467499999999998</v>
      </c>
      <c r="U1875">
        <v>0.4123077</v>
      </c>
      <c r="V1875">
        <v>7.8081940000000002E-2</v>
      </c>
      <c r="W1875">
        <v>0.1695836</v>
      </c>
      <c r="X1875">
        <v>0.98241780000000001</v>
      </c>
      <c r="Y1875">
        <v>0.18817159999999999</v>
      </c>
      <c r="Z1875">
        <v>1.242568E-2</v>
      </c>
      <c r="AA1875">
        <v>0.98205759999999998</v>
      </c>
      <c r="AB1875">
        <v>34</v>
      </c>
      <c r="AC1875">
        <v>-12.985399999999901</v>
      </c>
      <c r="AD1875">
        <v>-1.10665855067299</v>
      </c>
      <c r="AE1875">
        <v>1.80879999999999</v>
      </c>
      <c r="AF1875">
        <v>2.5240961997687199</v>
      </c>
      <c r="AG1875">
        <v>-1.10665855067299</v>
      </c>
      <c r="AH1875">
        <v>12.770976985448501</v>
      </c>
      <c r="AI1875">
        <v>94.859016217738997</v>
      </c>
      <c r="AJ1875">
        <v>78.819969641757794</v>
      </c>
      <c r="AK1875">
        <v>13.0649763848359</v>
      </c>
      <c r="AL1875">
        <v>80.236391022870393</v>
      </c>
      <c r="AM1875">
        <v>85.455720621815303</v>
      </c>
      <c r="AN1875">
        <v>1.0000000602499799</v>
      </c>
    </row>
    <row r="1876" spans="1:40" x14ac:dyDescent="0.3">
      <c r="A1876" t="str">
        <f>"20200111150834837"</f>
        <v>20200111150834837</v>
      </c>
      <c r="B1876" t="str">
        <f>"1578726514834984"</f>
        <v>1578726514834984</v>
      </c>
      <c r="C1876" t="s">
        <v>40</v>
      </c>
      <c r="D1876">
        <v>5.2645799999999996</v>
      </c>
      <c r="E1876">
        <v>0.54172969999999998</v>
      </c>
      <c r="F1876" t="s">
        <v>43</v>
      </c>
      <c r="G1876">
        <v>-226.5138</v>
      </c>
      <c r="H1876" s="1">
        <v>-2.4586130000000002E-6</v>
      </c>
      <c r="I1876">
        <v>143.3022</v>
      </c>
      <c r="J1876">
        <v>-213.67619999999999</v>
      </c>
      <c r="K1876">
        <v>1.107335</v>
      </c>
      <c r="L1876">
        <v>141.5068</v>
      </c>
      <c r="M1876">
        <v>-0.99842280000000005</v>
      </c>
      <c r="N1876">
        <v>0</v>
      </c>
      <c r="O1876">
        <v>-5.4821500000000002E-2</v>
      </c>
      <c r="P1876">
        <v>-0.98711439999999995</v>
      </c>
      <c r="Q1876">
        <v>0.15857750000000001</v>
      </c>
      <c r="R1876">
        <v>2.1413649999999999E-2</v>
      </c>
      <c r="S1876">
        <v>-3.071609</v>
      </c>
      <c r="T1876">
        <v>-0.25788919999999999</v>
      </c>
      <c r="U1876">
        <v>0.41435240000000001</v>
      </c>
      <c r="V1876">
        <v>7.6650699999999905E-2</v>
      </c>
      <c r="W1876">
        <v>0.16997689999999999</v>
      </c>
      <c r="X1876">
        <v>0.98246250000000002</v>
      </c>
      <c r="Y1876">
        <v>0.18698190000000001</v>
      </c>
      <c r="Z1876">
        <v>1.237737E-2</v>
      </c>
      <c r="AA1876">
        <v>0.98228539999999998</v>
      </c>
      <c r="AB1876">
        <v>34</v>
      </c>
      <c r="AC1876">
        <v>-12.8376</v>
      </c>
      <c r="AD1876">
        <v>-1.107337458613</v>
      </c>
      <c r="AE1876">
        <v>1.7954000000000001</v>
      </c>
      <c r="AF1876">
        <v>2.4784410203643401</v>
      </c>
      <c r="AG1876">
        <v>-1.107337458613</v>
      </c>
      <c r="AH1876">
        <v>12.627705989006101</v>
      </c>
      <c r="AI1876">
        <v>94.918150741239998</v>
      </c>
      <c r="AJ1876">
        <v>78.895702573947204</v>
      </c>
      <c r="AK1876">
        <v>12.916184602406901</v>
      </c>
      <c r="AL1876">
        <v>80.213524221792397</v>
      </c>
      <c r="AM1876">
        <v>85.538879919220506</v>
      </c>
      <c r="AN1876">
        <v>1.00000002012517</v>
      </c>
    </row>
    <row r="1877" spans="1:40" x14ac:dyDescent="0.3">
      <c r="A1877" t="str">
        <f>"20200111150834859"</f>
        <v>20200111150834859</v>
      </c>
      <c r="B1877" t="str">
        <f>"1578726514855480"</f>
        <v>1578726514855480</v>
      </c>
      <c r="C1877" t="s">
        <v>40</v>
      </c>
      <c r="D1877">
        <v>5.3627019999999996</v>
      </c>
      <c r="E1877">
        <v>0.54188040000000004</v>
      </c>
      <c r="F1877" t="s">
        <v>43</v>
      </c>
      <c r="G1877">
        <v>-226.94569999999999</v>
      </c>
      <c r="H1877" s="1">
        <v>-2.2675089999999999E-6</v>
      </c>
      <c r="I1877">
        <v>143.28030000000001</v>
      </c>
      <c r="J1877">
        <v>-214.00909999999999</v>
      </c>
      <c r="K1877">
        <v>1.1080049999999999</v>
      </c>
      <c r="L1877">
        <v>141.48990000000001</v>
      </c>
      <c r="M1877">
        <v>-0.99848349999999997</v>
      </c>
      <c r="N1877">
        <v>0</v>
      </c>
      <c r="O1877">
        <v>-5.3710500000000001E-2</v>
      </c>
      <c r="P1877">
        <v>-0.98706039999999995</v>
      </c>
      <c r="Q1877">
        <v>0.15902369999999999</v>
      </c>
      <c r="R1877">
        <v>2.0581080000000002E-2</v>
      </c>
      <c r="S1877">
        <v>-3.0714260000000002</v>
      </c>
      <c r="T1877">
        <v>-0.2563105</v>
      </c>
      <c r="U1877">
        <v>0.41052250000000001</v>
      </c>
      <c r="V1877">
        <v>7.4452229999999994E-2</v>
      </c>
      <c r="W1877">
        <v>0.170524799999999</v>
      </c>
      <c r="X1877">
        <v>0.98253659999999998</v>
      </c>
      <c r="Y1877">
        <v>0.18471460000000001</v>
      </c>
      <c r="Z1877">
        <v>1.2117309999999999E-2</v>
      </c>
      <c r="AA1877">
        <v>0.98271750000000002</v>
      </c>
      <c r="AB1877">
        <v>34</v>
      </c>
      <c r="AC1877">
        <v>-12.9366</v>
      </c>
      <c r="AD1877">
        <v>-1.10800726750899</v>
      </c>
      <c r="AE1877">
        <v>1.7904</v>
      </c>
      <c r="AF1877">
        <v>2.4649547415420598</v>
      </c>
      <c r="AG1877">
        <v>-1.10800726750899</v>
      </c>
      <c r="AH1877">
        <v>12.7301236283088</v>
      </c>
      <c r="AI1877">
        <v>94.884119285945999</v>
      </c>
      <c r="AJ1877">
        <v>79.041339513440704</v>
      </c>
      <c r="AK1877">
        <v>13.0138283980822</v>
      </c>
      <c r="AL1877">
        <v>80.181666631121004</v>
      </c>
      <c r="AM1877">
        <v>85.666663279442801</v>
      </c>
      <c r="AN1877">
        <v>1.0000000061532801</v>
      </c>
    </row>
    <row r="1878" spans="1:40" x14ac:dyDescent="0.3">
      <c r="A1878" t="str">
        <f>"20200111150834882"</f>
        <v>20200111150834882</v>
      </c>
      <c r="B1878" t="str">
        <f>"1578726514875000"</f>
        <v>1578726514875000</v>
      </c>
      <c r="C1878" t="s">
        <v>40</v>
      </c>
      <c r="D1878">
        <v>5.9109749999999996</v>
      </c>
      <c r="E1878">
        <v>0.54165439999999998</v>
      </c>
      <c r="F1878" t="s">
        <v>43</v>
      </c>
      <c r="G1878">
        <v>-227.577</v>
      </c>
      <c r="H1878" s="1">
        <v>-2.0006209999999999E-6</v>
      </c>
      <c r="I1878">
        <v>143.29499999999999</v>
      </c>
      <c r="J1878">
        <v>-214.3604</v>
      </c>
      <c r="K1878">
        <v>1.1087119999999999</v>
      </c>
      <c r="L1878">
        <v>141.4717</v>
      </c>
      <c r="M1878">
        <v>-0.99850309999999998</v>
      </c>
      <c r="N1878">
        <v>0</v>
      </c>
      <c r="O1878">
        <v>-5.3351660000000002E-2</v>
      </c>
      <c r="P1878">
        <v>-0.98695869999999997</v>
      </c>
      <c r="Q1878">
        <v>0.1597095</v>
      </c>
      <c r="R1878">
        <v>2.014258E-2</v>
      </c>
      <c r="S1878">
        <v>-3.0712130000000002</v>
      </c>
      <c r="T1878">
        <v>-0.25080839999999999</v>
      </c>
      <c r="U1878">
        <v>0.4086304</v>
      </c>
      <c r="V1878">
        <v>7.3372010000000001E-2</v>
      </c>
      <c r="W1878">
        <v>0.1713094</v>
      </c>
      <c r="X1878">
        <v>0.98248139999999995</v>
      </c>
      <c r="Y1878">
        <v>0.18381400000000001</v>
      </c>
      <c r="Z1878">
        <v>1.1793629999999999E-2</v>
      </c>
      <c r="AA1878">
        <v>0.98289029999999999</v>
      </c>
      <c r="AB1878">
        <v>34</v>
      </c>
      <c r="AC1878">
        <v>-13.2166</v>
      </c>
      <c r="AD1878">
        <v>-1.1087140006209999</v>
      </c>
      <c r="AE1878">
        <v>1.8232999999999799</v>
      </c>
      <c r="AF1878">
        <v>2.50855807013517</v>
      </c>
      <c r="AG1878">
        <v>-1.1087140006209999</v>
      </c>
      <c r="AH1878">
        <v>13.0106423968853</v>
      </c>
      <c r="AI1878">
        <v>94.7830718091694</v>
      </c>
      <c r="AJ1878">
        <v>79.086823253376807</v>
      </c>
      <c r="AK1878">
        <v>13.2965757210661</v>
      </c>
      <c r="AL1878">
        <v>80.136041255304804</v>
      </c>
      <c r="AM1878">
        <v>85.729061856631006</v>
      </c>
      <c r="AN1878">
        <v>1.0000000318628699</v>
      </c>
    </row>
    <row r="1879" spans="1:40" x14ac:dyDescent="0.3">
      <c r="A1879" t="str">
        <f>"20200111150834904"</f>
        <v>20200111150834904</v>
      </c>
      <c r="B1879" t="str">
        <f>"1578726514894519"</f>
        <v>1578726514894519</v>
      </c>
      <c r="C1879" t="s">
        <v>40</v>
      </c>
      <c r="D1879">
        <v>7.4594679999999904</v>
      </c>
      <c r="E1879">
        <v>0.54134259999999901</v>
      </c>
      <c r="F1879" t="s">
        <v>43</v>
      </c>
      <c r="G1879">
        <v>-228.09190000000001</v>
      </c>
      <c r="H1879" s="1">
        <v>-1.7760649999999999E-6</v>
      </c>
      <c r="I1879">
        <v>143.28129999999999</v>
      </c>
      <c r="J1879">
        <v>-214.69579999999999</v>
      </c>
      <c r="K1879">
        <v>1.1093569999999999</v>
      </c>
      <c r="L1879">
        <v>141.4538</v>
      </c>
      <c r="M1879">
        <v>-0.99848599999999998</v>
      </c>
      <c r="N1879">
        <v>0</v>
      </c>
      <c r="O1879">
        <v>-5.3675199999999902E-2</v>
      </c>
      <c r="P1879">
        <v>-0.98658509999999999</v>
      </c>
      <c r="Q1879">
        <v>0.1619544</v>
      </c>
      <c r="R1879">
        <v>2.0509610000000001E-2</v>
      </c>
      <c r="S1879">
        <v>-3.0715180000000002</v>
      </c>
      <c r="T1879">
        <v>-0.24800340000000001</v>
      </c>
      <c r="U1879">
        <v>0.40478520000000001</v>
      </c>
      <c r="V1879">
        <v>7.3778860000000002E-2</v>
      </c>
      <c r="W1879">
        <v>0.1736386</v>
      </c>
      <c r="X1879">
        <v>0.98204190000000002</v>
      </c>
      <c r="Y1879">
        <v>0.18292939999999999</v>
      </c>
      <c r="Z1879">
        <v>1.165241E-2</v>
      </c>
      <c r="AA1879">
        <v>0.98305699999999996</v>
      </c>
      <c r="AB1879">
        <v>34</v>
      </c>
      <c r="AC1879">
        <v>-13.396100000000001</v>
      </c>
      <c r="AD1879">
        <v>-1.1093587760650001</v>
      </c>
      <c r="AE1879">
        <v>1.8274999999999799</v>
      </c>
      <c r="AF1879">
        <v>2.5269427979307202</v>
      </c>
      <c r="AG1879">
        <v>-1.1093587760650001</v>
      </c>
      <c r="AH1879">
        <v>13.1898860212602</v>
      </c>
      <c r="AI1879">
        <v>94.722167784031896</v>
      </c>
      <c r="AJ1879">
        <v>79.154582745486707</v>
      </c>
      <c r="AK1879">
        <v>13.475504074129599</v>
      </c>
      <c r="AL1879">
        <v>80.000557108484998</v>
      </c>
      <c r="AM1879">
        <v>85.703552967079304</v>
      </c>
      <c r="AN1879">
        <v>0.99999998847423399</v>
      </c>
    </row>
    <row r="1880" spans="1:40" x14ac:dyDescent="0.3">
      <c r="A1880" t="str">
        <f>"20200111150834927"</f>
        <v>20200111150834927</v>
      </c>
      <c r="B1880" t="str">
        <f>"1578726514915015"</f>
        <v>1578726514915015</v>
      </c>
      <c r="C1880" t="s">
        <v>40</v>
      </c>
      <c r="D1880">
        <v>5.3822830000000002</v>
      </c>
      <c r="E1880">
        <v>0.54083749999999997</v>
      </c>
      <c r="F1880" t="s">
        <v>43</v>
      </c>
      <c r="G1880">
        <v>-228.54179999999999</v>
      </c>
      <c r="H1880" s="1">
        <v>-1.5784899999999999E-6</v>
      </c>
      <c r="I1880">
        <v>143.26419999999999</v>
      </c>
      <c r="J1880">
        <v>-215.03960000000001</v>
      </c>
      <c r="K1880">
        <v>1.10995</v>
      </c>
      <c r="L1880">
        <v>141.4348</v>
      </c>
      <c r="M1880">
        <v>-0.99843820000000005</v>
      </c>
      <c r="N1880">
        <v>0</v>
      </c>
      <c r="O1880">
        <v>-5.4563889999999997E-2</v>
      </c>
      <c r="P1880">
        <v>-0.98605679999999996</v>
      </c>
      <c r="Q1880">
        <v>0.16493669999999999</v>
      </c>
      <c r="R1880">
        <v>2.2091860000000001E-2</v>
      </c>
      <c r="S1880">
        <v>-3.0728610000000001</v>
      </c>
      <c r="T1880">
        <v>-0.24620230000000001</v>
      </c>
      <c r="U1880">
        <v>0.4017944</v>
      </c>
      <c r="V1880">
        <v>7.5963240000000001E-2</v>
      </c>
      <c r="W1880">
        <v>0.1766962</v>
      </c>
      <c r="X1880">
        <v>0.98132969999999997</v>
      </c>
      <c r="Y1880">
        <v>0.18281710000000001</v>
      </c>
      <c r="Z1880">
        <v>1.1630130000000001E-2</v>
      </c>
      <c r="AA1880">
        <v>0.98307820000000001</v>
      </c>
      <c r="AB1880">
        <v>34</v>
      </c>
      <c r="AC1880">
        <v>-13.502199999999901</v>
      </c>
      <c r="AD1880">
        <v>-1.10995157848999</v>
      </c>
      <c r="AE1880">
        <v>1.8293999999999899</v>
      </c>
      <c r="AF1880">
        <v>2.5465612147135799</v>
      </c>
      <c r="AG1880">
        <v>-1.10995157848999</v>
      </c>
      <c r="AH1880">
        <v>13.294038552278</v>
      </c>
      <c r="AI1880">
        <v>94.687851455275407</v>
      </c>
      <c r="AJ1880">
        <v>79.155976768826903</v>
      </c>
      <c r="AK1880">
        <v>13.581179166638201</v>
      </c>
      <c r="AL1880">
        <v>79.822618097250697</v>
      </c>
      <c r="AM1880">
        <v>85.573647749503806</v>
      </c>
      <c r="AN1880">
        <v>0.99999997051391298</v>
      </c>
    </row>
    <row r="1881" spans="1:40" x14ac:dyDescent="0.3">
      <c r="A1881" t="str">
        <f>"20200111150834948"</f>
        <v>20200111150834948</v>
      </c>
      <c r="B1881" t="str">
        <f>"1578726514945271"</f>
        <v>1578726514945271</v>
      </c>
      <c r="C1881" t="s">
        <v>40</v>
      </c>
      <c r="D1881">
        <v>6.4414930000000004</v>
      </c>
      <c r="E1881">
        <v>0.5312886</v>
      </c>
      <c r="F1881" t="s">
        <v>43</v>
      </c>
      <c r="G1881">
        <v>-229.24029999999999</v>
      </c>
      <c r="H1881" s="1">
        <v>-1.28464E-6</v>
      </c>
      <c r="I1881">
        <v>143.286</v>
      </c>
      <c r="J1881">
        <v>-215.36250000000001</v>
      </c>
      <c r="K1881">
        <v>1.1104499999999999</v>
      </c>
      <c r="L1881">
        <v>141.4161</v>
      </c>
      <c r="M1881">
        <v>-0.99836619999999998</v>
      </c>
      <c r="N1881">
        <v>0</v>
      </c>
      <c r="O1881">
        <v>-5.5866440000000003E-2</v>
      </c>
      <c r="P1881">
        <v>-0.98578330000000003</v>
      </c>
      <c r="Q1881">
        <v>0.16636960000000001</v>
      </c>
      <c r="R1881">
        <v>2.3500190000000001E-2</v>
      </c>
      <c r="S1881">
        <v>-3.0736240000000001</v>
      </c>
      <c r="T1881">
        <v>-0.24024010000000001</v>
      </c>
      <c r="U1881">
        <v>0.40069579999999999</v>
      </c>
      <c r="V1881">
        <v>7.8426609999999994E-2</v>
      </c>
      <c r="W1881">
        <v>0.17819789999999999</v>
      </c>
      <c r="X1881">
        <v>0.98086430000000002</v>
      </c>
      <c r="Y1881">
        <v>0.183752</v>
      </c>
      <c r="Z1881">
        <v>1.148443E-2</v>
      </c>
      <c r="AA1881">
        <v>0.98290560000000005</v>
      </c>
      <c r="AB1881">
        <v>34</v>
      </c>
      <c r="AC1881">
        <v>-13.877799999999899</v>
      </c>
      <c r="AD1881">
        <v>-1.1104512846400001</v>
      </c>
      <c r="AE1881">
        <v>1.8698999999999999</v>
      </c>
      <c r="AF1881">
        <v>2.6258259383403701</v>
      </c>
      <c r="AG1881">
        <v>-1.1104512846400001</v>
      </c>
      <c r="AH1881">
        <v>13.665714846593101</v>
      </c>
      <c r="AI1881">
        <v>94.562446317286003</v>
      </c>
      <c r="AJ1881">
        <v>79.123352545487194</v>
      </c>
      <c r="AK1881">
        <v>13.959936467706999</v>
      </c>
      <c r="AL1881">
        <v>79.735189857490994</v>
      </c>
      <c r="AM1881">
        <v>85.428547511056806</v>
      </c>
      <c r="AN1881">
        <v>0.99999999986749599</v>
      </c>
    </row>
    <row r="1882" spans="1:40" x14ac:dyDescent="0.3">
      <c r="A1882" t="str">
        <f>"20200111150834970"</f>
        <v>20200111150834970</v>
      </c>
      <c r="B1882" t="str">
        <f>"1578726514964792"</f>
        <v>1578726514964792</v>
      </c>
      <c r="C1882" t="s">
        <v>40</v>
      </c>
      <c r="D1882">
        <v>8.6063449999999992</v>
      </c>
      <c r="E1882">
        <v>0.5312886</v>
      </c>
      <c r="F1882" t="s">
        <v>83</v>
      </c>
      <c r="G1882">
        <v>-511.94709999999998</v>
      </c>
      <c r="H1882">
        <v>65.936219999999906</v>
      </c>
      <c r="I1882">
        <v>173.64830000000001</v>
      </c>
      <c r="J1882">
        <v>-215.69749999999999</v>
      </c>
      <c r="K1882">
        <v>1.1109</v>
      </c>
      <c r="L1882">
        <v>141.39599999999999</v>
      </c>
      <c r="M1882">
        <v>-0.99826530000000002</v>
      </c>
      <c r="N1882">
        <v>0</v>
      </c>
      <c r="O1882">
        <v>-5.7645420000000003E-2</v>
      </c>
      <c r="P1882">
        <v>-0.98587670000000005</v>
      </c>
      <c r="Q1882">
        <v>0.16572819999999999</v>
      </c>
      <c r="R1882">
        <v>2.4109539999999999E-2</v>
      </c>
      <c r="S1882">
        <v>-2.9277039999999999</v>
      </c>
      <c r="T1882">
        <v>0.63992109999999902</v>
      </c>
      <c r="U1882">
        <v>0.31817630000000002</v>
      </c>
      <c r="V1882">
        <v>8.0595100000000003E-2</v>
      </c>
      <c r="W1882">
        <v>0.17763010000000001</v>
      </c>
      <c r="X1882">
        <v>0.98079150000000004</v>
      </c>
      <c r="Y1882">
        <v>0.1600859</v>
      </c>
      <c r="Z1882">
        <v>-2.9664980000000001E-2</v>
      </c>
      <c r="AA1882">
        <v>0.98665720000000001</v>
      </c>
      <c r="AB1882">
        <v>34</v>
      </c>
      <c r="AC1882">
        <v>-296.24959999999999</v>
      </c>
      <c r="AD1882">
        <v>64.825319999999905</v>
      </c>
      <c r="AE1882">
        <v>32.252299999999899</v>
      </c>
      <c r="AF1882">
        <v>47.050812342944297</v>
      </c>
      <c r="AG1882">
        <v>64.825319999999905</v>
      </c>
      <c r="AH1882">
        <v>280.61834717558799</v>
      </c>
      <c r="AI1882">
        <v>77.165452444984595</v>
      </c>
      <c r="AJ1882">
        <v>80.481846370054299</v>
      </c>
      <c r="AK1882">
        <v>291.826588622065</v>
      </c>
      <c r="AL1882">
        <v>79.768249783937094</v>
      </c>
      <c r="AM1882">
        <v>85.3023581479722</v>
      </c>
      <c r="AN1882">
        <v>0.99999999452113497</v>
      </c>
    </row>
    <row r="1883" spans="1:40" x14ac:dyDescent="0.3">
      <c r="A1883" t="str">
        <f>"20200111150834994"</f>
        <v>20200111150834994</v>
      </c>
      <c r="B1883" t="str">
        <f>"1578726514985288"</f>
        <v>1578726514985288</v>
      </c>
      <c r="C1883" t="s">
        <v>40</v>
      </c>
      <c r="D1883">
        <v>8.2405410000000003</v>
      </c>
      <c r="E1883">
        <v>0.43978800000000001</v>
      </c>
      <c r="F1883" t="s">
        <v>83</v>
      </c>
      <c r="G1883">
        <v>-511.947</v>
      </c>
      <c r="H1883">
        <v>65.701999999999998</v>
      </c>
      <c r="I1883">
        <v>173.74170000000001</v>
      </c>
      <c r="J1883">
        <v>-216.05889999999999</v>
      </c>
      <c r="K1883">
        <v>1.111327</v>
      </c>
      <c r="L1883">
        <v>141.3732</v>
      </c>
      <c r="M1883">
        <v>-0.99813039999999997</v>
      </c>
      <c r="N1883">
        <v>0</v>
      </c>
      <c r="O1883">
        <v>-5.9941399999999999E-2</v>
      </c>
      <c r="P1883">
        <v>-0.98609760000000002</v>
      </c>
      <c r="Q1883">
        <v>0.16443969999999999</v>
      </c>
      <c r="R1883">
        <v>2.3902779999999998E-2</v>
      </c>
      <c r="S1883">
        <v>-2.927826</v>
      </c>
      <c r="T1883">
        <v>0.63835229999999998</v>
      </c>
      <c r="U1883">
        <v>0.3196716</v>
      </c>
      <c r="V1883">
        <v>8.2478209999999996E-2</v>
      </c>
      <c r="W1883">
        <v>0.1764184</v>
      </c>
      <c r="X1883">
        <v>0.98085370000000005</v>
      </c>
      <c r="Y1883">
        <v>0.16275709999999999</v>
      </c>
      <c r="Z1883">
        <v>-3.0372489999999999E-2</v>
      </c>
      <c r="AA1883">
        <v>0.98619860000000004</v>
      </c>
      <c r="AB1883">
        <v>34</v>
      </c>
      <c r="AC1883">
        <v>-295.88809999999899</v>
      </c>
      <c r="AD1883">
        <v>64.590672999999995</v>
      </c>
      <c r="AE1883">
        <v>32.368499999999997</v>
      </c>
      <c r="AF1883">
        <v>47.796805388678102</v>
      </c>
      <c r="AG1883">
        <v>64.590672999999995</v>
      </c>
      <c r="AH1883">
        <v>280.22037604787801</v>
      </c>
      <c r="AI1883">
        <v>77.198718036244401</v>
      </c>
      <c r="AJ1883">
        <v>80.320292730728497</v>
      </c>
      <c r="AK1883">
        <v>291.51320518352202</v>
      </c>
      <c r="AL1883">
        <v>79.838789656360504</v>
      </c>
      <c r="AM1883">
        <v>85.193409308513694</v>
      </c>
      <c r="AN1883">
        <v>1.0000000438935199</v>
      </c>
    </row>
    <row r="1884" spans="1:40" x14ac:dyDescent="0.3">
      <c r="A1884" t="str">
        <f>"20200111150835016"</f>
        <v>20200111150835016</v>
      </c>
      <c r="B1884" t="str">
        <f>"1578726515004807"</f>
        <v>1578726515004807</v>
      </c>
      <c r="C1884" t="s">
        <v>40</v>
      </c>
      <c r="D1884">
        <v>6.2910159999999999</v>
      </c>
      <c r="E1884">
        <v>0.44874130000000001</v>
      </c>
      <c r="F1884" t="s">
        <v>84</v>
      </c>
      <c r="G1884">
        <v>-336.22120000000001</v>
      </c>
      <c r="H1884">
        <v>5.5050910000000002</v>
      </c>
      <c r="I1884">
        <v>125.4524</v>
      </c>
      <c r="J1884">
        <v>-216.39259999999999</v>
      </c>
      <c r="K1884">
        <v>1.11165</v>
      </c>
      <c r="L1884">
        <v>141.35120000000001</v>
      </c>
      <c r="M1884">
        <v>-0.99798549999999997</v>
      </c>
      <c r="N1884">
        <v>0</v>
      </c>
      <c r="O1884">
        <v>-6.2306269999999997E-2</v>
      </c>
      <c r="P1884">
        <v>-0.98656540000000004</v>
      </c>
      <c r="Q1884">
        <v>0.16187190000000001</v>
      </c>
      <c r="R1884">
        <v>2.2056699999999999E-2</v>
      </c>
      <c r="S1884">
        <v>-3.033569</v>
      </c>
      <c r="T1884">
        <v>0.1109233</v>
      </c>
      <c r="U1884">
        <v>-0.40193180000000001</v>
      </c>
      <c r="V1884">
        <v>8.2859050000000004E-2</v>
      </c>
      <c r="W1884">
        <v>0.17391139999999999</v>
      </c>
      <c r="X1884">
        <v>0.98126919999999995</v>
      </c>
      <c r="Y1884">
        <v>-6.9316039999999995E-2</v>
      </c>
      <c r="Z1884">
        <v>-1.0029699999999999E-3</v>
      </c>
      <c r="AA1884">
        <v>0.99759419999999999</v>
      </c>
      <c r="AB1884">
        <v>34</v>
      </c>
      <c r="AC1884">
        <v>-119.82859999999999</v>
      </c>
      <c r="AD1884">
        <v>4.3934410000000002</v>
      </c>
      <c r="AE1884">
        <v>-15.8988</v>
      </c>
      <c r="AF1884">
        <v>-8.3902152777178305</v>
      </c>
      <c r="AG1884">
        <v>4.3934410000000002</v>
      </c>
      <c r="AH1884">
        <v>120.42732755147701</v>
      </c>
      <c r="AI1884">
        <v>87.915704575859706</v>
      </c>
      <c r="AJ1884">
        <v>93.985377630311504</v>
      </c>
      <c r="AK1884">
        <v>120.799169108971</v>
      </c>
      <c r="AL1884">
        <v>79.984685656082902</v>
      </c>
      <c r="AM1884">
        <v>85.173354712496305</v>
      </c>
      <c r="AN1884">
        <v>1.0000000200427499</v>
      </c>
    </row>
    <row r="1885" spans="1:40" x14ac:dyDescent="0.3">
      <c r="A1885" t="str">
        <f>"20200111150835038"</f>
        <v>20200111150835038</v>
      </c>
      <c r="B1885" t="str">
        <f>"1578726515035064"</f>
        <v>1578726515035064</v>
      </c>
      <c r="C1885" t="s">
        <v>40</v>
      </c>
      <c r="D1885">
        <v>6.2647810000000002</v>
      </c>
      <c r="E1885">
        <v>0.4510229</v>
      </c>
      <c r="F1885" t="s">
        <v>45</v>
      </c>
      <c r="G1885">
        <v>-356.8929</v>
      </c>
      <c r="H1885">
        <v>2.9356559999999998</v>
      </c>
      <c r="I1885">
        <v>125.9226</v>
      </c>
      <c r="J1885">
        <v>-216.73079999999999</v>
      </c>
      <c r="K1885">
        <v>1.111888</v>
      </c>
      <c r="L1885">
        <v>141.3278</v>
      </c>
      <c r="M1885">
        <v>-0.9978243</v>
      </c>
      <c r="N1885">
        <v>0</v>
      </c>
      <c r="O1885">
        <v>-6.4841759999999998E-2</v>
      </c>
      <c r="P1885">
        <v>-0.98717580000000005</v>
      </c>
      <c r="Q1885">
        <v>0.15848229999999999</v>
      </c>
      <c r="R1885">
        <v>1.91693E-2</v>
      </c>
      <c r="S1885">
        <v>-3.0418400000000001</v>
      </c>
      <c r="T1885">
        <v>3.9490459999999998E-2</v>
      </c>
      <c r="U1885">
        <v>-0.3340302</v>
      </c>
      <c r="V1885">
        <v>8.2419580000000006E-2</v>
      </c>
      <c r="W1885">
        <v>0.1705671</v>
      </c>
      <c r="X1885">
        <v>0.98189300000000002</v>
      </c>
      <c r="Y1885">
        <v>-4.4468779999999999E-2</v>
      </c>
      <c r="Z1885">
        <v>-5.5034069999999999E-4</v>
      </c>
      <c r="AA1885">
        <v>0.99901059999999997</v>
      </c>
      <c r="AB1885">
        <v>34</v>
      </c>
      <c r="AC1885">
        <v>-140.16210000000001</v>
      </c>
      <c r="AD1885">
        <v>1.8237680000000001</v>
      </c>
      <c r="AE1885">
        <v>-15.405199999999899</v>
      </c>
      <c r="AF1885">
        <v>-6.2827214686666402</v>
      </c>
      <c r="AG1885">
        <v>1.8237680000000001</v>
      </c>
      <c r="AH1885">
        <v>140.842505245566</v>
      </c>
      <c r="AI1885">
        <v>89.258856012686294</v>
      </c>
      <c r="AJ1885">
        <v>92.554164592547096</v>
      </c>
      <c r="AK1885">
        <v>140.994361598675</v>
      </c>
      <c r="AL1885">
        <v>80.179206855800402</v>
      </c>
      <c r="AM1885">
        <v>85.201870366572095</v>
      </c>
      <c r="AN1885">
        <v>0.99999999310939303</v>
      </c>
    </row>
    <row r="1886" spans="1:40" x14ac:dyDescent="0.3">
      <c r="A1886" t="str">
        <f>"20200111150835060"</f>
        <v>20200111150835060</v>
      </c>
      <c r="B1886" t="str">
        <f>"1578726515054584"</f>
        <v>1578726515054584</v>
      </c>
      <c r="C1886" t="s">
        <v>40</v>
      </c>
      <c r="D1886">
        <v>5.452051</v>
      </c>
      <c r="E1886">
        <v>0.4505596</v>
      </c>
      <c r="F1886" t="s">
        <v>85</v>
      </c>
      <c r="G1886">
        <v>-440.20710000000003</v>
      </c>
      <c r="H1886">
        <v>5.9948459999999999</v>
      </c>
      <c r="I1886">
        <v>117.279</v>
      </c>
      <c r="J1886">
        <v>-217.04990000000001</v>
      </c>
      <c r="K1886">
        <v>1.112033</v>
      </c>
      <c r="L1886">
        <v>141.3049</v>
      </c>
      <c r="M1886">
        <v>-0.99766359999999998</v>
      </c>
      <c r="N1886">
        <v>0</v>
      </c>
      <c r="O1886">
        <v>-6.7271639999999994E-2</v>
      </c>
      <c r="P1886">
        <v>-0.98780950000000001</v>
      </c>
      <c r="Q1886">
        <v>0.15480269999999999</v>
      </c>
      <c r="R1886">
        <v>1.6388819999999998E-2</v>
      </c>
      <c r="S1886">
        <v>-3.0346829999999998</v>
      </c>
      <c r="T1886">
        <v>6.6308140000000002E-2</v>
      </c>
      <c r="U1886">
        <v>-0.32656859999999999</v>
      </c>
      <c r="V1886">
        <v>8.203531E-2</v>
      </c>
      <c r="W1886">
        <v>0.1669129</v>
      </c>
      <c r="X1886">
        <v>0.98255289999999995</v>
      </c>
      <c r="Y1886">
        <v>-3.986816E-2</v>
      </c>
      <c r="Z1886">
        <v>-1.029185E-3</v>
      </c>
      <c r="AA1886">
        <v>0.99920439999999999</v>
      </c>
      <c r="AB1886">
        <v>34</v>
      </c>
      <c r="AC1886">
        <v>-223.15719999999999</v>
      </c>
      <c r="AD1886">
        <v>4.8828129999999996</v>
      </c>
      <c r="AE1886">
        <v>-24.0259</v>
      </c>
      <c r="AF1886">
        <v>-8.9540128239529899</v>
      </c>
      <c r="AG1886">
        <v>4.8828129999999996</v>
      </c>
      <c r="AH1886">
        <v>224.16189582824001</v>
      </c>
      <c r="AI1886">
        <v>88.753144357433598</v>
      </c>
      <c r="AJ1886">
        <v>92.287429579223499</v>
      </c>
      <c r="AK1886">
        <v>224.39378723519701</v>
      </c>
      <c r="AL1886">
        <v>80.391622776336902</v>
      </c>
      <c r="AM1886">
        <v>85.2273300040696</v>
      </c>
      <c r="AN1886">
        <v>0.99999995478580705</v>
      </c>
    </row>
    <row r="1887" spans="1:40" x14ac:dyDescent="0.3">
      <c r="A1887" t="str">
        <f>"20200111150835082"</f>
        <v>20200111150835082</v>
      </c>
      <c r="B1887" t="str">
        <f>"1578726515075080"</f>
        <v>1578726515075080</v>
      </c>
      <c r="C1887" t="s">
        <v>40</v>
      </c>
      <c r="D1887">
        <v>5.3850280000000001</v>
      </c>
      <c r="E1887">
        <v>0.4526268</v>
      </c>
      <c r="F1887" t="s">
        <v>85</v>
      </c>
      <c r="G1887">
        <v>-439.84660000000002</v>
      </c>
      <c r="H1887">
        <v>6.7607460000000001</v>
      </c>
      <c r="I1887">
        <v>116.28879999999999</v>
      </c>
      <c r="J1887">
        <v>-217.4032</v>
      </c>
      <c r="K1887">
        <v>1.11208</v>
      </c>
      <c r="L1887">
        <v>141.27860000000001</v>
      </c>
      <c r="M1887">
        <v>-0.99748400000000004</v>
      </c>
      <c r="N1887">
        <v>0</v>
      </c>
      <c r="O1887">
        <v>-6.9884370000000001E-2</v>
      </c>
      <c r="P1887">
        <v>-0.98842589999999997</v>
      </c>
      <c r="Q1887">
        <v>0.15118129999999999</v>
      </c>
      <c r="R1887">
        <v>1.259537E-2</v>
      </c>
      <c r="S1887">
        <v>-3.03064</v>
      </c>
      <c r="T1887">
        <v>7.6838139999999999E-2</v>
      </c>
      <c r="U1887">
        <v>-0.34028629999999999</v>
      </c>
      <c r="V1887">
        <v>8.0864190000000002E-2</v>
      </c>
      <c r="W1887">
        <v>0.16329250000000001</v>
      </c>
      <c r="X1887">
        <v>0.98325810000000002</v>
      </c>
      <c r="Y1887">
        <v>-4.1863949999999997E-2</v>
      </c>
      <c r="Z1887">
        <v>-1.2343650000000001E-3</v>
      </c>
      <c r="AA1887">
        <v>0.99912259999999997</v>
      </c>
      <c r="AB1887">
        <v>34</v>
      </c>
      <c r="AC1887">
        <v>-222.4434</v>
      </c>
      <c r="AD1887">
        <v>5.6486660000000004</v>
      </c>
      <c r="AE1887">
        <v>-24.989799999999999</v>
      </c>
      <c r="AF1887">
        <v>-9.3763033603335195</v>
      </c>
      <c r="AG1887">
        <v>5.6486660000000004</v>
      </c>
      <c r="AH1887">
        <v>223.50366281645199</v>
      </c>
      <c r="AI1887">
        <v>88.553528843250405</v>
      </c>
      <c r="AJ1887">
        <v>92.402232601162297</v>
      </c>
      <c r="AK1887">
        <v>223.77155713953999</v>
      </c>
      <c r="AL1887">
        <v>80.601943092777802</v>
      </c>
      <c r="AM1887">
        <v>85.298514858374304</v>
      </c>
      <c r="AN1887">
        <v>0.99999997449810696</v>
      </c>
    </row>
    <row r="1888" spans="1:40" x14ac:dyDescent="0.3">
      <c r="A1888" t="str">
        <f>"20200111150835105"</f>
        <v>20200111150835105</v>
      </c>
      <c r="B1888" t="str">
        <f>"1578726515094599"</f>
        <v>1578726515094599</v>
      </c>
      <c r="C1888" t="s">
        <v>40</v>
      </c>
      <c r="D1888">
        <v>5.3961600000000001</v>
      </c>
      <c r="E1888">
        <v>0.45536989999999999</v>
      </c>
      <c r="F1888" t="s">
        <v>85</v>
      </c>
      <c r="G1888">
        <v>-440.75</v>
      </c>
      <c r="H1888">
        <v>7.7350880000000002</v>
      </c>
      <c r="I1888">
        <v>116.4854</v>
      </c>
      <c r="J1888">
        <v>-217.74270000000001</v>
      </c>
      <c r="K1888">
        <v>1.1120429999999999</v>
      </c>
      <c r="L1888">
        <v>141.2525</v>
      </c>
      <c r="M1888">
        <v>-0.99731619999999999</v>
      </c>
      <c r="N1888">
        <v>0</v>
      </c>
      <c r="O1888">
        <v>-7.2242399999999998E-2</v>
      </c>
      <c r="P1888">
        <v>-0.98890579999999995</v>
      </c>
      <c r="Q1888">
        <v>0.1482966</v>
      </c>
      <c r="R1888">
        <v>8.5753300000000008E-3</v>
      </c>
      <c r="S1888">
        <v>-3.0257109999999998</v>
      </c>
      <c r="T1888">
        <v>8.9723109999999995E-2</v>
      </c>
      <c r="U1888">
        <v>-0.33587650000000002</v>
      </c>
      <c r="V1888">
        <v>7.9243090000000002E-2</v>
      </c>
      <c r="W1888">
        <v>0.16038740000000001</v>
      </c>
      <c r="X1888">
        <v>0.98386810000000002</v>
      </c>
      <c r="Y1888">
        <v>-3.8249690000000003E-2</v>
      </c>
      <c r="Z1888">
        <v>-1.5665849999999999E-3</v>
      </c>
      <c r="AA1888">
        <v>0.99926700000000002</v>
      </c>
      <c r="AB1888">
        <v>34</v>
      </c>
      <c r="AC1888">
        <v>-223.00729999999999</v>
      </c>
      <c r="AD1888">
        <v>6.6230449999999896</v>
      </c>
      <c r="AE1888">
        <v>-24.767099999999999</v>
      </c>
      <c r="AF1888">
        <v>-8.5831767352469495</v>
      </c>
      <c r="AG1888">
        <v>6.6230449999999896</v>
      </c>
      <c r="AH1888">
        <v>224.0187028885</v>
      </c>
      <c r="AI1888">
        <v>88.307801838111303</v>
      </c>
      <c r="AJ1888">
        <v>92.194188976481499</v>
      </c>
      <c r="AK1888">
        <v>224.280883919666</v>
      </c>
      <c r="AL1888">
        <v>80.770617099905806</v>
      </c>
      <c r="AM1888">
        <v>85.395200939281096</v>
      </c>
      <c r="AN1888">
        <v>1.00000001179455</v>
      </c>
    </row>
    <row r="1889" spans="1:40" x14ac:dyDescent="0.3">
      <c r="A1889" t="str">
        <f>"20200111150835130"</f>
        <v>20200111150835130</v>
      </c>
      <c r="B1889" t="str">
        <f>"1578726515124856"</f>
        <v>1578726515124856</v>
      </c>
      <c r="C1889" t="s">
        <v>40</v>
      </c>
      <c r="D1889">
        <v>5.4858379999999904</v>
      </c>
      <c r="E1889">
        <v>0.45814329999999998</v>
      </c>
      <c r="F1889" t="s">
        <v>85</v>
      </c>
      <c r="G1889">
        <v>-440.20710000000003</v>
      </c>
      <c r="H1889">
        <v>7.8952039999999997</v>
      </c>
      <c r="I1889">
        <v>117.21429999999999</v>
      </c>
      <c r="J1889">
        <v>-218.12610000000001</v>
      </c>
      <c r="K1889">
        <v>1.111953</v>
      </c>
      <c r="L1889">
        <v>141.22239999999999</v>
      </c>
      <c r="M1889">
        <v>-0.99713620000000003</v>
      </c>
      <c r="N1889">
        <v>0</v>
      </c>
      <c r="O1889">
        <v>-7.4687180000000006E-2</v>
      </c>
      <c r="P1889">
        <v>-0.98909400000000003</v>
      </c>
      <c r="Q1889">
        <v>0.14718200000000001</v>
      </c>
      <c r="R1889">
        <v>5.5370609999999898E-3</v>
      </c>
      <c r="S1889">
        <v>-3.0226899999999999</v>
      </c>
      <c r="T1889">
        <v>9.2165109999999995E-2</v>
      </c>
      <c r="U1889">
        <v>-0.32661440000000003</v>
      </c>
      <c r="V1889">
        <v>7.8685539999999998E-2</v>
      </c>
      <c r="W1889">
        <v>0.15924160000000001</v>
      </c>
      <c r="X1889">
        <v>0.9840989</v>
      </c>
      <c r="Y1889">
        <v>-3.2887739999999999E-2</v>
      </c>
      <c r="Z1889">
        <v>-1.766634E-3</v>
      </c>
      <c r="AA1889">
        <v>0.9994575</v>
      </c>
      <c r="AB1889">
        <v>34</v>
      </c>
      <c r="AC1889">
        <v>-222.08099999999999</v>
      </c>
      <c r="AD1889">
        <v>6.7832509999999999</v>
      </c>
      <c r="AE1889">
        <v>-24.008099999999999</v>
      </c>
      <c r="AF1889">
        <v>-7.3464865817165501</v>
      </c>
      <c r="AG1889">
        <v>6.7832509999999999</v>
      </c>
      <c r="AH1889">
        <v>223.04818024309199</v>
      </c>
      <c r="AI1889">
        <v>88.259024314114995</v>
      </c>
      <c r="AJ1889">
        <v>91.886455939508707</v>
      </c>
      <c r="AK1889">
        <v>223.27219725926301</v>
      </c>
      <c r="AL1889">
        <v>80.837121025670996</v>
      </c>
      <c r="AM1889">
        <v>85.428530024534894</v>
      </c>
      <c r="AN1889">
        <v>0.99999997317843003</v>
      </c>
    </row>
    <row r="1890" spans="1:40" x14ac:dyDescent="0.3">
      <c r="A1890" t="str">
        <f>"20200111150835149"</f>
        <v>20200111150835149</v>
      </c>
      <c r="B1890" t="str">
        <f>"1578726515145353"</f>
        <v>1578726515145353</v>
      </c>
      <c r="C1890" t="s">
        <v>40</v>
      </c>
      <c r="D1890">
        <v>4.7581040000000003</v>
      </c>
      <c r="E1890">
        <v>0.4590998</v>
      </c>
      <c r="F1890" t="s">
        <v>85</v>
      </c>
      <c r="G1890">
        <v>-440.20710000000003</v>
      </c>
      <c r="H1890">
        <v>2.3070110000000001</v>
      </c>
      <c r="I1890">
        <v>118.2803</v>
      </c>
      <c r="J1890">
        <v>-218.40620000000001</v>
      </c>
      <c r="K1890">
        <v>1.1118380000000001</v>
      </c>
      <c r="L1890">
        <v>141.19999999999999</v>
      </c>
      <c r="M1890">
        <v>-0.9970175</v>
      </c>
      <c r="N1890">
        <v>0</v>
      </c>
      <c r="O1890">
        <v>-7.6257560000000002E-2</v>
      </c>
      <c r="P1890">
        <v>-0.98917829999999995</v>
      </c>
      <c r="Q1890">
        <v>0.14670069999999999</v>
      </c>
      <c r="R1890">
        <v>2.299064E-3</v>
      </c>
      <c r="S1890">
        <v>-3.03241</v>
      </c>
      <c r="T1890">
        <v>1.6318320000000001E-2</v>
      </c>
      <c r="U1890">
        <v>-0.31326290000000001</v>
      </c>
      <c r="V1890">
        <v>7.7061130000000005E-2</v>
      </c>
      <c r="W1890">
        <v>0.15872610000000001</v>
      </c>
      <c r="X1890">
        <v>0.98431069999999998</v>
      </c>
      <c r="Y1890">
        <v>-2.660032E-2</v>
      </c>
      <c r="Z1890">
        <v>-3.3722070000000002E-4</v>
      </c>
      <c r="AA1890">
        <v>0.99964609999999998</v>
      </c>
      <c r="AB1890">
        <v>34</v>
      </c>
      <c r="AC1890">
        <v>-221.80090000000001</v>
      </c>
      <c r="AD1890">
        <v>1.195173</v>
      </c>
      <c r="AE1890">
        <v>-22.919699999999899</v>
      </c>
      <c r="AF1890">
        <v>-5.9375942714830403</v>
      </c>
      <c r="AG1890">
        <v>1.195173</v>
      </c>
      <c r="AH1890">
        <v>222.89647845866901</v>
      </c>
      <c r="AI1890">
        <v>89.692891380185699</v>
      </c>
      <c r="AJ1890">
        <v>91.525904133607895</v>
      </c>
      <c r="AK1890">
        <v>222.97875139463099</v>
      </c>
      <c r="AL1890">
        <v>80.8670375050106</v>
      </c>
      <c r="AM1890">
        <v>85.523476698885304</v>
      </c>
      <c r="AN1890">
        <v>0.99999997335628799</v>
      </c>
    </row>
    <row r="1891" spans="1:40" x14ac:dyDescent="0.3">
      <c r="A1891" t="str">
        <f>"20200111150835171"</f>
        <v>20200111150835171</v>
      </c>
      <c r="B1891" t="str">
        <f>"1578726515164872"</f>
        <v>1578726515164872</v>
      </c>
      <c r="C1891" t="s">
        <v>40</v>
      </c>
      <c r="D1891">
        <v>5.454205</v>
      </c>
      <c r="E1891">
        <v>0.423514</v>
      </c>
      <c r="F1891" t="s">
        <v>85</v>
      </c>
      <c r="G1891">
        <v>-440.20710000000003</v>
      </c>
      <c r="H1891">
        <v>2.7169509999999999</v>
      </c>
      <c r="I1891">
        <v>118.0933</v>
      </c>
      <c r="J1891">
        <v>-218.75139999999999</v>
      </c>
      <c r="K1891">
        <v>1.1116490000000001</v>
      </c>
      <c r="L1891">
        <v>141.172</v>
      </c>
      <c r="M1891">
        <v>-0.99689360000000005</v>
      </c>
      <c r="N1891">
        <v>0</v>
      </c>
      <c r="O1891">
        <v>-7.7860449999999998E-2</v>
      </c>
      <c r="P1891">
        <v>-0.98892990000000003</v>
      </c>
      <c r="Q1891">
        <v>0.14837999999999901</v>
      </c>
      <c r="R1891">
        <v>-9.764954E-4</v>
      </c>
      <c r="S1891">
        <v>-3.0303040000000001</v>
      </c>
      <c r="T1891">
        <v>2.1929859999999999E-2</v>
      </c>
      <c r="U1891">
        <v>-0.315689099999999</v>
      </c>
      <c r="V1891">
        <v>7.5430339999999999E-2</v>
      </c>
      <c r="W1891">
        <v>0.16035199999999999</v>
      </c>
      <c r="X1891">
        <v>0.98417350000000003</v>
      </c>
      <c r="Y1891">
        <v>-2.5856549999999999E-2</v>
      </c>
      <c r="Z1891">
        <v>-4.6767569999999999E-4</v>
      </c>
      <c r="AA1891">
        <v>0.99966560000000004</v>
      </c>
      <c r="AB1891">
        <v>34</v>
      </c>
      <c r="AC1891">
        <v>-221.45570000000001</v>
      </c>
      <c r="AD1891">
        <v>1.605302</v>
      </c>
      <c r="AE1891">
        <v>-23.078700000000001</v>
      </c>
      <c r="AF1891">
        <v>-5.7644743677877601</v>
      </c>
      <c r="AG1891">
        <v>1.605302</v>
      </c>
      <c r="AH1891">
        <v>222.56879993444801</v>
      </c>
      <c r="AI1891">
        <v>89.5868935683676</v>
      </c>
      <c r="AJ1891">
        <v>91.483614199050507</v>
      </c>
      <c r="AK1891">
        <v>222.64922381070301</v>
      </c>
      <c r="AL1891">
        <v>80.772671755330506</v>
      </c>
      <c r="AM1891">
        <v>85.617228691554004</v>
      </c>
      <c r="AN1891">
        <v>0.99999998909938204</v>
      </c>
    </row>
    <row r="1892" spans="1:40" x14ac:dyDescent="0.3">
      <c r="A1892" t="str">
        <f>"20200111150835195"</f>
        <v>20200111150835195</v>
      </c>
      <c r="B1892" t="str">
        <f>"1578726515185368"</f>
        <v>1578726515185368</v>
      </c>
      <c r="C1892" t="s">
        <v>40</v>
      </c>
      <c r="D1892">
        <v>5.2520369999999996</v>
      </c>
      <c r="E1892">
        <v>0.47668850000000001</v>
      </c>
      <c r="F1892" t="s">
        <v>73</v>
      </c>
      <c r="G1892">
        <v>-331.94439999999997</v>
      </c>
      <c r="H1892">
        <v>26.845099999999999</v>
      </c>
      <c r="I1892">
        <v>117.4409</v>
      </c>
      <c r="J1892">
        <v>-219.11199999999999</v>
      </c>
      <c r="K1892">
        <v>1.111394</v>
      </c>
      <c r="L1892">
        <v>141.14259999999999</v>
      </c>
      <c r="M1892">
        <v>-0.99679569999999995</v>
      </c>
      <c r="N1892">
        <v>0</v>
      </c>
      <c r="O1892">
        <v>-7.9108689999999995E-2</v>
      </c>
      <c r="P1892">
        <v>-0.9884501</v>
      </c>
      <c r="Q1892">
        <v>0.15152270000000001</v>
      </c>
      <c r="R1892">
        <v>-2.7869800000000001E-3</v>
      </c>
      <c r="S1892">
        <v>-2.9329529999999999</v>
      </c>
      <c r="T1892">
        <v>0.66678190000000004</v>
      </c>
      <c r="U1892">
        <v>-0.61489869999999902</v>
      </c>
      <c r="V1892">
        <v>7.4916369999999996E-2</v>
      </c>
      <c r="W1892">
        <v>0.1634303</v>
      </c>
      <c r="X1892">
        <v>0.98370630000000003</v>
      </c>
      <c r="Y1892">
        <v>-0.12597259999999999</v>
      </c>
      <c r="Z1892">
        <v>-3.533422E-3</v>
      </c>
      <c r="AA1892">
        <v>0.99202749999999995</v>
      </c>
      <c r="AB1892">
        <v>34</v>
      </c>
      <c r="AC1892">
        <v>-112.832399999999</v>
      </c>
      <c r="AD1892">
        <v>25.733706000000002</v>
      </c>
      <c r="AE1892">
        <v>-23.701699999999899</v>
      </c>
      <c r="AF1892">
        <v>-14.003153639566801</v>
      </c>
      <c r="AG1892">
        <v>25.733706000000002</v>
      </c>
      <c r="AH1892">
        <v>108.92735752047599</v>
      </c>
      <c r="AI1892">
        <v>76.812473761384496</v>
      </c>
      <c r="AJ1892">
        <v>97.325479225261006</v>
      </c>
      <c r="AK1892">
        <v>112.798409353773</v>
      </c>
      <c r="AL1892">
        <v>80.593940516028198</v>
      </c>
      <c r="AM1892">
        <v>85.644917536123003</v>
      </c>
      <c r="AN1892">
        <v>1.0000000050558699</v>
      </c>
    </row>
    <row r="1893" spans="1:40" x14ac:dyDescent="0.3">
      <c r="A1893" t="str">
        <f>"20200111150835216"</f>
        <v>20200111150835216</v>
      </c>
      <c r="B1893" t="str">
        <f>"1578726515204890"</f>
        <v>1578726515204890</v>
      </c>
      <c r="C1893" t="s">
        <v>40</v>
      </c>
      <c r="D1893">
        <v>5.4582379999999997</v>
      </c>
      <c r="E1893">
        <v>0.47431820000000002</v>
      </c>
      <c r="F1893" t="s">
        <v>45</v>
      </c>
      <c r="G1893">
        <v>-460.84890000000001</v>
      </c>
      <c r="H1893">
        <v>4.6241250000000003</v>
      </c>
      <c r="I1893">
        <v>125.8656</v>
      </c>
      <c r="J1893">
        <v>-219.44499999999999</v>
      </c>
      <c r="K1893">
        <v>1.1111359999999999</v>
      </c>
      <c r="L1893">
        <v>141.11529999999999</v>
      </c>
      <c r="M1893">
        <v>-0.99673460000000003</v>
      </c>
      <c r="N1893">
        <v>0</v>
      </c>
      <c r="O1893">
        <v>-7.987271E-2</v>
      </c>
      <c r="P1893">
        <v>-0.98792519999999995</v>
      </c>
      <c r="Q1893">
        <v>0.15490200000000001</v>
      </c>
      <c r="R1893">
        <v>-3.0287399999999998E-3</v>
      </c>
      <c r="S1893">
        <v>-3.027771</v>
      </c>
      <c r="T1893">
        <v>4.399753E-2</v>
      </c>
      <c r="U1893">
        <v>-0.19134519999999999</v>
      </c>
      <c r="V1893">
        <v>7.5492400000000001E-2</v>
      </c>
      <c r="W1893">
        <v>0.16674729999999999</v>
      </c>
      <c r="X1893">
        <v>0.98310540000000002</v>
      </c>
      <c r="Y1893">
        <v>1.683977E-2</v>
      </c>
      <c r="Z1893">
        <v>-1.2800859999999999E-3</v>
      </c>
      <c r="AA1893">
        <v>0.99985740000000001</v>
      </c>
      <c r="AB1893">
        <v>34</v>
      </c>
      <c r="AC1893">
        <v>-241.40389999999999</v>
      </c>
      <c r="AD1893">
        <v>3.5129890000000001</v>
      </c>
      <c r="AE1893">
        <v>-15.249699999999899</v>
      </c>
      <c r="AF1893">
        <v>4.0811059885858301</v>
      </c>
      <c r="AG1893">
        <v>3.5129890000000001</v>
      </c>
      <c r="AH1893">
        <v>241.79964119669799</v>
      </c>
      <c r="AI1893">
        <v>89.167754653428503</v>
      </c>
      <c r="AJ1893">
        <v>89.033050884966798</v>
      </c>
      <c r="AK1893">
        <v>241.859593567541</v>
      </c>
      <c r="AL1893">
        <v>80.401246217946806</v>
      </c>
      <c r="AM1893">
        <v>85.608889893173497</v>
      </c>
      <c r="AN1893">
        <v>0.99999999601210499</v>
      </c>
    </row>
    <row r="1894" spans="1:40" x14ac:dyDescent="0.3">
      <c r="A1894" t="str">
        <f>"20200111150835239"</f>
        <v>20200111150835239</v>
      </c>
      <c r="B1894" t="str">
        <f>"1578726515235144"</f>
        <v>1578726515235144</v>
      </c>
      <c r="C1894" t="s">
        <v>40</v>
      </c>
      <c r="D1894">
        <v>5.3615389999999996</v>
      </c>
      <c r="E1894">
        <v>0.47575770000000001</v>
      </c>
      <c r="F1894" t="s">
        <v>49</v>
      </c>
      <c r="G1894">
        <v>0</v>
      </c>
      <c r="H1894">
        <v>0</v>
      </c>
      <c r="I1894">
        <v>0</v>
      </c>
      <c r="J1894">
        <v>-219.7756</v>
      </c>
      <c r="K1894">
        <v>1.11086</v>
      </c>
      <c r="L1894">
        <v>141.08840000000001</v>
      </c>
      <c r="M1894">
        <v>-0.99670429999999999</v>
      </c>
      <c r="N1894">
        <v>0</v>
      </c>
      <c r="O1894">
        <v>-8.0251530000000001E-2</v>
      </c>
      <c r="P1894">
        <v>-0.98741319999999999</v>
      </c>
      <c r="Q1894">
        <v>0.15814979999999901</v>
      </c>
      <c r="R1894">
        <v>-1.9888110000000001E-3</v>
      </c>
      <c r="S1894">
        <v>-3.0052340000000002</v>
      </c>
      <c r="T1894">
        <v>0.19634270000000001</v>
      </c>
      <c r="U1894">
        <v>-0.21228030000000001</v>
      </c>
      <c r="V1894">
        <v>7.6978329999999998E-2</v>
      </c>
      <c r="W1894">
        <v>0.16993129999999901</v>
      </c>
      <c r="X1894">
        <v>0.98244480000000001</v>
      </c>
      <c r="Y1894">
        <v>9.6335329999999997E-3</v>
      </c>
      <c r="Z1894">
        <v>-5.5374559999999996E-3</v>
      </c>
      <c r="AA1894">
        <v>0.9999382</v>
      </c>
      <c r="AB1894">
        <v>34</v>
      </c>
      <c r="AC1894">
        <v>-3.0052340000000002</v>
      </c>
      <c r="AD1894">
        <v>0.19634270000000001</v>
      </c>
      <c r="AE1894">
        <v>-0.21228030000000001</v>
      </c>
      <c r="AF1894">
        <v>2.9470842833236099E-2</v>
      </c>
      <c r="AG1894">
        <v>0.19634270000000001</v>
      </c>
      <c r="AH1894">
        <v>2.9998355480808998</v>
      </c>
      <c r="AI1894">
        <v>86.255446466146907</v>
      </c>
      <c r="AJ1894">
        <v>89.437135614246301</v>
      </c>
      <c r="AK1894">
        <v>3.0063985600632499</v>
      </c>
      <c r="AL1894">
        <v>80.216175750583403</v>
      </c>
      <c r="AM1894">
        <v>85.519808720402295</v>
      </c>
      <c r="AN1894">
        <v>1.0000000475281501</v>
      </c>
    </row>
    <row r="1895" spans="1:40" x14ac:dyDescent="0.3">
      <c r="A1895" t="str">
        <f>"20200111150835261"</f>
        <v>20200111150835261</v>
      </c>
      <c r="B1895" t="str">
        <f>"1578726515254664"</f>
        <v>1578726515254664</v>
      </c>
      <c r="C1895" t="s">
        <v>40</v>
      </c>
      <c r="D1895">
        <v>5.3687889999999996</v>
      </c>
      <c r="E1895">
        <v>0.47619529999999899</v>
      </c>
      <c r="F1895" t="s">
        <v>49</v>
      </c>
      <c r="G1895">
        <v>0</v>
      </c>
      <c r="H1895">
        <v>0</v>
      </c>
      <c r="I1895">
        <v>0</v>
      </c>
      <c r="J1895">
        <v>-220.11770000000001</v>
      </c>
      <c r="K1895">
        <v>1.1105529999999999</v>
      </c>
      <c r="L1895">
        <v>141.0608</v>
      </c>
      <c r="M1895">
        <v>-0.99670820000000004</v>
      </c>
      <c r="N1895">
        <v>0</v>
      </c>
      <c r="O1895">
        <v>-8.0204869999999998E-2</v>
      </c>
      <c r="P1895">
        <v>-0.98694990000000005</v>
      </c>
      <c r="Q1895">
        <v>0.16102339999999901</v>
      </c>
      <c r="R1895">
        <v>-1.1343220000000001E-3</v>
      </c>
      <c r="S1895">
        <v>-3.0322269999999998</v>
      </c>
      <c r="T1895">
        <v>3.5051699999999998E-2</v>
      </c>
      <c r="U1895">
        <v>-0.19660949999999999</v>
      </c>
      <c r="V1895">
        <v>7.7880199999999997E-2</v>
      </c>
      <c r="W1895">
        <v>0.17273549999999999</v>
      </c>
      <c r="X1895">
        <v>0.98188450000000005</v>
      </c>
      <c r="Y1895">
        <v>1.5540429999999999E-2</v>
      </c>
      <c r="Z1895">
        <v>-1.014584E-3</v>
      </c>
      <c r="AA1895">
        <v>0.99987870000000001</v>
      </c>
      <c r="AB1895">
        <v>34</v>
      </c>
      <c r="AC1895">
        <v>-3.0322269999999998</v>
      </c>
      <c r="AD1895">
        <v>3.5051699999999998E-2</v>
      </c>
      <c r="AE1895">
        <v>-0.19660949999999999</v>
      </c>
      <c r="AF1895">
        <v>4.72340917576895E-2</v>
      </c>
      <c r="AG1895">
        <v>3.5051699999999998E-2</v>
      </c>
      <c r="AH1895">
        <v>3.0378229149560201</v>
      </c>
      <c r="AI1895">
        <v>89.3390060176324</v>
      </c>
      <c r="AJ1895">
        <v>89.1091988833751</v>
      </c>
      <c r="AK1895">
        <v>3.03839229589087</v>
      </c>
      <c r="AL1895">
        <v>80.053095195912206</v>
      </c>
      <c r="AM1895">
        <v>85.464961112371995</v>
      </c>
      <c r="AN1895">
        <v>1.0000000249262599</v>
      </c>
    </row>
    <row r="1896" spans="1:40" x14ac:dyDescent="0.3">
      <c r="A1896" t="str">
        <f>"20200111150835284"</f>
        <v>20200111150835284</v>
      </c>
      <c r="B1896" t="str">
        <f>"1578726515275161"</f>
        <v>1578726515275161</v>
      </c>
      <c r="C1896" t="s">
        <v>40</v>
      </c>
      <c r="D1896">
        <v>5.3214779999999999</v>
      </c>
      <c r="E1896">
        <v>0.4763849</v>
      </c>
      <c r="F1896" t="s">
        <v>45</v>
      </c>
      <c r="G1896">
        <v>-460.91149999999999</v>
      </c>
      <c r="H1896">
        <v>1.1233200000000001</v>
      </c>
      <c r="I1896">
        <v>126.0275</v>
      </c>
      <c r="J1896">
        <v>-220.482</v>
      </c>
      <c r="K1896">
        <v>1.1102069999999999</v>
      </c>
      <c r="L1896">
        <v>141.0318</v>
      </c>
      <c r="M1896">
        <v>-0.9967509</v>
      </c>
      <c r="N1896">
        <v>0</v>
      </c>
      <c r="O1896">
        <v>-7.9670790000000005E-2</v>
      </c>
      <c r="P1896">
        <v>-0.98642479999999999</v>
      </c>
      <c r="Q1896">
        <v>0.16421379999999999</v>
      </c>
      <c r="R1896">
        <v>1.5850829999999999E-4</v>
      </c>
      <c r="S1896">
        <v>-3.039444</v>
      </c>
      <c r="T1896">
        <v>1.6152859999999999E-4</v>
      </c>
      <c r="U1896">
        <v>-0.18975829999999999</v>
      </c>
      <c r="V1896">
        <v>7.8751920000000003E-2</v>
      </c>
      <c r="W1896">
        <v>0.1758499</v>
      </c>
      <c r="X1896">
        <v>0.98126190000000002</v>
      </c>
      <c r="Y1896">
        <v>1.7409060000000001E-2</v>
      </c>
      <c r="Z1896" s="1">
        <v>-4.6863660000000001E-6</v>
      </c>
      <c r="AA1896">
        <v>0.99984839999999997</v>
      </c>
      <c r="AB1896">
        <v>34</v>
      </c>
      <c r="AC1896">
        <v>-240.42949999999999</v>
      </c>
      <c r="AD1896">
        <v>1.31130000000001E-2</v>
      </c>
      <c r="AE1896">
        <v>-15.004300000000001</v>
      </c>
      <c r="AF1896">
        <v>4.1999531080220498</v>
      </c>
      <c r="AG1896">
        <v>1.31130000000001E-2</v>
      </c>
      <c r="AH1896">
        <v>240.860610185079</v>
      </c>
      <c r="AI1896">
        <v>89.996881161436505</v>
      </c>
      <c r="AJ1896">
        <v>89.001018879788404</v>
      </c>
      <c r="AK1896">
        <v>240.89722563115799</v>
      </c>
      <c r="AL1896">
        <v>79.871879019156793</v>
      </c>
      <c r="AM1896">
        <v>85.411518230376302</v>
      </c>
      <c r="AN1896">
        <v>0.99999998431265302</v>
      </c>
    </row>
    <row r="1897" spans="1:40" x14ac:dyDescent="0.3">
      <c r="A1897" t="str">
        <f>"20200111150835306"</f>
        <v>20200111150835306</v>
      </c>
      <c r="B1897" t="str">
        <f>"1578726515294679"</f>
        <v>1578726515294679</v>
      </c>
      <c r="C1897" t="s">
        <v>40</v>
      </c>
      <c r="D1897">
        <v>5.1607279999999998</v>
      </c>
      <c r="E1897">
        <v>0.47596899999999998</v>
      </c>
      <c r="F1897" t="s">
        <v>43</v>
      </c>
      <c r="G1897">
        <v>-358.91809999999998</v>
      </c>
      <c r="H1897" s="1">
        <v>-2.1900849999999998E-6</v>
      </c>
      <c r="I1897">
        <v>132.7165</v>
      </c>
      <c r="J1897">
        <v>-220.8135</v>
      </c>
      <c r="K1897">
        <v>1.109904</v>
      </c>
      <c r="L1897">
        <v>141.006</v>
      </c>
      <c r="M1897">
        <v>-0.99681589999999998</v>
      </c>
      <c r="N1897">
        <v>0</v>
      </c>
      <c r="O1897">
        <v>-7.8853530000000005E-2</v>
      </c>
      <c r="P1897">
        <v>-0.98606280000000002</v>
      </c>
      <c r="Q1897">
        <v>0.16637080000000001</v>
      </c>
      <c r="R1897">
        <v>1.016891E-3</v>
      </c>
      <c r="S1897">
        <v>-3.0453800000000002</v>
      </c>
      <c r="T1897">
        <v>-2.4422880000000001E-2</v>
      </c>
      <c r="U1897">
        <v>-0.18292240000000001</v>
      </c>
      <c r="V1897">
        <v>7.8906980000000002E-2</v>
      </c>
      <c r="W1897">
        <v>0.17794399999999999</v>
      </c>
      <c r="X1897">
        <v>0.98087190000000002</v>
      </c>
      <c r="Y1897">
        <v>1.8943310000000001E-2</v>
      </c>
      <c r="Z1897">
        <v>7.0686640000000003E-4</v>
      </c>
      <c r="AA1897">
        <v>0.9998203</v>
      </c>
      <c r="AB1897">
        <v>34</v>
      </c>
      <c r="AC1897">
        <v>-138.10459999999901</v>
      </c>
      <c r="AD1897">
        <v>-1.109906190085</v>
      </c>
      <c r="AE1897">
        <v>-8.2895000000000003</v>
      </c>
      <c r="AF1897">
        <v>2.6269448983497301</v>
      </c>
      <c r="AG1897">
        <v>-1.109906190085</v>
      </c>
      <c r="AH1897">
        <v>138.31931161710801</v>
      </c>
      <c r="AI1897">
        <v>90.459661849740996</v>
      </c>
      <c r="AJ1897">
        <v>88.911975763955596</v>
      </c>
      <c r="AK1897">
        <v>138.34870688763399</v>
      </c>
      <c r="AL1897">
        <v>79.749973860736105</v>
      </c>
      <c r="AM1897">
        <v>85.400702208657904</v>
      </c>
      <c r="AN1897">
        <v>1.0000000314191599</v>
      </c>
    </row>
    <row r="1898" spans="1:40" x14ac:dyDescent="0.3">
      <c r="A1898" t="str">
        <f>"20200111150835418"</f>
        <v>20200111150835418</v>
      </c>
      <c r="B1898" t="str">
        <f>"1578726515414728"</f>
        <v>1578726515414728</v>
      </c>
      <c r="C1898" t="s">
        <v>40</v>
      </c>
      <c r="D1898">
        <v>8.1566759999999991</v>
      </c>
      <c r="E1898">
        <v>0.47285859999999902</v>
      </c>
      <c r="F1898" t="s">
        <v>43</v>
      </c>
      <c r="G1898">
        <v>-388.20850000000002</v>
      </c>
      <c r="H1898" s="1">
        <v>-2.9031560000000001E-6</v>
      </c>
      <c r="I1898">
        <v>130.94399999999999</v>
      </c>
      <c r="J1898">
        <v>-222.524</v>
      </c>
      <c r="K1898">
        <v>1.1083540000000001</v>
      </c>
      <c r="L1898">
        <v>140.88409999999999</v>
      </c>
      <c r="M1898">
        <v>-0.99750240000000001</v>
      </c>
      <c r="N1898">
        <v>0</v>
      </c>
      <c r="O1898">
        <v>-6.9631429999999994E-2</v>
      </c>
      <c r="P1898">
        <v>-0.98589459999999995</v>
      </c>
      <c r="Q1898">
        <v>0.16698950000000001</v>
      </c>
      <c r="R1898">
        <v>1.1264420000000001E-2</v>
      </c>
      <c r="S1898">
        <v>-3.0460050000000001</v>
      </c>
      <c r="T1898">
        <v>-2.019644E-2</v>
      </c>
      <c r="U1898">
        <v>-0.18309020000000001</v>
      </c>
      <c r="V1898">
        <v>8.0693790000000001E-2</v>
      </c>
      <c r="W1898">
        <v>0.1782753</v>
      </c>
      <c r="X1898">
        <v>0.98066629999999999</v>
      </c>
      <c r="Y1898">
        <v>9.6547679999999993E-3</v>
      </c>
      <c r="Z1898">
        <v>4.9275739999999897E-4</v>
      </c>
      <c r="AA1898">
        <v>0.99995330000000004</v>
      </c>
      <c r="AB1898">
        <v>34</v>
      </c>
      <c r="AC1898">
        <v>-165.68450000000001</v>
      </c>
      <c r="AD1898">
        <v>-1.1083569031559899</v>
      </c>
      <c r="AE1898">
        <v>-9.9400999999999993</v>
      </c>
      <c r="AF1898">
        <v>1.6216166176986899</v>
      </c>
      <c r="AG1898">
        <v>-1.1083569031559899</v>
      </c>
      <c r="AH1898">
        <v>165.967083308936</v>
      </c>
      <c r="AI1898">
        <v>90.382607180489401</v>
      </c>
      <c r="AJ1898">
        <v>89.4401972376983</v>
      </c>
      <c r="AK1898">
        <v>165.978705976263</v>
      </c>
      <c r="AL1898">
        <v>79.730682804448605</v>
      </c>
      <c r="AM1898">
        <v>85.296033824664505</v>
      </c>
      <c r="AN1898">
        <v>0.99999998114517097</v>
      </c>
    </row>
    <row r="1899" spans="1:40" x14ac:dyDescent="0.3">
      <c r="A1899" t="str">
        <f>"20200111150835441"</f>
        <v>20200111150835441</v>
      </c>
      <c r="B1899" t="str">
        <f>"1578726515435224"</f>
        <v>1578726515435224</v>
      </c>
      <c r="C1899" t="s">
        <v>40</v>
      </c>
      <c r="D1899">
        <v>5.6910400000000001</v>
      </c>
      <c r="E1899">
        <v>0.47937239999999998</v>
      </c>
      <c r="F1899" t="s">
        <v>41</v>
      </c>
      <c r="G1899">
        <v>-223.23249999999999</v>
      </c>
      <c r="H1899">
        <v>0.95520850000000002</v>
      </c>
      <c r="I1899">
        <v>140.84469999999999</v>
      </c>
      <c r="J1899">
        <v>-222.86009999999999</v>
      </c>
      <c r="K1899">
        <v>1.1080909999999999</v>
      </c>
      <c r="L1899">
        <v>140.8631</v>
      </c>
      <c r="M1899">
        <v>-0.99768449999999997</v>
      </c>
      <c r="N1899">
        <v>0</v>
      </c>
      <c r="O1899">
        <v>-6.6969619999999994E-2</v>
      </c>
      <c r="P1899">
        <v>-0.98584249999999995</v>
      </c>
      <c r="Q1899">
        <v>0.1670721</v>
      </c>
      <c r="R1899">
        <v>1.4209380000000001E-2</v>
      </c>
      <c r="S1899">
        <v>-3.1606450000000001</v>
      </c>
      <c r="T1899">
        <v>-0.68315230000000005</v>
      </c>
      <c r="U1899">
        <v>-0.1763306</v>
      </c>
      <c r="V1899">
        <v>8.1118510000000005E-2</v>
      </c>
      <c r="W1899">
        <v>0.17831050000000001</v>
      </c>
      <c r="X1899">
        <v>0.98062490000000002</v>
      </c>
      <c r="Y1899">
        <v>9.5346700000000003E-3</v>
      </c>
      <c r="Z1899">
        <v>1.5303260000000001E-2</v>
      </c>
      <c r="AA1899">
        <v>0.99983750000000005</v>
      </c>
      <c r="AB1899">
        <v>34</v>
      </c>
      <c r="AC1899">
        <v>-0.37239999999999801</v>
      </c>
      <c r="AD1899">
        <v>-0.1528825</v>
      </c>
      <c r="AE1899">
        <v>-1.8400000000013898E-2</v>
      </c>
      <c r="AF1899">
        <v>5.63513662628336E-3</v>
      </c>
      <c r="AG1899">
        <v>-0.1528825</v>
      </c>
      <c r="AH1899">
        <v>0.31914012919933699</v>
      </c>
      <c r="AI1899">
        <v>115.59304103689099</v>
      </c>
      <c r="AJ1899">
        <v>88.988419293542506</v>
      </c>
      <c r="AK1899">
        <v>0.35391416422123601</v>
      </c>
      <c r="AL1899">
        <v>79.728633563936398</v>
      </c>
      <c r="AM1899">
        <v>85.271188436125598</v>
      </c>
      <c r="AN1899">
        <v>1.00000002078744</v>
      </c>
    </row>
    <row r="1900" spans="1:40" x14ac:dyDescent="0.3">
      <c r="A1900" t="str">
        <f>"20200111150835462"</f>
        <v>20200111150835462</v>
      </c>
      <c r="B1900" t="str">
        <f>"1578726515454744"</f>
        <v>1578726515454744</v>
      </c>
      <c r="C1900" t="s">
        <v>40</v>
      </c>
      <c r="D1900">
        <v>6.4362149999999998</v>
      </c>
      <c r="E1900">
        <v>0.48025499999999999</v>
      </c>
      <c r="F1900" t="s">
        <v>41</v>
      </c>
      <c r="G1900">
        <v>-223.8202</v>
      </c>
      <c r="H1900">
        <v>0.8957697</v>
      </c>
      <c r="I1900">
        <v>140.8278</v>
      </c>
      <c r="J1900">
        <v>-223.20240000000001</v>
      </c>
      <c r="K1900">
        <v>1.1078680000000001</v>
      </c>
      <c r="L1900">
        <v>140.84289999999999</v>
      </c>
      <c r="M1900">
        <v>-0.99787630000000005</v>
      </c>
      <c r="N1900">
        <v>0</v>
      </c>
      <c r="O1900">
        <v>-6.4046500000000006E-2</v>
      </c>
      <c r="P1900">
        <v>-0.98577349999999997</v>
      </c>
      <c r="Q1900">
        <v>0.1672015</v>
      </c>
      <c r="R1900">
        <v>1.7144469999999998E-2</v>
      </c>
      <c r="S1900">
        <v>-3.1633149999999999</v>
      </c>
      <c r="T1900">
        <v>-0.69944010000000001</v>
      </c>
      <c r="U1900">
        <v>-0.1168976</v>
      </c>
      <c r="V1900">
        <v>8.125976E-2</v>
      </c>
      <c r="W1900">
        <v>0.178401</v>
      </c>
      <c r="X1900">
        <v>0.98059669999999999</v>
      </c>
      <c r="Y1900">
        <v>2.500894E-2</v>
      </c>
      <c r="Z1900">
        <v>1.670833E-2</v>
      </c>
      <c r="AA1900">
        <v>0.99954759999999998</v>
      </c>
      <c r="AB1900">
        <v>34</v>
      </c>
      <c r="AC1900">
        <v>-0.61779999999998803</v>
      </c>
      <c r="AD1900">
        <v>-0.21209829999999999</v>
      </c>
      <c r="AE1900">
        <v>-1.5099999999989599E-2</v>
      </c>
      <c r="AF1900">
        <v>2.1919732801239999E-2</v>
      </c>
      <c r="AG1900">
        <v>-0.21209829999999999</v>
      </c>
      <c r="AH1900">
        <v>0.55242664587630697</v>
      </c>
      <c r="AI1900">
        <v>110.988682352175</v>
      </c>
      <c r="AJ1900">
        <v>87.727753179802505</v>
      </c>
      <c r="AK1900">
        <v>0.59214978056494605</v>
      </c>
      <c r="AL1900">
        <v>79.723363343240806</v>
      </c>
      <c r="AM1900">
        <v>85.262856085422996</v>
      </c>
      <c r="AN1900">
        <v>0.99999997672357299</v>
      </c>
    </row>
    <row r="1901" spans="1:40" x14ac:dyDescent="0.3">
      <c r="A1901" t="str">
        <f>"20200111150835485"</f>
        <v>20200111150835485</v>
      </c>
      <c r="B1901" t="str">
        <f>"1578726515475240"</f>
        <v>1578726515475240</v>
      </c>
      <c r="C1901" t="s">
        <v>40</v>
      </c>
      <c r="D1901">
        <v>5.1543460000000003</v>
      </c>
      <c r="E1901">
        <v>0.44665369999999999</v>
      </c>
      <c r="F1901" t="s">
        <v>41</v>
      </c>
      <c r="G1901">
        <v>-224.13839999999999</v>
      </c>
      <c r="H1901">
        <v>0.92013429999999996</v>
      </c>
      <c r="I1901">
        <v>140.81309999999999</v>
      </c>
      <c r="J1901">
        <v>-223.55930000000001</v>
      </c>
      <c r="K1901">
        <v>1.107688</v>
      </c>
      <c r="L1901">
        <v>140.82310000000001</v>
      </c>
      <c r="M1901">
        <v>-0.99807670000000004</v>
      </c>
      <c r="N1901">
        <v>0</v>
      </c>
      <c r="O1901">
        <v>-6.0844000000000002E-2</v>
      </c>
      <c r="P1901">
        <v>-0.98567839999999995</v>
      </c>
      <c r="Q1901">
        <v>0.16739660000000001</v>
      </c>
      <c r="R1901">
        <v>2.040966E-2</v>
      </c>
      <c r="S1901">
        <v>-3.152298</v>
      </c>
      <c r="T1901">
        <v>-0.63221090000000002</v>
      </c>
      <c r="U1901">
        <v>-0.10086059999999999</v>
      </c>
      <c r="V1901">
        <v>8.1438679999999999E-2</v>
      </c>
      <c r="W1901">
        <v>0.1785629</v>
      </c>
      <c r="X1901">
        <v>0.98055239999999999</v>
      </c>
      <c r="Y1901">
        <v>2.714838E-2</v>
      </c>
      <c r="Z1901">
        <v>1.476646E-2</v>
      </c>
      <c r="AA1901">
        <v>0.99952229999999997</v>
      </c>
      <c r="AB1901">
        <v>34</v>
      </c>
      <c r="AC1901">
        <v>-0.57909999999998196</v>
      </c>
      <c r="AD1901">
        <v>-0.18755369999999999</v>
      </c>
      <c r="AE1901">
        <v>-1.0000000000019301E-2</v>
      </c>
      <c r="AF1901">
        <v>2.2858775150999801E-2</v>
      </c>
      <c r="AG1901">
        <v>-0.18755369999999999</v>
      </c>
      <c r="AH1901">
        <v>0.52371777238436301</v>
      </c>
      <c r="AI1901">
        <v>109.686150720428</v>
      </c>
      <c r="AJ1901">
        <v>87.500790193780006</v>
      </c>
      <c r="AK1901">
        <v>0.556757774167845</v>
      </c>
      <c r="AL1901">
        <v>79.713935902133002</v>
      </c>
      <c r="AM1901">
        <v>85.252259828192905</v>
      </c>
      <c r="AN1901">
        <v>0.99999998850115601</v>
      </c>
    </row>
    <row r="1902" spans="1:40" x14ac:dyDescent="0.3">
      <c r="A1902" t="str">
        <f>"20200111150835509"</f>
        <v>20200111150835509</v>
      </c>
      <c r="B1902" t="str">
        <f>"1578726515504519"</f>
        <v>1578726515504519</v>
      </c>
      <c r="C1902" t="s">
        <v>40</v>
      </c>
      <c r="D1902">
        <v>5.1627619999999999</v>
      </c>
      <c r="E1902">
        <v>0.45801039999999998</v>
      </c>
      <c r="F1902" t="s">
        <v>81</v>
      </c>
      <c r="G1902">
        <v>-397.4658</v>
      </c>
      <c r="H1902">
        <v>2.6770830000000001</v>
      </c>
      <c r="I1902">
        <v>120.19029999999999</v>
      </c>
      <c r="J1902">
        <v>-223.91839999999999</v>
      </c>
      <c r="K1902">
        <v>1.107553</v>
      </c>
      <c r="L1902">
        <v>140.80439999999999</v>
      </c>
      <c r="M1902">
        <v>-0.99827410000000005</v>
      </c>
      <c r="N1902">
        <v>0</v>
      </c>
      <c r="O1902">
        <v>-5.7511069999999997E-2</v>
      </c>
      <c r="P1902">
        <v>-0.98550870000000002</v>
      </c>
      <c r="Q1902">
        <v>0.16805049999999999</v>
      </c>
      <c r="R1902">
        <v>2.305169E-2</v>
      </c>
      <c r="S1902">
        <v>-3.0464169999999999</v>
      </c>
      <c r="T1902">
        <v>2.7492050000000001E-2</v>
      </c>
      <c r="U1902">
        <v>-0.3614349</v>
      </c>
      <c r="V1902">
        <v>8.0849389999999993E-2</v>
      </c>
      <c r="W1902">
        <v>0.1791963</v>
      </c>
      <c r="X1902">
        <v>0.98048559999999996</v>
      </c>
      <c r="Y1902">
        <v>-6.0506610000000002E-2</v>
      </c>
      <c r="Z1902">
        <v>-2.445034E-4</v>
      </c>
      <c r="AA1902">
        <v>0.99816780000000005</v>
      </c>
      <c r="AB1902">
        <v>34</v>
      </c>
      <c r="AC1902">
        <v>-173.54740000000001</v>
      </c>
      <c r="AD1902">
        <v>1.5695299999999901</v>
      </c>
      <c r="AE1902">
        <v>-20.614100000000001</v>
      </c>
      <c r="AF1902">
        <v>-10.5975195289738</v>
      </c>
      <c r="AG1902">
        <v>1.5695299999999901</v>
      </c>
      <c r="AH1902">
        <v>174.43166998152</v>
      </c>
      <c r="AI1902">
        <v>89.485417280735305</v>
      </c>
      <c r="AJ1902">
        <v>93.476706488996001</v>
      </c>
      <c r="AK1902">
        <v>174.760345436628</v>
      </c>
      <c r="AL1902">
        <v>79.677049674599104</v>
      </c>
      <c r="AM1902">
        <v>85.286139420625005</v>
      </c>
      <c r="AN1902">
        <v>0.99999997480221003</v>
      </c>
    </row>
    <row r="1903" spans="1:40" x14ac:dyDescent="0.3">
      <c r="A1903" t="str">
        <f>"20200111150835530"</f>
        <v>20200111150835530</v>
      </c>
      <c r="B1903" t="str">
        <f>"1578726515525016"</f>
        <v>1578726515525016</v>
      </c>
      <c r="C1903" t="s">
        <v>40</v>
      </c>
      <c r="D1903">
        <v>5.4264749999999999</v>
      </c>
      <c r="E1903">
        <v>0.46273259999999999</v>
      </c>
      <c r="F1903" t="s">
        <v>85</v>
      </c>
      <c r="G1903">
        <v>-470.8775</v>
      </c>
      <c r="H1903">
        <v>8.2403689999999994</v>
      </c>
      <c r="I1903">
        <v>119.43470000000001</v>
      </c>
      <c r="J1903">
        <v>-224.2492</v>
      </c>
      <c r="K1903">
        <v>1.1074489999999999</v>
      </c>
      <c r="L1903">
        <v>140.78829999999999</v>
      </c>
      <c r="M1903">
        <v>-0.9984499</v>
      </c>
      <c r="N1903">
        <v>0</v>
      </c>
      <c r="O1903">
        <v>-5.437666E-2</v>
      </c>
      <c r="P1903">
        <v>-0.98541210000000001</v>
      </c>
      <c r="Q1903">
        <v>0.16841099999999901</v>
      </c>
      <c r="R1903">
        <v>2.4513650000000001E-2</v>
      </c>
      <c r="S1903">
        <v>-3.0353089999999998</v>
      </c>
      <c r="T1903">
        <v>8.7667819999999994E-2</v>
      </c>
      <c r="U1903">
        <v>-0.26264949999999998</v>
      </c>
      <c r="V1903">
        <v>7.9263899999999901E-2</v>
      </c>
      <c r="W1903">
        <v>0.1795513</v>
      </c>
      <c r="X1903">
        <v>0.98055009999999998</v>
      </c>
      <c r="Y1903">
        <v>-3.1912919999999997E-2</v>
      </c>
      <c r="Z1903">
        <v>-1.1059900000000001E-3</v>
      </c>
      <c r="AA1903">
        <v>0.99948999999999999</v>
      </c>
      <c r="AB1903">
        <v>34</v>
      </c>
      <c r="AC1903">
        <v>-246.6283</v>
      </c>
      <c r="AD1903">
        <v>7.1329200000000004</v>
      </c>
      <c r="AE1903">
        <v>-21.353599999999901</v>
      </c>
      <c r="AF1903">
        <v>-7.9036721949944297</v>
      </c>
      <c r="AG1903">
        <v>7.1329200000000004</v>
      </c>
      <c r="AH1903">
        <v>247.219327822092</v>
      </c>
      <c r="AI1903">
        <v>88.348169863106506</v>
      </c>
      <c r="AJ1903">
        <v>91.831138661809902</v>
      </c>
      <c r="AK1903">
        <v>247.44846459555899</v>
      </c>
      <c r="AL1903">
        <v>79.656374256064197</v>
      </c>
      <c r="AM1903">
        <v>85.378478417107402</v>
      </c>
      <c r="AN1903">
        <v>0.99999996689245396</v>
      </c>
    </row>
    <row r="1904" spans="1:40" x14ac:dyDescent="0.3">
      <c r="A1904" t="str">
        <f>"20200111150835552"</f>
        <v>20200111150835552</v>
      </c>
      <c r="B1904" t="str">
        <f>"1578726515544536"</f>
        <v>1578726515544536</v>
      </c>
      <c r="C1904" t="s">
        <v>40</v>
      </c>
      <c r="D1904">
        <v>5.3746019999999897</v>
      </c>
      <c r="E1904">
        <v>0.46718690000000002</v>
      </c>
      <c r="F1904" t="s">
        <v>49</v>
      </c>
      <c r="G1904">
        <v>0</v>
      </c>
      <c r="H1904">
        <v>0</v>
      </c>
      <c r="I1904">
        <v>0</v>
      </c>
      <c r="J1904">
        <v>-224.56739999999999</v>
      </c>
      <c r="K1904">
        <v>1.107372</v>
      </c>
      <c r="L1904">
        <v>140.77379999999999</v>
      </c>
      <c r="M1904">
        <v>-0.99861100000000003</v>
      </c>
      <c r="N1904">
        <v>0</v>
      </c>
      <c r="O1904">
        <v>-5.1330149999999998E-2</v>
      </c>
      <c r="P1904">
        <v>-0.9853942</v>
      </c>
      <c r="Q1904">
        <v>0.16832159999999999</v>
      </c>
      <c r="R1904">
        <v>2.5806820000000001E-2</v>
      </c>
      <c r="S1904">
        <v>-3.0428310000000001</v>
      </c>
      <c r="T1904">
        <v>4.1216139999999998E-2</v>
      </c>
      <c r="U1904">
        <v>-0.21936040000000001</v>
      </c>
      <c r="V1904">
        <v>7.7587329999999996E-2</v>
      </c>
      <c r="W1904">
        <v>0.17946319999999999</v>
      </c>
      <c r="X1904">
        <v>0.98070040000000003</v>
      </c>
      <c r="Y1904">
        <v>-2.0611359999999999E-2</v>
      </c>
      <c r="Z1904">
        <v>-5.5444390000000004E-4</v>
      </c>
      <c r="AA1904">
        <v>0.99978739999999999</v>
      </c>
      <c r="AB1904">
        <v>34</v>
      </c>
      <c r="AC1904">
        <v>-3.0428310000000001</v>
      </c>
      <c r="AD1904">
        <v>4.1216139999999998E-2</v>
      </c>
      <c r="AE1904">
        <v>-0.21936040000000001</v>
      </c>
      <c r="AF1904">
        <v>-6.2859704717336401E-2</v>
      </c>
      <c r="AG1904">
        <v>4.1216139999999998E-2</v>
      </c>
      <c r="AH1904">
        <v>3.0495231638353402</v>
      </c>
      <c r="AI1904">
        <v>89.225824655055206</v>
      </c>
      <c r="AJ1904">
        <v>91.180868489671198</v>
      </c>
      <c r="AK1904">
        <v>3.05044941597823</v>
      </c>
      <c r="AL1904">
        <v>79.661506273770101</v>
      </c>
      <c r="AM1904">
        <v>85.476511988533304</v>
      </c>
      <c r="AN1904">
        <v>1.0000000542454599</v>
      </c>
    </row>
    <row r="1905" spans="1:40" x14ac:dyDescent="0.3">
      <c r="A1905" t="str">
        <f>"20200111150835574"</f>
        <v>20200111150835574</v>
      </c>
      <c r="B1905" t="str">
        <f>"1578726515565032"</f>
        <v>1578726515565032</v>
      </c>
      <c r="C1905" t="s">
        <v>40</v>
      </c>
      <c r="D1905">
        <v>5.5709070000000001</v>
      </c>
      <c r="E1905">
        <v>0.46866479999999999</v>
      </c>
      <c r="F1905" t="s">
        <v>43</v>
      </c>
      <c r="G1905">
        <v>-442.791</v>
      </c>
      <c r="H1905">
        <v>7.9987100000000005E-2</v>
      </c>
      <c r="I1905">
        <v>127.95350000000001</v>
      </c>
      <c r="J1905">
        <v>-224.92750000000001</v>
      </c>
      <c r="K1905">
        <v>1.107302</v>
      </c>
      <c r="L1905">
        <v>140.7585</v>
      </c>
      <c r="M1905">
        <v>-0.99878310000000003</v>
      </c>
      <c r="N1905">
        <v>0</v>
      </c>
      <c r="O1905">
        <v>-4.7865999999999999E-2</v>
      </c>
      <c r="P1905">
        <v>-0.98535879999999998</v>
      </c>
      <c r="Q1905">
        <v>0.1683491</v>
      </c>
      <c r="R1905">
        <v>2.6958670000000001E-2</v>
      </c>
      <c r="S1905">
        <v>-3.0516200000000002</v>
      </c>
      <c r="T1905">
        <v>-1.436687E-2</v>
      </c>
      <c r="U1905">
        <v>-0.1792755</v>
      </c>
      <c r="V1905">
        <v>7.5355549999999993E-2</v>
      </c>
      <c r="W1905">
        <v>0.1794984</v>
      </c>
      <c r="X1905">
        <v>0.98086790000000001</v>
      </c>
      <c r="Y1905">
        <v>-1.079272E-2</v>
      </c>
      <c r="Z1905">
        <v>1.996438E-4</v>
      </c>
      <c r="AA1905">
        <v>0.99994179999999999</v>
      </c>
      <c r="AB1905">
        <v>34</v>
      </c>
      <c r="AC1905">
        <v>-217.86349999999999</v>
      </c>
      <c r="AD1905">
        <v>-1.0273148999999999</v>
      </c>
      <c r="AE1905">
        <v>-12.8049999999999</v>
      </c>
      <c r="AF1905">
        <v>-2.36127765679944</v>
      </c>
      <c r="AG1905">
        <v>-1.0273148999999999</v>
      </c>
      <c r="AH1905">
        <v>218.221874117661</v>
      </c>
      <c r="AI1905">
        <v>90.2697114025258</v>
      </c>
      <c r="AJ1905">
        <v>90.619946853469003</v>
      </c>
      <c r="AK1905">
        <v>218.23706685964399</v>
      </c>
      <c r="AL1905">
        <v>79.659455457148297</v>
      </c>
      <c r="AM1905">
        <v>85.606859331223305</v>
      </c>
      <c r="AN1905">
        <v>0.99999998588438599</v>
      </c>
    </row>
    <row r="1906" spans="1:40" x14ac:dyDescent="0.3">
      <c r="A1906" t="str">
        <f>"20200111150835598"</f>
        <v>20200111150835598</v>
      </c>
      <c r="B1906" t="str">
        <f>"1578726515595288"</f>
        <v>1578726515595288</v>
      </c>
      <c r="C1906" t="s">
        <v>40</v>
      </c>
      <c r="D1906">
        <v>5.443244</v>
      </c>
      <c r="E1906">
        <v>0.47183219999999998</v>
      </c>
      <c r="F1906" t="s">
        <v>49</v>
      </c>
      <c r="G1906">
        <v>0</v>
      </c>
      <c r="H1906">
        <v>0</v>
      </c>
      <c r="I1906">
        <v>0</v>
      </c>
      <c r="J1906">
        <v>-225.28360000000001</v>
      </c>
      <c r="K1906">
        <v>1.107245</v>
      </c>
      <c r="L1906">
        <v>140.74469999999999</v>
      </c>
      <c r="M1906">
        <v>-0.99894159999999999</v>
      </c>
      <c r="N1906">
        <v>0</v>
      </c>
      <c r="O1906">
        <v>-4.4435200000000001E-2</v>
      </c>
      <c r="P1906">
        <v>-0.98544759999999998</v>
      </c>
      <c r="Q1906">
        <v>0.16761679999999901</v>
      </c>
      <c r="R1906">
        <v>2.8244399999999999E-2</v>
      </c>
      <c r="S1906">
        <v>-3.0361020000000001</v>
      </c>
      <c r="T1906">
        <v>7.5820799999999994E-2</v>
      </c>
      <c r="U1906">
        <v>-0.164550799999999</v>
      </c>
      <c r="V1906">
        <v>7.3284160000000001E-2</v>
      </c>
      <c r="W1906">
        <v>0.17877680000000001</v>
      </c>
      <c r="X1906">
        <v>0.98115660000000005</v>
      </c>
      <c r="Y1906">
        <v>-9.7027180000000008E-3</v>
      </c>
      <c r="Z1906">
        <v>-9.8712270000000002E-4</v>
      </c>
      <c r="AA1906">
        <v>0.99995239999999996</v>
      </c>
      <c r="AB1906">
        <v>34</v>
      </c>
      <c r="AC1906">
        <v>-3.0361020000000001</v>
      </c>
      <c r="AD1906">
        <v>7.5820799999999994E-2</v>
      </c>
      <c r="AE1906">
        <v>-0.164550799999999</v>
      </c>
      <c r="AF1906">
        <v>-2.9450607108117401E-2</v>
      </c>
      <c r="AG1906">
        <v>7.5820799999999994E-2</v>
      </c>
      <c r="AH1906">
        <v>3.03852564739806</v>
      </c>
      <c r="AI1906">
        <v>88.570653299502993</v>
      </c>
      <c r="AJ1906">
        <v>90.555316245680601</v>
      </c>
      <c r="AK1906">
        <v>3.0396141600320701</v>
      </c>
      <c r="AL1906">
        <v>79.701479953425903</v>
      </c>
      <c r="AM1906">
        <v>85.728418040696596</v>
      </c>
      <c r="AN1906">
        <v>0.99999999302435205</v>
      </c>
    </row>
    <row r="1907" spans="1:40" x14ac:dyDescent="0.3">
      <c r="A1907" t="str">
        <f>"20200111150835620"</f>
        <v>20200111150835620</v>
      </c>
      <c r="B1907" t="str">
        <f>"1578726515614808"</f>
        <v>1578726515614808</v>
      </c>
      <c r="C1907" t="s">
        <v>40</v>
      </c>
      <c r="D1907">
        <v>5.4922750000000002</v>
      </c>
      <c r="E1907">
        <v>0.47356860000000001</v>
      </c>
      <c r="F1907" t="s">
        <v>45</v>
      </c>
      <c r="G1907">
        <v>-500.71949999999998</v>
      </c>
      <c r="H1907">
        <v>3.2025709999999998</v>
      </c>
      <c r="I1907">
        <v>128.5153</v>
      </c>
      <c r="J1907">
        <v>-225.62549999999999</v>
      </c>
      <c r="K1907">
        <v>1.107197</v>
      </c>
      <c r="L1907">
        <v>140.73259999999999</v>
      </c>
      <c r="M1907">
        <v>-0.99908260000000004</v>
      </c>
      <c r="N1907">
        <v>0</v>
      </c>
      <c r="O1907">
        <v>-4.1141200000000003E-2</v>
      </c>
      <c r="P1907">
        <v>-0.98566969999999998</v>
      </c>
      <c r="Q1907">
        <v>0.1662681</v>
      </c>
      <c r="R1907">
        <v>2.8457909999999999E-2</v>
      </c>
      <c r="S1907">
        <v>-3.0442200000000001</v>
      </c>
      <c r="T1907">
        <v>2.3158669999999999E-2</v>
      </c>
      <c r="U1907">
        <v>-0.13516239999999999</v>
      </c>
      <c r="V1907">
        <v>7.0270910000000006E-2</v>
      </c>
      <c r="W1907">
        <v>0.17745079999999999</v>
      </c>
      <c r="X1907">
        <v>0.98161759999999998</v>
      </c>
      <c r="Y1907">
        <v>-3.2158899999999999E-3</v>
      </c>
      <c r="Z1907">
        <v>-3.0047830000000001E-4</v>
      </c>
      <c r="AA1907">
        <v>0.99999479999999996</v>
      </c>
      <c r="AB1907">
        <v>34</v>
      </c>
      <c r="AC1907">
        <v>-275.09399999999999</v>
      </c>
      <c r="AD1907">
        <v>2.0953740000000001</v>
      </c>
      <c r="AE1907">
        <v>-12.2172999999999</v>
      </c>
      <c r="AF1907">
        <v>-0.88840593273534996</v>
      </c>
      <c r="AG1907">
        <v>2.0953740000000001</v>
      </c>
      <c r="AH1907">
        <v>275.34778293718398</v>
      </c>
      <c r="AI1907">
        <v>89.563994512245998</v>
      </c>
      <c r="AJ1907">
        <v>90.1848634235037</v>
      </c>
      <c r="AK1907">
        <v>275.35718880342199</v>
      </c>
      <c r="AL1907">
        <v>79.778688295198606</v>
      </c>
      <c r="AM1907">
        <v>85.905360771108406</v>
      </c>
      <c r="AN1907">
        <v>0.99999994992131203</v>
      </c>
    </row>
    <row r="1908" spans="1:40" x14ac:dyDescent="0.3">
      <c r="A1908" t="str">
        <f>"20200111150835641"</f>
        <v>20200111150835641</v>
      </c>
      <c r="B1908" t="str">
        <f>"1578726515635304"</f>
        <v>1578726515635304</v>
      </c>
      <c r="C1908" t="s">
        <v>40</v>
      </c>
      <c r="D1908">
        <v>5.4525649999999999</v>
      </c>
      <c r="E1908">
        <v>0.47483839999999999</v>
      </c>
      <c r="F1908" t="s">
        <v>86</v>
      </c>
      <c r="G1908">
        <v>-423.86939999999998</v>
      </c>
      <c r="H1908" s="1">
        <v>-7.6259920000000001E-6</v>
      </c>
      <c r="I1908">
        <v>132.88249999999999</v>
      </c>
      <c r="J1908">
        <v>-225.9462</v>
      </c>
      <c r="K1908">
        <v>1.107151</v>
      </c>
      <c r="L1908">
        <v>140.72229999999999</v>
      </c>
      <c r="M1908">
        <v>-0.9992048</v>
      </c>
      <c r="N1908">
        <v>0</v>
      </c>
      <c r="O1908">
        <v>-3.8057180000000003E-2</v>
      </c>
      <c r="P1908">
        <v>-0.98609690000000005</v>
      </c>
      <c r="Q1908">
        <v>0.1639475</v>
      </c>
      <c r="R1908">
        <v>2.7093619999999999E-2</v>
      </c>
      <c r="S1908">
        <v>-3.049973</v>
      </c>
      <c r="T1908">
        <v>-1.7034290000000001E-2</v>
      </c>
      <c r="U1908">
        <v>-0.1207733</v>
      </c>
      <c r="V1908">
        <v>6.5882620000000003E-2</v>
      </c>
      <c r="W1908">
        <v>0.17516779999999901</v>
      </c>
      <c r="X1908">
        <v>0.98233179999999998</v>
      </c>
      <c r="Y1908">
        <v>-1.508988E-3</v>
      </c>
      <c r="Z1908">
        <v>2.081912E-4</v>
      </c>
      <c r="AA1908">
        <v>0.99999890000000002</v>
      </c>
      <c r="AB1908">
        <v>34</v>
      </c>
      <c r="AC1908">
        <v>-197.92320000000001</v>
      </c>
      <c r="AD1908">
        <v>-1.1071586259919901</v>
      </c>
      <c r="AE1908">
        <v>-7.8397999999999897</v>
      </c>
      <c r="AF1908">
        <v>-0.30117883047085497</v>
      </c>
      <c r="AG1908">
        <v>-1.1071586259919901</v>
      </c>
      <c r="AH1908">
        <v>198.07199036722</v>
      </c>
      <c r="AI1908">
        <v>90.320261246498006</v>
      </c>
      <c r="AJ1908">
        <v>90.0871211650541</v>
      </c>
      <c r="AK1908">
        <v>198.07531364847799</v>
      </c>
      <c r="AL1908">
        <v>79.911577043952505</v>
      </c>
      <c r="AM1908">
        <v>86.163056575087893</v>
      </c>
      <c r="AN1908">
        <v>1.00000002153307</v>
      </c>
    </row>
    <row r="1909" spans="1:40" x14ac:dyDescent="0.3">
      <c r="A1909" t="str">
        <f>"20200111150835674"</f>
        <v>20200111150835674</v>
      </c>
      <c r="B1909" t="str">
        <f>"1578726515665560"</f>
        <v>1578726515665560</v>
      </c>
      <c r="C1909" t="s">
        <v>40</v>
      </c>
      <c r="D1909">
        <v>5.4340529999999996</v>
      </c>
      <c r="E1909">
        <v>0.4768173</v>
      </c>
      <c r="F1909" t="s">
        <v>86</v>
      </c>
      <c r="G1909">
        <v>-288.28190000000001</v>
      </c>
      <c r="H1909" s="1">
        <v>-7.4525229999999998E-6</v>
      </c>
      <c r="I1909">
        <v>138.37809999999999</v>
      </c>
      <c r="J1909">
        <v>-226.46770000000001</v>
      </c>
      <c r="K1909">
        <v>1.10711</v>
      </c>
      <c r="L1909">
        <v>140.70779999999999</v>
      </c>
      <c r="M1909">
        <v>-0.99938300000000002</v>
      </c>
      <c r="N1909">
        <v>0</v>
      </c>
      <c r="O1909">
        <v>-3.3044249999999997E-2</v>
      </c>
      <c r="P1909">
        <v>-0.98621400000000004</v>
      </c>
      <c r="Q1909">
        <v>0.16289310000000001</v>
      </c>
      <c r="R1909">
        <v>2.911979E-2</v>
      </c>
      <c r="S1909">
        <v>-3.0544739999999999</v>
      </c>
      <c r="T1909">
        <v>-5.4251189999999998E-2</v>
      </c>
      <c r="U1909">
        <v>-0.1148682</v>
      </c>
      <c r="V1909">
        <v>6.2979190000000004E-2</v>
      </c>
      <c r="W1909">
        <v>0.17413629999999999</v>
      </c>
      <c r="X1909">
        <v>0.98270550000000001</v>
      </c>
      <c r="Y1909">
        <v>-4.5406830000000002E-3</v>
      </c>
      <c r="Z1909">
        <v>5.4621650000000004E-4</v>
      </c>
      <c r="AA1909">
        <v>0.99998960000000003</v>
      </c>
      <c r="AB1909">
        <v>34</v>
      </c>
      <c r="AC1909">
        <v>-61.8142</v>
      </c>
      <c r="AD1909">
        <v>-1.1071174525229901</v>
      </c>
      <c r="AE1909">
        <v>-2.3296999999999999</v>
      </c>
      <c r="AF1909">
        <v>-0.28558745580994399</v>
      </c>
      <c r="AG1909">
        <v>-1.1071174525229901</v>
      </c>
      <c r="AH1909">
        <v>61.8376181851336</v>
      </c>
      <c r="AI1909">
        <v>91.025681563175297</v>
      </c>
      <c r="AJ1909">
        <v>90.264609796524198</v>
      </c>
      <c r="AK1909">
        <v>61.848187459770898</v>
      </c>
      <c r="AL1909">
        <v>79.971599607448695</v>
      </c>
      <c r="AM1909">
        <v>86.333068545719101</v>
      </c>
      <c r="AN1909">
        <v>0.999999964540497</v>
      </c>
    </row>
    <row r="1910" spans="1:40" x14ac:dyDescent="0.3">
      <c r="A1910" t="str">
        <f>"20200111150835696"</f>
        <v>20200111150835696</v>
      </c>
      <c r="B1910" t="str">
        <f>"1578726515685211"</f>
        <v>1578726515685211</v>
      </c>
      <c r="C1910" t="s">
        <v>40</v>
      </c>
      <c r="D1910">
        <v>5.4607029999999996</v>
      </c>
      <c r="E1910">
        <v>0.47805710000000001</v>
      </c>
      <c r="F1910" t="s">
        <v>43</v>
      </c>
      <c r="G1910">
        <v>-268.96269999999998</v>
      </c>
      <c r="H1910" s="1">
        <v>-4.6495380000000001E-7</v>
      </c>
      <c r="I1910">
        <v>139.404</v>
      </c>
      <c r="J1910">
        <v>-226.8081</v>
      </c>
      <c r="K1910">
        <v>1.107086</v>
      </c>
      <c r="L1910">
        <v>140.69970000000001</v>
      </c>
      <c r="M1910">
        <v>-0.99948590000000004</v>
      </c>
      <c r="N1910">
        <v>0</v>
      </c>
      <c r="O1910">
        <v>-2.9773850000000001E-2</v>
      </c>
      <c r="P1910">
        <v>-0.98621389999999998</v>
      </c>
      <c r="Q1910">
        <v>0.16268629999999901</v>
      </c>
      <c r="R1910">
        <v>3.02581E-2</v>
      </c>
      <c r="S1910">
        <v>-3.0578609999999999</v>
      </c>
      <c r="T1910">
        <v>-7.9665780000000005E-2</v>
      </c>
      <c r="U1910">
        <v>-9.3811039999999998E-2</v>
      </c>
      <c r="V1910">
        <v>6.0899559999999998E-2</v>
      </c>
      <c r="W1910">
        <v>0.17394660000000001</v>
      </c>
      <c r="X1910">
        <v>0.98287020000000003</v>
      </c>
      <c r="Y1910">
        <v>-8.9845229999999999E-4</v>
      </c>
      <c r="Z1910">
        <v>7.6355909999999995E-4</v>
      </c>
      <c r="AA1910">
        <v>0.99999930000000004</v>
      </c>
      <c r="AB1910">
        <v>34</v>
      </c>
      <c r="AC1910">
        <v>-42.154599999999903</v>
      </c>
      <c r="AD1910">
        <v>-1.1070864649537999</v>
      </c>
      <c r="AE1910">
        <v>-1.2957000000000101</v>
      </c>
      <c r="AF1910">
        <v>-3.9904470825474499E-2</v>
      </c>
      <c r="AG1910">
        <v>-1.1070864649537999</v>
      </c>
      <c r="AH1910">
        <v>42.145448125864903</v>
      </c>
      <c r="AI1910">
        <v>91.504712200245905</v>
      </c>
      <c r="AJ1910">
        <v>90.054249205559401</v>
      </c>
      <c r="AK1910">
        <v>42.160005105996397</v>
      </c>
      <c r="AL1910">
        <v>79.9826374571184</v>
      </c>
      <c r="AM1910">
        <v>86.454432425556405</v>
      </c>
      <c r="AN1910">
        <v>1.00000000305389</v>
      </c>
    </row>
    <row r="1911" spans="1:40" x14ac:dyDescent="0.3">
      <c r="A1911" t="str">
        <f>"20200111150835718"</f>
        <v>20200111150835718</v>
      </c>
      <c r="B1911" t="str">
        <f>"1578726515715463"</f>
        <v>1578726515715463</v>
      </c>
      <c r="C1911" t="s">
        <v>40</v>
      </c>
      <c r="D1911">
        <v>5.1044400000000003</v>
      </c>
      <c r="E1911">
        <v>0.4791221</v>
      </c>
      <c r="F1911" t="s">
        <v>43</v>
      </c>
      <c r="G1911">
        <v>-262.02699999999999</v>
      </c>
      <c r="H1911" s="1">
        <v>-3.4441389999999998E-6</v>
      </c>
      <c r="I1911">
        <v>139.77189999999999</v>
      </c>
      <c r="J1911">
        <v>-227.1404</v>
      </c>
      <c r="K1911">
        <v>1.107075</v>
      </c>
      <c r="L1911">
        <v>140.69280000000001</v>
      </c>
      <c r="M1911">
        <v>-0.99957580000000001</v>
      </c>
      <c r="N1911">
        <v>0</v>
      </c>
      <c r="O1911">
        <v>-2.6586329999999998E-2</v>
      </c>
      <c r="P1911">
        <v>-0.98624100000000003</v>
      </c>
      <c r="Q1911">
        <v>0.16230240000000001</v>
      </c>
      <c r="R1911">
        <v>3.1415980000000003E-2</v>
      </c>
      <c r="S1911">
        <v>-3.0602719999999999</v>
      </c>
      <c r="T1911">
        <v>-9.6198439999999996E-2</v>
      </c>
      <c r="U1911">
        <v>-8.0612180000000005E-2</v>
      </c>
      <c r="V1911">
        <v>5.8917909999999997E-2</v>
      </c>
      <c r="W1911">
        <v>0.17357990000000001</v>
      </c>
      <c r="X1911">
        <v>0.98305580000000004</v>
      </c>
      <c r="Y1911">
        <v>2.426842E-4</v>
      </c>
      <c r="Z1911">
        <v>8.3910440000000005E-4</v>
      </c>
      <c r="AA1911">
        <v>0.99999959999999999</v>
      </c>
      <c r="AB1911">
        <v>34</v>
      </c>
      <c r="AC1911">
        <v>-34.886599999999902</v>
      </c>
      <c r="AD1911">
        <v>-1.107078444139</v>
      </c>
      <c r="AE1911">
        <v>-0.92090000000001704</v>
      </c>
      <c r="AF1911">
        <v>6.9907657132237599E-3</v>
      </c>
      <c r="AG1911">
        <v>-1.107078444139</v>
      </c>
      <c r="AH1911">
        <v>34.863667582329498</v>
      </c>
      <c r="AI1911">
        <v>91.818787818208904</v>
      </c>
      <c r="AJ1911">
        <v>89.988511209710794</v>
      </c>
      <c r="AK1911">
        <v>34.881241217070503</v>
      </c>
      <c r="AL1911">
        <v>80.003972386082907</v>
      </c>
      <c r="AM1911">
        <v>86.57016991719</v>
      </c>
      <c r="AN1911">
        <v>1.0000000038582</v>
      </c>
    </row>
    <row r="1912" spans="1:40" x14ac:dyDescent="0.3">
      <c r="A1912" t="str">
        <f>"20200111150835742"</f>
        <v>20200111150835742</v>
      </c>
      <c r="B1912" t="str">
        <f>"1578726515734984"</f>
        <v>1578726515734984</v>
      </c>
      <c r="C1912" t="s">
        <v>40</v>
      </c>
      <c r="D1912">
        <v>5.4508510000000001</v>
      </c>
      <c r="E1912">
        <v>0.47977550000000002</v>
      </c>
      <c r="F1912" t="s">
        <v>43</v>
      </c>
      <c r="G1912">
        <v>-258.79390000000001</v>
      </c>
      <c r="H1912" s="1">
        <v>-5.9647369999999896E-7</v>
      </c>
      <c r="I1912">
        <v>139.97970000000001</v>
      </c>
      <c r="J1912">
        <v>-227.5068</v>
      </c>
      <c r="K1912">
        <v>1.107078</v>
      </c>
      <c r="L1912">
        <v>140.6865</v>
      </c>
      <c r="M1912">
        <v>-0.99966259999999996</v>
      </c>
      <c r="N1912">
        <v>0</v>
      </c>
      <c r="O1912">
        <v>-2.3083780000000002E-2</v>
      </c>
      <c r="P1912">
        <v>-0.98607869999999997</v>
      </c>
      <c r="Q1912">
        <v>0.1628705</v>
      </c>
      <c r="R1912">
        <v>3.3495520000000001E-2</v>
      </c>
      <c r="S1912">
        <v>-3.0616759999999998</v>
      </c>
      <c r="T1912">
        <v>-0.1070818</v>
      </c>
      <c r="U1912">
        <v>-6.8969730000000007E-2</v>
      </c>
      <c r="V1912">
        <v>5.754662E-2</v>
      </c>
      <c r="W1912">
        <v>0.1741598</v>
      </c>
      <c r="X1912">
        <v>0.98303439999999997</v>
      </c>
      <c r="Y1912">
        <v>5.5004939999999997E-4</v>
      </c>
      <c r="Z1912">
        <v>8.1656950000000002E-4</v>
      </c>
      <c r="AA1912">
        <v>0.99999950000000004</v>
      </c>
      <c r="AB1912">
        <v>34</v>
      </c>
      <c r="AC1912">
        <v>-31.287099999999999</v>
      </c>
      <c r="AD1912">
        <v>-1.1070785964737</v>
      </c>
      <c r="AE1912">
        <v>-0.70679999999998699</v>
      </c>
      <c r="AF1912">
        <v>1.5644540417713699E-2</v>
      </c>
      <c r="AG1912">
        <v>-1.1070785964737</v>
      </c>
      <c r="AH1912">
        <v>31.2559641591771</v>
      </c>
      <c r="AI1912">
        <v>92.028554195548097</v>
      </c>
      <c r="AJ1912">
        <v>89.971321759298903</v>
      </c>
      <c r="AK1912">
        <v>31.275568152955799</v>
      </c>
      <c r="AL1912">
        <v>79.970232019195507</v>
      </c>
      <c r="AM1912">
        <v>86.649741043802095</v>
      </c>
      <c r="AN1912">
        <v>0.99999994049640994</v>
      </c>
    </row>
    <row r="1913" spans="1:40" x14ac:dyDescent="0.3">
      <c r="A1913" t="str">
        <f>"20200111150835763"</f>
        <v>20200111150835763</v>
      </c>
      <c r="B1913" t="str">
        <f>"1578726515755480"</f>
        <v>1578726515755480</v>
      </c>
      <c r="C1913" t="s">
        <v>40</v>
      </c>
      <c r="D1913">
        <v>5.4551610000000004</v>
      </c>
      <c r="E1913">
        <v>0.48040270000000002</v>
      </c>
      <c r="F1913" t="s">
        <v>43</v>
      </c>
      <c r="G1913">
        <v>-256.76710000000003</v>
      </c>
      <c r="H1913" s="1">
        <v>-1.5026929999999901E-6</v>
      </c>
      <c r="I1913">
        <v>140.11779999999999</v>
      </c>
      <c r="J1913">
        <v>-227.83789999999999</v>
      </c>
      <c r="K1913">
        <v>1.1070819999999999</v>
      </c>
      <c r="L1913">
        <v>140.68199999999999</v>
      </c>
      <c r="M1913">
        <v>-0.99973049999999997</v>
      </c>
      <c r="N1913">
        <v>0</v>
      </c>
      <c r="O1913">
        <v>-1.9940340000000001E-2</v>
      </c>
      <c r="P1913">
        <v>-0.98590029999999995</v>
      </c>
      <c r="Q1913">
        <v>0.16364779999999901</v>
      </c>
      <c r="R1913">
        <v>3.493301E-2</v>
      </c>
      <c r="S1913">
        <v>-3.0635219999999999</v>
      </c>
      <c r="T1913">
        <v>-0.1159105</v>
      </c>
      <c r="U1913">
        <v>-5.9539790000000002E-2</v>
      </c>
      <c r="V1913">
        <v>5.5885509999999999E-2</v>
      </c>
      <c r="W1913">
        <v>0.174951</v>
      </c>
      <c r="X1913">
        <v>0.98298980000000002</v>
      </c>
      <c r="Y1913">
        <v>4.9582599999999999E-4</v>
      </c>
      <c r="Z1913">
        <v>7.6347049999999999E-4</v>
      </c>
      <c r="AA1913">
        <v>0.99999959999999999</v>
      </c>
      <c r="AB1913">
        <v>34</v>
      </c>
      <c r="AC1913">
        <v>-28.929200000000002</v>
      </c>
      <c r="AD1913">
        <v>-1.1070835026929999</v>
      </c>
      <c r="AE1913">
        <v>-0.56420000000002701</v>
      </c>
      <c r="AF1913">
        <v>1.27923138680055E-2</v>
      </c>
      <c r="AG1913">
        <v>-1.1070835026929999</v>
      </c>
      <c r="AH1913">
        <v>28.892401685256999</v>
      </c>
      <c r="AI1913">
        <v>92.194355119705605</v>
      </c>
      <c r="AJ1913">
        <v>89.9746318926708</v>
      </c>
      <c r="AK1913">
        <v>28.913607050443701</v>
      </c>
      <c r="AL1913">
        <v>79.924193322569906</v>
      </c>
      <c r="AM1913">
        <v>86.746089656681804</v>
      </c>
      <c r="AN1913">
        <v>0.99999999476650003</v>
      </c>
    </row>
    <row r="1914" spans="1:40" x14ac:dyDescent="0.3">
      <c r="A1914" t="str">
        <f>"20200111150835787"</f>
        <v>20200111150835787</v>
      </c>
      <c r="B1914" t="str">
        <f>"1578726515784760"</f>
        <v>1578726515784760</v>
      </c>
      <c r="C1914" t="s">
        <v>40</v>
      </c>
      <c r="D1914">
        <v>5.4776410000000002</v>
      </c>
      <c r="E1914">
        <v>0.48010520000000001</v>
      </c>
      <c r="F1914" t="s">
        <v>43</v>
      </c>
      <c r="G1914">
        <v>-255.70779999999999</v>
      </c>
      <c r="H1914" s="1">
        <v>-1.9834369999999999E-6</v>
      </c>
      <c r="I1914">
        <v>140.21680000000001</v>
      </c>
      <c r="J1914">
        <v>-228.20150000000001</v>
      </c>
      <c r="K1914">
        <v>1.1070930000000001</v>
      </c>
      <c r="L1914">
        <v>140.6781</v>
      </c>
      <c r="M1914">
        <v>-0.99979280000000004</v>
      </c>
      <c r="N1914">
        <v>0</v>
      </c>
      <c r="O1914">
        <v>-1.6511069999999999E-2</v>
      </c>
      <c r="P1914">
        <v>-0.98592570000000002</v>
      </c>
      <c r="Q1914">
        <v>0.1633637</v>
      </c>
      <c r="R1914">
        <v>3.5537470000000002E-2</v>
      </c>
      <c r="S1914">
        <v>-3.0649410000000001</v>
      </c>
      <c r="T1914">
        <v>-0.1217496</v>
      </c>
      <c r="U1914">
        <v>-5.1147459999999999E-2</v>
      </c>
      <c r="V1914">
        <v>5.3103259999999999E-2</v>
      </c>
      <c r="W1914">
        <v>0.17469319999999999</v>
      </c>
      <c r="X1914">
        <v>0.98318989999999995</v>
      </c>
      <c r="Y1914">
        <v>-1.8623660000000001E-4</v>
      </c>
      <c r="Z1914">
        <v>6.5187470000000001E-4</v>
      </c>
      <c r="AA1914">
        <v>0.99999979999999999</v>
      </c>
      <c r="AB1914">
        <v>34</v>
      </c>
      <c r="AC1914">
        <v>-27.5062999999999</v>
      </c>
      <c r="AD1914">
        <v>-1.1070949834370001</v>
      </c>
      <c r="AE1914">
        <v>-0.46129999999999399</v>
      </c>
      <c r="AF1914">
        <v>-7.03507993289637E-3</v>
      </c>
      <c r="AG1914">
        <v>-1.1070949834370001</v>
      </c>
      <c r="AH1914">
        <v>27.4656860709493</v>
      </c>
      <c r="AI1914">
        <v>92.308245548796805</v>
      </c>
      <c r="AJ1914">
        <v>90.014675780493306</v>
      </c>
      <c r="AK1914">
        <v>27.487990471161002</v>
      </c>
      <c r="AL1914">
        <v>79.939195509432295</v>
      </c>
      <c r="AM1914">
        <v>86.908390517537498</v>
      </c>
      <c r="AN1914">
        <v>1.0000000249054299</v>
      </c>
    </row>
    <row r="1915" spans="1:40" x14ac:dyDescent="0.3">
      <c r="A1915" t="str">
        <f>"20200111150835808"</f>
        <v>20200111150835808</v>
      </c>
      <c r="B1915" t="str">
        <f>"1578726515805256"</f>
        <v>1578726515805256</v>
      </c>
      <c r="C1915" t="s">
        <v>40</v>
      </c>
      <c r="D1915">
        <v>5.5062629999999997</v>
      </c>
      <c r="E1915">
        <v>0.480458</v>
      </c>
      <c r="F1915" t="s">
        <v>43</v>
      </c>
      <c r="G1915">
        <v>-254.84889999999999</v>
      </c>
      <c r="H1915" s="1">
        <v>-2.3549149999999999E-6</v>
      </c>
      <c r="I1915">
        <v>140.22799999999901</v>
      </c>
      <c r="J1915">
        <v>-228.5247</v>
      </c>
      <c r="K1915">
        <v>1.1071089999999999</v>
      </c>
      <c r="L1915">
        <v>140.67570000000001</v>
      </c>
      <c r="M1915">
        <v>-0.99983820000000001</v>
      </c>
      <c r="N1915">
        <v>0</v>
      </c>
      <c r="O1915">
        <v>-1.3491670000000001E-2</v>
      </c>
      <c r="P1915">
        <v>-0.986124</v>
      </c>
      <c r="Q1915">
        <v>0.16226879999999999</v>
      </c>
      <c r="R1915">
        <v>3.5050749999999999E-2</v>
      </c>
      <c r="S1915">
        <v>-3.0657960000000002</v>
      </c>
      <c r="T1915">
        <v>-0.1273724</v>
      </c>
      <c r="U1915">
        <v>-5.1773069999999997E-2</v>
      </c>
      <c r="V1915">
        <v>4.9628319999999997E-2</v>
      </c>
      <c r="W1915">
        <v>0.1736306</v>
      </c>
      <c r="X1915">
        <v>0.98355950000000003</v>
      </c>
      <c r="Y1915">
        <v>-3.401378E-3</v>
      </c>
      <c r="Z1915">
        <v>4.89636E-4</v>
      </c>
      <c r="AA1915">
        <v>0.9999941</v>
      </c>
      <c r="AB1915">
        <v>34</v>
      </c>
      <c r="AC1915">
        <v>-26.324199999999902</v>
      </c>
      <c r="AD1915">
        <v>-1.107111354915</v>
      </c>
      <c r="AE1915">
        <v>-0.44770000000002602</v>
      </c>
      <c r="AF1915">
        <v>-9.2313453548604096E-2</v>
      </c>
      <c r="AG1915">
        <v>-1.107111354915</v>
      </c>
      <c r="AH1915">
        <v>26.281372011542199</v>
      </c>
      <c r="AI1915">
        <v>92.412162345721001</v>
      </c>
      <c r="AJ1915">
        <v>90.201250890797994</v>
      </c>
      <c r="AK1915">
        <v>26.304842370464101</v>
      </c>
      <c r="AL1915">
        <v>80.001021880414399</v>
      </c>
      <c r="AM1915">
        <v>87.111426624461501</v>
      </c>
      <c r="AN1915">
        <v>0.99999992272131299</v>
      </c>
    </row>
    <row r="1916" spans="1:40" x14ac:dyDescent="0.3">
      <c r="A1916" t="str">
        <f>"20200111150835830"</f>
        <v>20200111150835830</v>
      </c>
      <c r="B1916" t="str">
        <f>"1578726515824776"</f>
        <v>1578726515824776</v>
      </c>
      <c r="C1916" t="s">
        <v>40</v>
      </c>
      <c r="D1916">
        <v>5.1712749999999996</v>
      </c>
      <c r="E1916">
        <v>0.48074230000000001</v>
      </c>
      <c r="F1916" t="s">
        <v>43</v>
      </c>
      <c r="G1916">
        <v>-252.8006</v>
      </c>
      <c r="H1916" s="1">
        <v>-3.2458479999999898E-6</v>
      </c>
      <c r="I1916">
        <v>140.274</v>
      </c>
      <c r="J1916">
        <v>-228.86539999999999</v>
      </c>
      <c r="K1916">
        <v>1.1071219999999999</v>
      </c>
      <c r="L1916">
        <v>140.67410000000001</v>
      </c>
      <c r="M1916">
        <v>-0.99987559999999998</v>
      </c>
      <c r="N1916">
        <v>0</v>
      </c>
      <c r="O1916">
        <v>-1.0348929999999999E-2</v>
      </c>
      <c r="P1916">
        <v>-0.98631380000000002</v>
      </c>
      <c r="Q1916">
        <v>0.16107360000000001</v>
      </c>
      <c r="R1916">
        <v>3.5219649999999998E-2</v>
      </c>
      <c r="S1916">
        <v>-3.0670470000000001</v>
      </c>
      <c r="T1916">
        <v>-0.13987439999999901</v>
      </c>
      <c r="U1916">
        <v>-5.0735469999999998E-2</v>
      </c>
      <c r="V1916">
        <v>4.6681250000000001E-2</v>
      </c>
      <c r="W1916">
        <v>0.17246400000000001</v>
      </c>
      <c r="X1916">
        <v>0.98390909999999998</v>
      </c>
      <c r="Y1916">
        <v>-6.1950470000000004E-3</v>
      </c>
      <c r="Z1916">
        <v>3.3052699999999903E-4</v>
      </c>
      <c r="AA1916">
        <v>0.99998069999999895</v>
      </c>
      <c r="AB1916">
        <v>34</v>
      </c>
      <c r="AC1916">
        <v>-23.935199999999998</v>
      </c>
      <c r="AD1916">
        <v>-1.1071252458480001</v>
      </c>
      <c r="AE1916">
        <v>-0.400100000000008</v>
      </c>
      <c r="AF1916">
        <v>-0.15203212473559</v>
      </c>
      <c r="AG1916">
        <v>-1.1071252458480001</v>
      </c>
      <c r="AH1916">
        <v>23.8869662273583</v>
      </c>
      <c r="AI1916">
        <v>92.653621119647994</v>
      </c>
      <c r="AJ1916">
        <v>90.364662527528097</v>
      </c>
      <c r="AK1916">
        <v>23.913092556670801</v>
      </c>
      <c r="AL1916">
        <v>80.068888206318604</v>
      </c>
      <c r="AM1916">
        <v>87.2836571535844</v>
      </c>
      <c r="AN1916">
        <v>1.0000000437301799</v>
      </c>
    </row>
    <row r="1917" spans="1:40" x14ac:dyDescent="0.3">
      <c r="A1917" t="str">
        <f>"20200111150835854"</f>
        <v>20200111150835854</v>
      </c>
      <c r="B1917" t="str">
        <f>"1578726515845272"</f>
        <v>1578726515845272</v>
      </c>
      <c r="C1917" t="s">
        <v>40</v>
      </c>
      <c r="D1917">
        <v>6.9238259999999903</v>
      </c>
      <c r="E1917">
        <v>0.48097600000000001</v>
      </c>
      <c r="F1917" t="s">
        <v>43</v>
      </c>
      <c r="G1917">
        <v>-251.9597</v>
      </c>
      <c r="H1917" s="1">
        <v>-3.6150889999999998E-6</v>
      </c>
      <c r="I1917">
        <v>140.30590000000001</v>
      </c>
      <c r="J1917">
        <v>-229.23089999999999</v>
      </c>
      <c r="K1917">
        <v>1.107146</v>
      </c>
      <c r="L1917">
        <v>140.67359999999999</v>
      </c>
      <c r="M1917">
        <v>-0.99990449999999997</v>
      </c>
      <c r="N1917">
        <v>0</v>
      </c>
      <c r="O1917">
        <v>-7.0349540000000004E-3</v>
      </c>
      <c r="P1917">
        <v>-0.9865505</v>
      </c>
      <c r="Q1917">
        <v>0.1595751</v>
      </c>
      <c r="R1917">
        <v>3.5411940000000003E-2</v>
      </c>
      <c r="S1917">
        <v>-3.067383</v>
      </c>
      <c r="T1917">
        <v>-0.14704919999999999</v>
      </c>
      <c r="U1917">
        <v>-4.8904419999999997E-2</v>
      </c>
      <c r="V1917">
        <v>4.3581019999999998E-2</v>
      </c>
      <c r="W1917">
        <v>0.1709965</v>
      </c>
      <c r="X1917">
        <v>0.9843073</v>
      </c>
      <c r="Y1917">
        <v>-8.9042469999999901E-3</v>
      </c>
      <c r="Z1917">
        <v>1.237581E-4</v>
      </c>
      <c r="AA1917">
        <v>0.99996039999999997</v>
      </c>
      <c r="AB1917">
        <v>34</v>
      </c>
      <c r="AC1917">
        <v>-22.7288</v>
      </c>
      <c r="AD1917">
        <v>-1.1071496150889999</v>
      </c>
      <c r="AE1917">
        <v>-0.36769999999998398</v>
      </c>
      <c r="AF1917">
        <v>-0.20729179186473301</v>
      </c>
      <c r="AG1917">
        <v>-1.1071496150889999</v>
      </c>
      <c r="AH1917">
        <v>22.6770306273567</v>
      </c>
      <c r="AI1917">
        <v>92.794987906953395</v>
      </c>
      <c r="AJ1917">
        <v>90.523728798792902</v>
      </c>
      <c r="AK1917">
        <v>22.704987739068301</v>
      </c>
      <c r="AL1917">
        <v>80.154237130688898</v>
      </c>
      <c r="AM1917">
        <v>87.464837698455099</v>
      </c>
      <c r="AN1917">
        <v>0.99999998457489003</v>
      </c>
    </row>
    <row r="1918" spans="1:40" x14ac:dyDescent="0.3">
      <c r="A1918" t="str">
        <f>"20200111150835876"</f>
        <v>20200111150835876</v>
      </c>
      <c r="B1918" t="str">
        <f>"1578726515864795"</f>
        <v>1578726515864795</v>
      </c>
      <c r="C1918" t="s">
        <v>40</v>
      </c>
      <c r="D1918">
        <v>5.6324680000000003</v>
      </c>
      <c r="E1918">
        <v>0.46240629999999999</v>
      </c>
      <c r="F1918" t="s">
        <v>43</v>
      </c>
      <c r="G1918">
        <v>-251.0968</v>
      </c>
      <c r="H1918" s="1">
        <v>-3.9936360000000003E-6</v>
      </c>
      <c r="I1918">
        <v>140.3374</v>
      </c>
      <c r="J1918">
        <v>-229.5753</v>
      </c>
      <c r="K1918">
        <v>1.107175</v>
      </c>
      <c r="L1918">
        <v>140.67410000000001</v>
      </c>
      <c r="M1918">
        <v>-0.99992139999999996</v>
      </c>
      <c r="N1918">
        <v>0</v>
      </c>
      <c r="O1918">
        <v>-3.9764910000000004E-3</v>
      </c>
      <c r="P1918">
        <v>-0.98692199999999997</v>
      </c>
      <c r="Q1918">
        <v>0.1573155</v>
      </c>
      <c r="R1918">
        <v>3.5171130000000002E-2</v>
      </c>
      <c r="S1918">
        <v>-3.0677490000000001</v>
      </c>
      <c r="T1918">
        <v>-0.15533129999999901</v>
      </c>
      <c r="U1918">
        <v>-4.7149660000000003E-2</v>
      </c>
      <c r="V1918">
        <v>4.0290090000000001E-2</v>
      </c>
      <c r="W1918">
        <v>0.16877059999999999</v>
      </c>
      <c r="X1918">
        <v>0.98483160000000003</v>
      </c>
      <c r="Y1918">
        <v>-1.138174E-2</v>
      </c>
      <c r="Z1918" s="1">
        <v>-8.6732239999999999E-5</v>
      </c>
      <c r="AA1918">
        <v>0.99993520000000002</v>
      </c>
      <c r="AB1918">
        <v>34</v>
      </c>
      <c r="AC1918">
        <v>-21.5215</v>
      </c>
      <c r="AD1918">
        <v>-1.1071789936359999</v>
      </c>
      <c r="AE1918">
        <v>-0.33670000000000699</v>
      </c>
      <c r="AF1918">
        <v>-0.25044855771941099</v>
      </c>
      <c r="AG1918">
        <v>-1.1071789936359999</v>
      </c>
      <c r="AH1918">
        <v>21.465870828651699</v>
      </c>
      <c r="AI1918">
        <v>92.952417503458193</v>
      </c>
      <c r="AJ1918">
        <v>90.668456192240598</v>
      </c>
      <c r="AK1918">
        <v>21.4958642588842</v>
      </c>
      <c r="AL1918">
        <v>80.283653587153694</v>
      </c>
      <c r="AM1918">
        <v>87.6572994463085</v>
      </c>
      <c r="AN1918">
        <v>1.00000004356756</v>
      </c>
    </row>
    <row r="1919" spans="1:40" x14ac:dyDescent="0.3">
      <c r="A1919" t="str">
        <f>"20200111150835898"</f>
        <v>20200111150835898</v>
      </c>
      <c r="B1919" t="str">
        <f>"1578726515895048"</f>
        <v>1578726515895048</v>
      </c>
      <c r="C1919" t="s">
        <v>40</v>
      </c>
      <c r="D1919">
        <v>5.5041010000000004</v>
      </c>
      <c r="E1919">
        <v>0.49643949999999998</v>
      </c>
      <c r="F1919" t="s">
        <v>49</v>
      </c>
      <c r="G1919">
        <v>0</v>
      </c>
      <c r="H1919">
        <v>0</v>
      </c>
      <c r="I1919">
        <v>0</v>
      </c>
      <c r="J1919">
        <v>-229.9169</v>
      </c>
      <c r="K1919">
        <v>1.1072200000000001</v>
      </c>
      <c r="L1919">
        <v>140.6756</v>
      </c>
      <c r="M1919">
        <v>-0.9999287</v>
      </c>
      <c r="N1919">
        <v>0</v>
      </c>
      <c r="O1919">
        <v>-1.0187110000000001E-3</v>
      </c>
      <c r="P1919">
        <v>-0.9873866</v>
      </c>
      <c r="Q1919">
        <v>0.1544035</v>
      </c>
      <c r="R1919">
        <v>3.5035990000000003E-2</v>
      </c>
      <c r="S1919">
        <v>-2.9069820000000002</v>
      </c>
      <c r="T1919">
        <v>0.8759458</v>
      </c>
      <c r="U1919">
        <v>-0.19297790000000001</v>
      </c>
      <c r="V1919">
        <v>3.7193339999999998E-2</v>
      </c>
      <c r="W1919">
        <v>0.16589110000000001</v>
      </c>
      <c r="X1919">
        <v>0.9854425</v>
      </c>
      <c r="Y1919">
        <v>-6.2503030000000001E-2</v>
      </c>
      <c r="Z1919">
        <v>8.9027959999999993E-3</v>
      </c>
      <c r="AA1919">
        <v>0.99800509999999998</v>
      </c>
      <c r="AB1919">
        <v>34</v>
      </c>
      <c r="AC1919">
        <v>-2.9069820000000002</v>
      </c>
      <c r="AD1919">
        <v>0.8759458</v>
      </c>
      <c r="AE1919">
        <v>-0.19297790000000001</v>
      </c>
      <c r="AF1919">
        <v>-0.17426313055442899</v>
      </c>
      <c r="AG1919">
        <v>0.8759458</v>
      </c>
      <c r="AH1919">
        <v>2.6661607781509802</v>
      </c>
      <c r="AI1919">
        <v>71.848659240326199</v>
      </c>
      <c r="AJ1919">
        <v>93.739594438829101</v>
      </c>
      <c r="AK1919">
        <v>2.81177203524022</v>
      </c>
      <c r="AL1919">
        <v>80.450996408124198</v>
      </c>
      <c r="AM1919">
        <v>87.838523932574006</v>
      </c>
      <c r="AN1919">
        <v>1.0000000612029001</v>
      </c>
    </row>
    <row r="1920" spans="1:40" x14ac:dyDescent="0.3">
      <c r="A1920" t="str">
        <f>"20200111150835919"</f>
        <v>20200111150835919</v>
      </c>
      <c r="B1920" t="str">
        <f>"1578726515915543"</f>
        <v>1578726515915543</v>
      </c>
      <c r="C1920" t="s">
        <v>40</v>
      </c>
      <c r="D1920">
        <v>8.2955670000000001</v>
      </c>
      <c r="E1920">
        <v>0.46838469999999999</v>
      </c>
      <c r="F1920" t="s">
        <v>86</v>
      </c>
      <c r="G1920">
        <v>-304.45280000000002</v>
      </c>
      <c r="H1920" s="1">
        <v>-9.5587959999999997E-6</v>
      </c>
      <c r="I1920">
        <v>142.51689999999999</v>
      </c>
      <c r="J1920">
        <v>-230.24209999999999</v>
      </c>
      <c r="K1920">
        <v>1.1072759999999999</v>
      </c>
      <c r="L1920">
        <v>140.67789999999999</v>
      </c>
      <c r="M1920">
        <v>-0.99992780000000003</v>
      </c>
      <c r="N1920">
        <v>0</v>
      </c>
      <c r="O1920">
        <v>1.712631E-3</v>
      </c>
      <c r="P1920">
        <v>-0.98762419999999995</v>
      </c>
      <c r="Q1920">
        <v>0.15276099999999901</v>
      </c>
      <c r="R1920">
        <v>3.5537550000000001E-2</v>
      </c>
      <c r="S1920">
        <v>-3.0427249999999999</v>
      </c>
      <c r="T1920">
        <v>-4.5199629999999998E-2</v>
      </c>
      <c r="U1920">
        <v>7.5164789999999995E-2</v>
      </c>
      <c r="V1920">
        <v>3.4960400000000003E-2</v>
      </c>
      <c r="W1920">
        <v>0.1642728</v>
      </c>
      <c r="X1920">
        <v>0.98579519999999998</v>
      </c>
      <c r="Y1920">
        <v>2.2980980000000002E-2</v>
      </c>
      <c r="Z1920">
        <v>1.452181E-4</v>
      </c>
      <c r="AA1920">
        <v>0.99973590000000001</v>
      </c>
      <c r="AB1920">
        <v>34</v>
      </c>
      <c r="AC1920">
        <v>-74.210700000000003</v>
      </c>
      <c r="AD1920">
        <v>-1.107285558796</v>
      </c>
      <c r="AE1920">
        <v>1.83899999999999</v>
      </c>
      <c r="AF1920">
        <v>1.7115119644643699</v>
      </c>
      <c r="AG1920">
        <v>-1.107285558796</v>
      </c>
      <c r="AH1920">
        <v>74.1972324134465</v>
      </c>
      <c r="AI1920">
        <v>90.854765196100999</v>
      </c>
      <c r="AJ1920">
        <v>88.678589189107001</v>
      </c>
      <c r="AK1920">
        <v>74.225229217080994</v>
      </c>
      <c r="AL1920">
        <v>80.545007245841404</v>
      </c>
      <c r="AM1920">
        <v>87.968904454587204</v>
      </c>
      <c r="AN1920">
        <v>0.99999997936551899</v>
      </c>
    </row>
    <row r="1921" spans="1:40" x14ac:dyDescent="0.3">
      <c r="A1921" t="str">
        <f>"20200111150835942"</f>
        <v>20200111150835942</v>
      </c>
      <c r="B1921" t="str">
        <f>"1578726515935065"</f>
        <v>1578726515935065</v>
      </c>
      <c r="C1921" t="s">
        <v>40</v>
      </c>
      <c r="D1921">
        <v>6.8661560000000001</v>
      </c>
      <c r="E1921">
        <v>0.55598879999999995</v>
      </c>
      <c r="F1921" t="s">
        <v>49</v>
      </c>
      <c r="G1921">
        <v>0</v>
      </c>
      <c r="H1921">
        <v>0</v>
      </c>
      <c r="I1921">
        <v>0</v>
      </c>
      <c r="J1921">
        <v>-230.59649999999999</v>
      </c>
      <c r="K1921">
        <v>1.1073500000000001</v>
      </c>
      <c r="L1921">
        <v>140.6814</v>
      </c>
      <c r="M1921">
        <v>-0.9999188</v>
      </c>
      <c r="N1921">
        <v>0</v>
      </c>
      <c r="O1921">
        <v>4.57837E-3</v>
      </c>
      <c r="P1921">
        <v>-0.98774740000000005</v>
      </c>
      <c r="Q1921">
        <v>0.151447</v>
      </c>
      <c r="R1921">
        <v>3.7669059999999997E-2</v>
      </c>
      <c r="S1921">
        <v>-2.8706360000000002</v>
      </c>
      <c r="T1921">
        <v>1.112449</v>
      </c>
      <c r="U1921">
        <v>-0.14212040000000001</v>
      </c>
      <c r="V1921">
        <v>3.4218810000000002E-2</v>
      </c>
      <c r="W1921">
        <v>0.16297120000000001</v>
      </c>
      <c r="X1921">
        <v>0.98603730000000001</v>
      </c>
      <c r="Y1921">
        <v>-5.006948E-2</v>
      </c>
      <c r="Z1921">
        <v>1.1068690000000001E-2</v>
      </c>
      <c r="AA1921">
        <v>0.99868440000000003</v>
      </c>
      <c r="AB1921">
        <v>34</v>
      </c>
      <c r="AC1921">
        <v>-2.8706360000000002</v>
      </c>
      <c r="AD1921">
        <v>1.112449</v>
      </c>
      <c r="AE1921">
        <v>-0.14212040000000001</v>
      </c>
      <c r="AF1921">
        <v>-0.13503333125963299</v>
      </c>
      <c r="AG1921">
        <v>1.112449</v>
      </c>
      <c r="AH1921">
        <v>2.4960256076568301</v>
      </c>
      <c r="AI1921">
        <v>66.009149376749704</v>
      </c>
      <c r="AJ1921">
        <v>93.096645032768805</v>
      </c>
      <c r="AK1921">
        <v>2.7360410472488699</v>
      </c>
      <c r="AL1921">
        <v>80.620602874785405</v>
      </c>
      <c r="AM1921">
        <v>88.012441417400197</v>
      </c>
      <c r="AN1921">
        <v>1.0000000479892699</v>
      </c>
    </row>
    <row r="1922" spans="1:40" x14ac:dyDescent="0.3">
      <c r="A1922" t="str">
        <f>"20200111150836735"</f>
        <v>20200111150836735</v>
      </c>
      <c r="B1922" t="str">
        <f>"1578726516724805"</f>
        <v>1578726516724805</v>
      </c>
      <c r="C1922" t="s">
        <v>40</v>
      </c>
      <c r="D1922">
        <v>5.5443670000000003</v>
      </c>
      <c r="E1922">
        <v>0.55598879999999995</v>
      </c>
      <c r="F1922" t="s">
        <v>83</v>
      </c>
      <c r="G1922">
        <v>-511.95249999999999</v>
      </c>
      <c r="H1922">
        <v>82.222219999999993</v>
      </c>
      <c r="I1922">
        <v>195.38849999999999</v>
      </c>
      <c r="J1922">
        <v>-242.858</v>
      </c>
      <c r="K1922">
        <v>1.109178</v>
      </c>
      <c r="L1922">
        <v>141.25049999999999</v>
      </c>
      <c r="M1922">
        <v>-0.99749569999999999</v>
      </c>
      <c r="N1922">
        <v>0</v>
      </c>
      <c r="O1922">
        <v>6.9725339999999997E-2</v>
      </c>
      <c r="P1922">
        <v>-0.98680659999999998</v>
      </c>
      <c r="Q1922">
        <v>0.14948979999999901</v>
      </c>
      <c r="R1922">
        <v>6.2174989999999999E-2</v>
      </c>
      <c r="S1922">
        <v>-2.8881230000000002</v>
      </c>
      <c r="T1922">
        <v>0.83264519999999997</v>
      </c>
      <c r="U1922">
        <v>0.56156919999999899</v>
      </c>
      <c r="V1922">
        <v>-6.4366340000000001E-3</v>
      </c>
      <c r="W1922">
        <v>0.16122690000000001</v>
      </c>
      <c r="X1922">
        <v>0.98689640000000001</v>
      </c>
      <c r="Y1922">
        <v>0.119983199999999</v>
      </c>
      <c r="Z1922">
        <v>2.683375E-3</v>
      </c>
      <c r="AA1922">
        <v>0.99277230000000005</v>
      </c>
      <c r="AB1922">
        <v>35</v>
      </c>
      <c r="AC1922">
        <v>-269.09449999999998</v>
      </c>
      <c r="AD1922">
        <v>81.113041999999993</v>
      </c>
      <c r="AE1922">
        <v>54.137999999999998</v>
      </c>
      <c r="AF1922">
        <v>32.411825773520697</v>
      </c>
      <c r="AG1922">
        <v>81.113041999999993</v>
      </c>
      <c r="AH1922">
        <v>250.35246059979701</v>
      </c>
      <c r="AI1922">
        <v>72.187072219404698</v>
      </c>
      <c r="AJ1922">
        <v>82.623246243076693</v>
      </c>
      <c r="AK1922">
        <v>265.15317565671302</v>
      </c>
      <c r="AL1922">
        <v>80.721883173378401</v>
      </c>
      <c r="AM1922">
        <v>90.373683330297496</v>
      </c>
      <c r="AN1922">
        <v>1.0000000239369</v>
      </c>
    </row>
    <row r="1923" spans="1:40" x14ac:dyDescent="0.3">
      <c r="A1923" t="str">
        <f>"20200111150836757"</f>
        <v>20200111150836757</v>
      </c>
      <c r="B1923" t="str">
        <f>"1578726516755059"</f>
        <v>1578726516755059</v>
      </c>
      <c r="C1923" t="s">
        <v>40</v>
      </c>
      <c r="D1923">
        <v>5.5653790000000001</v>
      </c>
      <c r="E1923">
        <v>0.44804179999999999</v>
      </c>
      <c r="F1923" t="s">
        <v>83</v>
      </c>
      <c r="G1923">
        <v>-511.9513</v>
      </c>
      <c r="H1923">
        <v>78.66695</v>
      </c>
      <c r="I1923">
        <v>200.38149999999999</v>
      </c>
      <c r="J1923">
        <v>-243.20140000000001</v>
      </c>
      <c r="K1923">
        <v>1.109267</v>
      </c>
      <c r="L1923">
        <v>141.27529999999999</v>
      </c>
      <c r="M1923">
        <v>-0.99744580000000005</v>
      </c>
      <c r="N1923">
        <v>0</v>
      </c>
      <c r="O1923">
        <v>7.0434780000000002E-2</v>
      </c>
      <c r="P1923">
        <v>-0.98649500000000001</v>
      </c>
      <c r="Q1923">
        <v>0.15138409999999999</v>
      </c>
      <c r="R1923">
        <v>6.2531409999999996E-2</v>
      </c>
      <c r="S1923">
        <v>-2.8748019999999999</v>
      </c>
      <c r="T1923">
        <v>0.82857219999999998</v>
      </c>
      <c r="U1923">
        <v>0.63171390000000005</v>
      </c>
      <c r="V1923">
        <v>-6.7912019999999997E-3</v>
      </c>
      <c r="W1923">
        <v>0.16311610000000001</v>
      </c>
      <c r="X1923">
        <v>0.98658349999999995</v>
      </c>
      <c r="Y1923">
        <v>0.1424967</v>
      </c>
      <c r="Z1923">
        <v>-2.7508470000000001E-4</v>
      </c>
      <c r="AA1923">
        <v>0.98979530000000004</v>
      </c>
      <c r="AB1923">
        <v>35</v>
      </c>
      <c r="AC1923">
        <v>-268.74990000000003</v>
      </c>
      <c r="AD1923">
        <v>77.557682999999997</v>
      </c>
      <c r="AE1923">
        <v>59.106200000000001</v>
      </c>
      <c r="AF1923">
        <v>37.082850946129199</v>
      </c>
      <c r="AG1923">
        <v>77.557682999999997</v>
      </c>
      <c r="AH1923">
        <v>252.21020413266999</v>
      </c>
      <c r="AI1923">
        <v>73.078084960089598</v>
      </c>
      <c r="AJ1923">
        <v>81.635644860397605</v>
      </c>
      <c r="AK1923">
        <v>266.45885066040501</v>
      </c>
      <c r="AL1923">
        <v>80.612187591915003</v>
      </c>
      <c r="AM1923">
        <v>90.394392432939895</v>
      </c>
      <c r="AN1923">
        <v>0.99999999248803195</v>
      </c>
    </row>
    <row r="1924" spans="1:40" x14ac:dyDescent="0.3">
      <c r="A1924" t="str">
        <f>"20200111150836780"</f>
        <v>20200111150836780</v>
      </c>
      <c r="B1924" t="str">
        <f>"1578726516775555"</f>
        <v>1578726516775555</v>
      </c>
      <c r="C1924" t="s">
        <v>40</v>
      </c>
      <c r="D1924">
        <v>5.6375799999999998</v>
      </c>
      <c r="E1924">
        <v>0.44658019999999998</v>
      </c>
      <c r="F1924" t="s">
        <v>43</v>
      </c>
      <c r="G1924">
        <v>-258.22269999999997</v>
      </c>
      <c r="H1924" s="1">
        <v>-8.9621840000000003E-7</v>
      </c>
      <c r="I1924">
        <v>140.18530000000001</v>
      </c>
      <c r="J1924">
        <v>-243.53809999999999</v>
      </c>
      <c r="K1924">
        <v>1.1093710000000001</v>
      </c>
      <c r="L1924">
        <v>141.2997</v>
      </c>
      <c r="M1924">
        <v>-0.99740469999999903</v>
      </c>
      <c r="N1924">
        <v>0</v>
      </c>
      <c r="O1924">
        <v>7.1015250000000002E-2</v>
      </c>
      <c r="P1924">
        <v>-0.98621080000000005</v>
      </c>
      <c r="Q1924">
        <v>0.15332409999999999</v>
      </c>
      <c r="R1924">
        <v>6.2289740000000003E-2</v>
      </c>
      <c r="S1924">
        <v>-3.0903170000000002</v>
      </c>
      <c r="T1924">
        <v>-0.22821</v>
      </c>
      <c r="U1924">
        <v>-0.22421260000000001</v>
      </c>
      <c r="V1924">
        <v>-7.6199789999999998E-3</v>
      </c>
      <c r="W1924">
        <v>0.1650517</v>
      </c>
      <c r="X1924">
        <v>0.98625549999999995</v>
      </c>
      <c r="Y1924">
        <v>-0.1424357</v>
      </c>
      <c r="Z1924">
        <v>-1.047589E-2</v>
      </c>
      <c r="AA1924">
        <v>0.98974859999999998</v>
      </c>
      <c r="AB1924">
        <v>35</v>
      </c>
      <c r="AC1924">
        <v>-14.6845999999999</v>
      </c>
      <c r="AD1924">
        <v>-1.1093718962183901</v>
      </c>
      <c r="AE1924">
        <v>-1.1143999999999801</v>
      </c>
      <c r="AF1924">
        <v>-2.14233300391271</v>
      </c>
      <c r="AG1924">
        <v>-1.1093718962183901</v>
      </c>
      <c r="AH1924">
        <v>14.486171189832501</v>
      </c>
      <c r="AI1924">
        <v>94.332308626788702</v>
      </c>
      <c r="AJ1924">
        <v>98.412391398231193</v>
      </c>
      <c r="AK1924">
        <v>14.6856886949474</v>
      </c>
      <c r="AL1924">
        <v>80.499762348328403</v>
      </c>
      <c r="AM1924">
        <v>90.442668202823</v>
      </c>
      <c r="AN1924">
        <v>1.0000000195165499</v>
      </c>
    </row>
    <row r="1925" spans="1:40" x14ac:dyDescent="0.3">
      <c r="A1925" t="str">
        <f>"20200111150836802"</f>
        <v>20200111150836802</v>
      </c>
      <c r="B1925" t="str">
        <f>"1578726516795075"</f>
        <v>1578726516795075</v>
      </c>
      <c r="C1925" t="s">
        <v>40</v>
      </c>
      <c r="D1925">
        <v>5.5384640000000003</v>
      </c>
      <c r="E1925">
        <v>0.44624249999999999</v>
      </c>
      <c r="F1925" t="s">
        <v>43</v>
      </c>
      <c r="G1925">
        <v>-259.30489999999998</v>
      </c>
      <c r="H1925" s="1">
        <v>-4.0783579999999999E-7</v>
      </c>
      <c r="I1925">
        <v>140.09479999999999</v>
      </c>
      <c r="J1925">
        <v>-243.8879</v>
      </c>
      <c r="K1925">
        <v>1.1094980000000001</v>
      </c>
      <c r="L1925">
        <v>141.32509999999999</v>
      </c>
      <c r="M1925">
        <v>-0.99737169999999997</v>
      </c>
      <c r="N1925">
        <v>0</v>
      </c>
      <c r="O1925">
        <v>7.1478139999999996E-2</v>
      </c>
      <c r="P1925">
        <v>-0.98609749999999996</v>
      </c>
      <c r="Q1925">
        <v>0.15435219999999999</v>
      </c>
      <c r="R1925">
        <v>6.1541270000000002E-2</v>
      </c>
      <c r="S1925">
        <v>-3.0906829999999998</v>
      </c>
      <c r="T1925">
        <v>-0.2174653</v>
      </c>
      <c r="U1925">
        <v>-0.23617550000000001</v>
      </c>
      <c r="V1925">
        <v>-8.8604449999999998E-3</v>
      </c>
      <c r="W1925">
        <v>0.1660769</v>
      </c>
      <c r="X1925">
        <v>0.98607299999999998</v>
      </c>
      <c r="Y1925">
        <v>-0.1467368</v>
      </c>
      <c r="Z1925">
        <v>-1.016484E-2</v>
      </c>
      <c r="AA1925">
        <v>0.98912330000000004</v>
      </c>
      <c r="AB1925">
        <v>35</v>
      </c>
      <c r="AC1925">
        <v>-15.4169999999999</v>
      </c>
      <c r="AD1925">
        <v>-1.1094984078357999</v>
      </c>
      <c r="AE1925">
        <v>-1.23029999999999</v>
      </c>
      <c r="AF1925">
        <v>-2.3172831206490798</v>
      </c>
      <c r="AG1925">
        <v>-1.1094984078357999</v>
      </c>
      <c r="AH1925">
        <v>15.2113322286322</v>
      </c>
      <c r="AI1925">
        <v>94.124290579717098</v>
      </c>
      <c r="AJ1925">
        <v>98.661800923412201</v>
      </c>
      <c r="AK1925">
        <v>15.426775941461701</v>
      </c>
      <c r="AL1925">
        <v>80.440200541410505</v>
      </c>
      <c r="AM1925">
        <v>90.5148223718232</v>
      </c>
      <c r="AN1925">
        <v>1.0000000027641001</v>
      </c>
    </row>
    <row r="1926" spans="1:40" x14ac:dyDescent="0.3">
      <c r="A1926" t="str">
        <f>"20200111150836825"</f>
        <v>20200111150836825</v>
      </c>
      <c r="B1926" t="str">
        <f>"1578726516815570"</f>
        <v>1578726516815570</v>
      </c>
      <c r="C1926" t="s">
        <v>40</v>
      </c>
      <c r="D1926">
        <v>5.5981370000000004</v>
      </c>
      <c r="E1926">
        <v>0.44622139999999999</v>
      </c>
      <c r="F1926" t="s">
        <v>43</v>
      </c>
      <c r="G1926">
        <v>-260.25380000000001</v>
      </c>
      <c r="H1926" s="1">
        <v>-4.2661690000000001E-6</v>
      </c>
      <c r="I1926">
        <v>140.04750000000001</v>
      </c>
      <c r="J1926">
        <v>-244.24619999999999</v>
      </c>
      <c r="K1926">
        <v>1.1096220000000001</v>
      </c>
      <c r="L1926">
        <v>141.35120000000001</v>
      </c>
      <c r="M1926">
        <v>-0.9973474</v>
      </c>
      <c r="N1926">
        <v>0</v>
      </c>
      <c r="O1926">
        <v>7.1815390000000007E-2</v>
      </c>
      <c r="P1926">
        <v>-0.98611490000000002</v>
      </c>
      <c r="Q1926">
        <v>0.1546091</v>
      </c>
      <c r="R1926">
        <v>6.0607399999999999E-2</v>
      </c>
      <c r="S1926">
        <v>-3.0901489999999998</v>
      </c>
      <c r="T1926">
        <v>-0.20949329999999999</v>
      </c>
      <c r="U1926">
        <v>-0.2412262</v>
      </c>
      <c r="V1926">
        <v>-1.0177479999999999E-2</v>
      </c>
      <c r="W1926">
        <v>0.16633120000000001</v>
      </c>
      <c r="X1926">
        <v>0.98601740000000004</v>
      </c>
      <c r="Y1926">
        <v>-0.1487242</v>
      </c>
      <c r="Z1926">
        <v>-9.8841980000000003E-3</v>
      </c>
      <c r="AA1926">
        <v>0.98882930000000002</v>
      </c>
      <c r="AB1926">
        <v>35</v>
      </c>
      <c r="AC1926">
        <v>-16.0076</v>
      </c>
      <c r="AD1926">
        <v>-1.109626266169</v>
      </c>
      <c r="AE1926">
        <v>-1.3036999999999901</v>
      </c>
      <c r="AF1926">
        <v>-2.4383668671215801</v>
      </c>
      <c r="AG1926">
        <v>-1.109626266169</v>
      </c>
      <c r="AH1926">
        <v>15.7972224817564</v>
      </c>
      <c r="AI1926">
        <v>93.971088208096106</v>
      </c>
      <c r="AJ1926">
        <v>98.774593219185206</v>
      </c>
      <c r="AK1926">
        <v>16.022769472452602</v>
      </c>
      <c r="AL1926">
        <v>80.425424504413996</v>
      </c>
      <c r="AM1926">
        <v>90.591374901391205</v>
      </c>
      <c r="AN1926">
        <v>0.99999998114767497</v>
      </c>
    </row>
    <row r="1927" spans="1:40" x14ac:dyDescent="0.3">
      <c r="A1927" t="str">
        <f>"20200111150836848"</f>
        <v>20200111150836848</v>
      </c>
      <c r="B1927" t="str">
        <f>"1578726516844852"</f>
        <v>1578726516844852</v>
      </c>
      <c r="C1927" t="s">
        <v>40</v>
      </c>
      <c r="D1927">
        <v>5.6102369999999997</v>
      </c>
      <c r="E1927">
        <v>0.44664490000000001</v>
      </c>
      <c r="F1927" t="s">
        <v>43</v>
      </c>
      <c r="G1927">
        <v>-261.40089999999998</v>
      </c>
      <c r="H1927" s="1">
        <v>-3.7717499999999999E-6</v>
      </c>
      <c r="I1927">
        <v>139.99369999999999</v>
      </c>
      <c r="J1927">
        <v>-244.6001</v>
      </c>
      <c r="K1927">
        <v>1.1097360000000001</v>
      </c>
      <c r="L1927">
        <v>141.37700000000001</v>
      </c>
      <c r="M1927">
        <v>-0.99733150000000004</v>
      </c>
      <c r="N1927">
        <v>0</v>
      </c>
      <c r="O1927">
        <v>7.2036210000000003E-2</v>
      </c>
      <c r="P1927">
        <v>-0.98609460000000004</v>
      </c>
      <c r="Q1927">
        <v>0.15524499999999999</v>
      </c>
      <c r="R1927">
        <v>5.930146E-2</v>
      </c>
      <c r="S1927">
        <v>-3.0886079999999998</v>
      </c>
      <c r="T1927">
        <v>-0.19978319999999999</v>
      </c>
      <c r="U1927">
        <v>-0.24440000000000001</v>
      </c>
      <c r="V1927">
        <v>-1.174233E-2</v>
      </c>
      <c r="W1927">
        <v>0.1669641</v>
      </c>
      <c r="X1927">
        <v>0.98589309999999997</v>
      </c>
      <c r="Y1927">
        <v>-0.1500331</v>
      </c>
      <c r="Z1927">
        <v>-9.4878429999999993E-3</v>
      </c>
      <c r="AA1927">
        <v>0.9886355</v>
      </c>
      <c r="AB1927">
        <v>35</v>
      </c>
      <c r="AC1927">
        <v>-16.800799999999899</v>
      </c>
      <c r="AD1927">
        <v>-1.1097397717499999</v>
      </c>
      <c r="AE1927">
        <v>-1.38330000000001</v>
      </c>
      <c r="AF1927">
        <v>-2.57888096856062</v>
      </c>
      <c r="AG1927">
        <v>-1.1097397717499999</v>
      </c>
      <c r="AH1927">
        <v>16.585615650215601</v>
      </c>
      <c r="AI1927">
        <v>93.782623418103995</v>
      </c>
      <c r="AJ1927">
        <v>98.838091859882994</v>
      </c>
      <c r="AK1927">
        <v>16.821557475682301</v>
      </c>
      <c r="AL1927">
        <v>80.388648393214098</v>
      </c>
      <c r="AM1927">
        <v>90.682380412604104</v>
      </c>
      <c r="AN1927">
        <v>1.0000000488151199</v>
      </c>
    </row>
    <row r="1928" spans="1:40" x14ac:dyDescent="0.3">
      <c r="A1928" t="str">
        <f>"20200111150836869"</f>
        <v>20200111150836869</v>
      </c>
      <c r="B1928" t="str">
        <f>"1578726516865346"</f>
        <v>1578726516865346</v>
      </c>
      <c r="C1928" t="s">
        <v>40</v>
      </c>
      <c r="D1928">
        <v>5.6577650000000004</v>
      </c>
      <c r="E1928">
        <v>0.4460673</v>
      </c>
      <c r="F1928" t="s">
        <v>43</v>
      </c>
      <c r="G1928">
        <v>-262.33769999999998</v>
      </c>
      <c r="H1928" s="1">
        <v>-3.3643659999999998E-6</v>
      </c>
      <c r="I1928">
        <v>139.97309999999999</v>
      </c>
      <c r="J1928">
        <v>-244.93029999999999</v>
      </c>
      <c r="K1928">
        <v>1.109834</v>
      </c>
      <c r="L1928">
        <v>141.40100000000001</v>
      </c>
      <c r="M1928">
        <v>-0.99732330000000002</v>
      </c>
      <c r="N1928">
        <v>0</v>
      </c>
      <c r="O1928">
        <v>7.2150779999999998E-2</v>
      </c>
      <c r="P1928">
        <v>-0.98602719999999999</v>
      </c>
      <c r="Q1928">
        <v>0.15601219999999999</v>
      </c>
      <c r="R1928">
        <v>5.8400840000000002E-2</v>
      </c>
      <c r="S1928">
        <v>-3.087402</v>
      </c>
      <c r="T1928">
        <v>-0.1931611</v>
      </c>
      <c r="U1928">
        <v>-0.244339</v>
      </c>
      <c r="V1928">
        <v>-1.2785700000000001E-2</v>
      </c>
      <c r="W1928">
        <v>0.16772799999999999</v>
      </c>
      <c r="X1928">
        <v>0.98575040000000003</v>
      </c>
      <c r="Y1928">
        <v>-0.15018679999999901</v>
      </c>
      <c r="Z1928">
        <v>-9.1894899999999998E-3</v>
      </c>
      <c r="AA1928">
        <v>0.98861489999999996</v>
      </c>
      <c r="AB1928">
        <v>35</v>
      </c>
      <c r="AC1928">
        <v>-17.4073999999999</v>
      </c>
      <c r="AD1928">
        <v>-1.109837364366</v>
      </c>
      <c r="AE1928">
        <v>-1.4279000000000199</v>
      </c>
      <c r="AF1928">
        <v>-2.6694451926388401</v>
      </c>
      <c r="AG1928">
        <v>-1.109837364366</v>
      </c>
      <c r="AH1928">
        <v>17.1895869057002</v>
      </c>
      <c r="AI1928">
        <v>93.650511103522206</v>
      </c>
      <c r="AJ1928">
        <v>98.827199855067903</v>
      </c>
      <c r="AK1928">
        <v>17.430994653216501</v>
      </c>
      <c r="AL1928">
        <v>80.344253669096204</v>
      </c>
      <c r="AM1928">
        <v>90.743114657898005</v>
      </c>
      <c r="AN1928">
        <v>1.00000000360432</v>
      </c>
    </row>
    <row r="1929" spans="1:40" x14ac:dyDescent="0.3">
      <c r="A1929" t="str">
        <f>"20200111150836890"</f>
        <v>20200111150836890</v>
      </c>
      <c r="B1929" t="str">
        <f>"1578726516884866"</f>
        <v>1578726516884866</v>
      </c>
      <c r="C1929" t="s">
        <v>40</v>
      </c>
      <c r="D1929">
        <v>5.6206370000000003</v>
      </c>
      <c r="E1929">
        <v>0.4457006</v>
      </c>
      <c r="F1929" t="s">
        <v>43</v>
      </c>
      <c r="G1929">
        <v>-263.05919999999998</v>
      </c>
      <c r="H1929" s="1">
        <v>-3.0429589999999998E-6</v>
      </c>
      <c r="I1929">
        <v>139.92830000000001</v>
      </c>
      <c r="J1929">
        <v>-245.25980000000001</v>
      </c>
      <c r="K1929">
        <v>1.109918</v>
      </c>
      <c r="L1929">
        <v>141.42490000000001</v>
      </c>
      <c r="M1929">
        <v>-0.99732120000000002</v>
      </c>
      <c r="N1929">
        <v>0</v>
      </c>
      <c r="O1929">
        <v>7.2178709999999993E-2</v>
      </c>
      <c r="P1929">
        <v>-0.98597840000000003</v>
      </c>
      <c r="Q1929">
        <v>0.15682689999999999</v>
      </c>
      <c r="R1929">
        <v>5.7028460000000003E-2</v>
      </c>
      <c r="S1929">
        <v>-3.0872649999999999</v>
      </c>
      <c r="T1929">
        <v>-0.189001</v>
      </c>
      <c r="U1929">
        <v>-0.25077820000000001</v>
      </c>
      <c r="V1929">
        <v>-1.421121E-2</v>
      </c>
      <c r="W1929">
        <v>0.16853879999999999</v>
      </c>
      <c r="X1929">
        <v>0.98559249999999998</v>
      </c>
      <c r="Y1929">
        <v>-0.1522809</v>
      </c>
      <c r="Z1929">
        <v>-9.0573230000000008E-3</v>
      </c>
      <c r="AA1929">
        <v>0.9882957</v>
      </c>
      <c r="AB1929">
        <v>35</v>
      </c>
      <c r="AC1929">
        <v>-17.799399999999899</v>
      </c>
      <c r="AD1929">
        <v>-1.1099210429590001</v>
      </c>
      <c r="AE1929">
        <v>-1.4965999999999999</v>
      </c>
      <c r="AF1929">
        <v>-2.7668408660486801</v>
      </c>
      <c r="AG1929">
        <v>-1.1099210429590001</v>
      </c>
      <c r="AH1929">
        <v>17.577070029898401</v>
      </c>
      <c r="AI1929">
        <v>93.569364458827494</v>
      </c>
      <c r="AJ1929">
        <v>98.945635803485004</v>
      </c>
      <c r="AK1929">
        <v>17.828088061696199</v>
      </c>
      <c r="AL1929">
        <v>80.297126658713694</v>
      </c>
      <c r="AM1929">
        <v>90.826087793026005</v>
      </c>
      <c r="AN1929">
        <v>0.99999993082567395</v>
      </c>
    </row>
    <row r="1930" spans="1:40" x14ac:dyDescent="0.3">
      <c r="A1930" t="str">
        <f>"20200111150836915"</f>
        <v>20200111150836915</v>
      </c>
      <c r="B1930" t="str">
        <f>"1578726516905362"</f>
        <v>1578726516905362</v>
      </c>
      <c r="C1930" t="s">
        <v>40</v>
      </c>
      <c r="D1930">
        <v>5.6313409999999999</v>
      </c>
      <c r="E1930">
        <v>0.44564110000000001</v>
      </c>
      <c r="F1930" t="s">
        <v>43</v>
      </c>
      <c r="G1930">
        <v>-263.50310000000002</v>
      </c>
      <c r="H1930" s="1">
        <v>-2.8465970000000001E-6</v>
      </c>
      <c r="I1930">
        <v>139.90600000000001</v>
      </c>
      <c r="J1930">
        <v>-245.6371</v>
      </c>
      <c r="K1930">
        <v>1.1100110000000001</v>
      </c>
      <c r="L1930">
        <v>141.4522</v>
      </c>
      <c r="M1930">
        <v>-0.99732670000000001</v>
      </c>
      <c r="N1930">
        <v>0</v>
      </c>
      <c r="O1930">
        <v>7.2104070000000006E-2</v>
      </c>
      <c r="P1930">
        <v>-0.98595699999999997</v>
      </c>
      <c r="Q1930">
        <v>0.15762190000000001</v>
      </c>
      <c r="R1930">
        <v>5.5172989999999998E-2</v>
      </c>
      <c r="S1930">
        <v>-3.0873870000000001</v>
      </c>
      <c r="T1930">
        <v>-0.18783720000000001</v>
      </c>
      <c r="U1930">
        <v>-0.25703429999999999</v>
      </c>
      <c r="V1930">
        <v>-1.6023059999999999E-2</v>
      </c>
      <c r="W1930">
        <v>0.1693289</v>
      </c>
      <c r="X1930">
        <v>0.98542929999999995</v>
      </c>
      <c r="Y1930">
        <v>-0.15419459999999999</v>
      </c>
      <c r="Z1930">
        <v>-9.0541700000000003E-3</v>
      </c>
      <c r="AA1930">
        <v>0.98799899999999996</v>
      </c>
      <c r="AB1930">
        <v>35</v>
      </c>
      <c r="AC1930">
        <v>-17.866</v>
      </c>
      <c r="AD1930">
        <v>-1.110013846597</v>
      </c>
      <c r="AE1930">
        <v>-1.54619999999999</v>
      </c>
      <c r="AF1930">
        <v>-2.8196732507265998</v>
      </c>
      <c r="AG1930">
        <v>-1.110013846597</v>
      </c>
      <c r="AH1930">
        <v>17.640407087139</v>
      </c>
      <c r="AI1930">
        <v>93.555544798448494</v>
      </c>
      <c r="AJ1930">
        <v>99.081435053686803</v>
      </c>
      <c r="AK1930">
        <v>17.898789070227199</v>
      </c>
      <c r="AL1930">
        <v>80.251197419463296</v>
      </c>
      <c r="AM1930">
        <v>90.931546097303794</v>
      </c>
      <c r="AN1930">
        <v>0.99999996006273095</v>
      </c>
    </row>
    <row r="1931" spans="1:40" x14ac:dyDescent="0.3">
      <c r="A1931" t="str">
        <f>"20200111150836936"</f>
        <v>20200111150836936</v>
      </c>
      <c r="B1931" t="str">
        <f>"1578726516924882"</f>
        <v>1578726516924882</v>
      </c>
      <c r="C1931" t="s">
        <v>40</v>
      </c>
      <c r="D1931">
        <v>5.6134750000000002</v>
      </c>
      <c r="E1931">
        <v>0.44552570000000002</v>
      </c>
      <c r="F1931" t="s">
        <v>43</v>
      </c>
      <c r="G1931">
        <v>-263.94389999999999</v>
      </c>
      <c r="H1931" s="1">
        <v>-2.6543970000000001E-6</v>
      </c>
      <c r="I1931">
        <v>139.89439999999999</v>
      </c>
      <c r="J1931">
        <v>-245.96860000000001</v>
      </c>
      <c r="K1931">
        <v>1.1100989999999999</v>
      </c>
      <c r="L1931">
        <v>141.4761</v>
      </c>
      <c r="M1931">
        <v>-0.9973379</v>
      </c>
      <c r="N1931">
        <v>0</v>
      </c>
      <c r="O1931">
        <v>7.1948070000000003E-2</v>
      </c>
      <c r="P1931">
        <v>-0.98605209999999999</v>
      </c>
      <c r="Q1931">
        <v>0.15756889999999901</v>
      </c>
      <c r="R1931">
        <v>5.3601599999999999E-2</v>
      </c>
      <c r="S1931">
        <v>-3.0873719999999998</v>
      </c>
      <c r="T1931">
        <v>-0.18720029999999999</v>
      </c>
      <c r="U1931">
        <v>-0.26271060000000002</v>
      </c>
      <c r="V1931">
        <v>-1.747752E-2</v>
      </c>
      <c r="W1931">
        <v>0.1692729</v>
      </c>
      <c r="X1931">
        <v>0.98541420000000002</v>
      </c>
      <c r="Y1931">
        <v>-0.15584400000000001</v>
      </c>
      <c r="Z1931">
        <v>-9.0633910000000005E-3</v>
      </c>
      <c r="AA1931">
        <v>0.98774010000000001</v>
      </c>
      <c r="AB1931">
        <v>35</v>
      </c>
      <c r="AC1931">
        <v>-17.975299999999901</v>
      </c>
      <c r="AD1931">
        <v>-1.1101016543969999</v>
      </c>
      <c r="AE1931">
        <v>-1.5817000000000101</v>
      </c>
      <c r="AF1931">
        <v>-2.86015468997374</v>
      </c>
      <c r="AG1931">
        <v>-1.1101016543969999</v>
      </c>
      <c r="AH1931">
        <v>17.747731409516899</v>
      </c>
      <c r="AI1931">
        <v>93.5336522395787</v>
      </c>
      <c r="AJ1931">
        <v>99.154849954739404</v>
      </c>
      <c r="AK1931">
        <v>18.010962792644602</v>
      </c>
      <c r="AL1931">
        <v>80.254452997950906</v>
      </c>
      <c r="AM1931">
        <v>91.016103836149796</v>
      </c>
      <c r="AN1931">
        <v>0.99999996197069896</v>
      </c>
    </row>
    <row r="1932" spans="1:40" x14ac:dyDescent="0.3">
      <c r="A1932" t="str">
        <f>"20200111150836959"</f>
        <v>20200111150836959</v>
      </c>
      <c r="B1932" t="str">
        <f>"1578726516955140"</f>
        <v>1578726516955140</v>
      </c>
      <c r="C1932" t="s">
        <v>40</v>
      </c>
      <c r="D1932">
        <v>5.4739279999999999</v>
      </c>
      <c r="E1932">
        <v>0.44531349999999997</v>
      </c>
      <c r="F1932" t="s">
        <v>43</v>
      </c>
      <c r="G1932">
        <v>-264.02280000000002</v>
      </c>
      <c r="H1932" s="1">
        <v>-2.623479E-6</v>
      </c>
      <c r="I1932">
        <v>139.90549999999999</v>
      </c>
      <c r="J1932">
        <v>-246.30289999999999</v>
      </c>
      <c r="K1932">
        <v>1.110182</v>
      </c>
      <c r="L1932">
        <v>141.5001</v>
      </c>
      <c r="M1932">
        <v>-0.99735469999999904</v>
      </c>
      <c r="N1932">
        <v>0</v>
      </c>
      <c r="O1932">
        <v>7.1715890000000004E-2</v>
      </c>
      <c r="P1932">
        <v>-0.98615660000000005</v>
      </c>
      <c r="Q1932">
        <v>0.15753819999999999</v>
      </c>
      <c r="R1932">
        <v>5.1741500000000003E-2</v>
      </c>
      <c r="S1932">
        <v>-3.087402</v>
      </c>
      <c r="T1932">
        <v>-0.18983539999999999</v>
      </c>
      <c r="U1932">
        <v>-0.26856989999999997</v>
      </c>
      <c r="V1932">
        <v>-1.9147569999999999E-2</v>
      </c>
      <c r="W1932">
        <v>0.16923769999999999</v>
      </c>
      <c r="X1932">
        <v>0.98538919999999997</v>
      </c>
      <c r="Y1932">
        <v>-0.15745960000000001</v>
      </c>
      <c r="Z1932">
        <v>-9.225268E-3</v>
      </c>
      <c r="AA1932">
        <v>0.98748239999999998</v>
      </c>
      <c r="AB1932">
        <v>35</v>
      </c>
      <c r="AC1932">
        <v>-17.719899999999999</v>
      </c>
      <c r="AD1932">
        <v>-1.110184623479</v>
      </c>
      <c r="AE1932">
        <v>-1.59460000000001</v>
      </c>
      <c r="AF1932">
        <v>-2.8502829143400699</v>
      </c>
      <c r="AG1932">
        <v>-1.110184623479</v>
      </c>
      <c r="AH1932">
        <v>17.4917922311372</v>
      </c>
      <c r="AI1932">
        <v>93.584477134996504</v>
      </c>
      <c r="AJ1932">
        <v>99.254989461390906</v>
      </c>
      <c r="AK1932">
        <v>17.757235653312101</v>
      </c>
      <c r="AL1932">
        <v>80.256499235479794</v>
      </c>
      <c r="AM1932">
        <v>91.113201668412799</v>
      </c>
      <c r="AN1932">
        <v>0.99999995200741598</v>
      </c>
    </row>
    <row r="1933" spans="1:40" x14ac:dyDescent="0.3">
      <c r="A1933" t="str">
        <f>"20200111150837025"</f>
        <v>20200111150837025</v>
      </c>
      <c r="B1933" t="str">
        <f>"1578726517014674"</f>
        <v>1578726517014674</v>
      </c>
      <c r="C1933" t="s">
        <v>40</v>
      </c>
      <c r="D1933">
        <v>5.5097019999999999</v>
      </c>
      <c r="E1933">
        <v>0.44315070000000001</v>
      </c>
      <c r="F1933" t="s">
        <v>43</v>
      </c>
      <c r="G1933">
        <v>-264.15190000000001</v>
      </c>
      <c r="H1933" s="1">
        <v>-2.5668569999999998E-6</v>
      </c>
      <c r="I1933">
        <v>139.90090000000001</v>
      </c>
      <c r="J1933">
        <v>-247.34780000000001</v>
      </c>
      <c r="K1933">
        <v>1.1104149999999999</v>
      </c>
      <c r="L1933">
        <v>141.57380000000001</v>
      </c>
      <c r="M1933">
        <v>-0.99743590000000004</v>
      </c>
      <c r="N1933">
        <v>0</v>
      </c>
      <c r="O1933">
        <v>7.0577730000000005E-2</v>
      </c>
      <c r="P1933">
        <v>-0.98654900000000001</v>
      </c>
      <c r="Q1933">
        <v>0.15715029999999999</v>
      </c>
      <c r="R1933">
        <v>4.500179E-2</v>
      </c>
      <c r="S1933">
        <v>-3.0873110000000001</v>
      </c>
      <c r="T1933">
        <v>-0.1920269</v>
      </c>
      <c r="U1933">
        <v>-0.27659610000000001</v>
      </c>
      <c r="V1933">
        <v>-2.4865870000000002E-2</v>
      </c>
      <c r="W1933">
        <v>0.1688354</v>
      </c>
      <c r="X1933">
        <v>0.9853305</v>
      </c>
      <c r="Y1933">
        <v>-0.15887200000000001</v>
      </c>
      <c r="Z1933">
        <v>-9.3041119999999998E-3</v>
      </c>
      <c r="AA1933">
        <v>0.98725529999999995</v>
      </c>
      <c r="AB1933">
        <v>35</v>
      </c>
      <c r="AC1933">
        <v>-16.804099999999998</v>
      </c>
      <c r="AD1933">
        <v>-1.110417566857</v>
      </c>
      <c r="AE1933">
        <v>-1.6728999999999901</v>
      </c>
      <c r="AF1933">
        <v>-2.8425158910811898</v>
      </c>
      <c r="AG1933">
        <v>-1.110417566857</v>
      </c>
      <c r="AH1933">
        <v>16.5724567407682</v>
      </c>
      <c r="AI1933">
        <v>93.778294049482994</v>
      </c>
      <c r="AJ1933">
        <v>99.732694633614997</v>
      </c>
      <c r="AK1933">
        <v>16.851090356071001</v>
      </c>
      <c r="AL1933">
        <v>80.279885838150705</v>
      </c>
      <c r="AM1933">
        <v>91.445613501237005</v>
      </c>
      <c r="AN1933">
        <v>0.99999994900713196</v>
      </c>
    </row>
    <row r="1934" spans="1:40" x14ac:dyDescent="0.3">
      <c r="A1934" t="str">
        <f>"20200111150837069"</f>
        <v>20200111150837069</v>
      </c>
      <c r="B1934" t="str">
        <f>"1578726517065426"</f>
        <v>1578726517065426</v>
      </c>
      <c r="C1934" t="s">
        <v>40</v>
      </c>
      <c r="D1934">
        <v>5.4816909999999996</v>
      </c>
      <c r="E1934">
        <v>0.43895000000000001</v>
      </c>
      <c r="F1934" t="s">
        <v>43</v>
      </c>
      <c r="G1934">
        <v>-265.36239999999998</v>
      </c>
      <c r="H1934" s="1">
        <v>-2.0032830000000001E-6</v>
      </c>
      <c r="I1934">
        <v>139.73429999999999</v>
      </c>
      <c r="J1934">
        <v>-248.01560000000001</v>
      </c>
      <c r="K1934">
        <v>1.1104989999999999</v>
      </c>
      <c r="L1934">
        <v>141.6199</v>
      </c>
      <c r="M1934">
        <v>-0.99750209999999995</v>
      </c>
      <c r="N1934">
        <v>0</v>
      </c>
      <c r="O1934">
        <v>6.9632869999999999E-2</v>
      </c>
      <c r="P1934">
        <v>-0.98654759999999997</v>
      </c>
      <c r="Q1934">
        <v>0.15820490000000001</v>
      </c>
      <c r="R1934">
        <v>4.1175099999999999E-2</v>
      </c>
      <c r="S1934">
        <v>-3.0855709999999998</v>
      </c>
      <c r="T1934">
        <v>-0.1901948</v>
      </c>
      <c r="U1934">
        <v>-0.3150482</v>
      </c>
      <c r="V1934">
        <v>-2.7780289999999999E-2</v>
      </c>
      <c r="W1934">
        <v>0.16988059999999999</v>
      </c>
      <c r="X1934">
        <v>0.98507299999999998</v>
      </c>
      <c r="Y1934">
        <v>-0.17015559999999999</v>
      </c>
      <c r="Z1934">
        <v>-9.5041929999999993E-3</v>
      </c>
      <c r="AA1934">
        <v>0.98537140000000001</v>
      </c>
      <c r="AB1934">
        <v>35</v>
      </c>
      <c r="AC1934">
        <v>-17.346799999999899</v>
      </c>
      <c r="AD1934">
        <v>-1.1105010032829901</v>
      </c>
      <c r="AE1934">
        <v>-1.8856000000000099</v>
      </c>
      <c r="AF1934">
        <v>-3.07655367224136</v>
      </c>
      <c r="AG1934">
        <v>-1.1105010032829901</v>
      </c>
      <c r="AH1934">
        <v>17.1041005209728</v>
      </c>
      <c r="AI1934">
        <v>93.656258939108596</v>
      </c>
      <c r="AJ1934">
        <v>100.19688577387799</v>
      </c>
      <c r="AK1934">
        <v>17.4140359942208</v>
      </c>
      <c r="AL1934">
        <v>80.219122928394398</v>
      </c>
      <c r="AM1934">
        <v>91.615384452121006</v>
      </c>
      <c r="AN1934">
        <v>0.99999998904892196</v>
      </c>
    </row>
    <row r="1935" spans="1:40" x14ac:dyDescent="0.3">
      <c r="A1935" t="str">
        <f>"20200111150837091"</f>
        <v>20200111150837091</v>
      </c>
      <c r="B1935" t="str">
        <f>"1578726517084947"</f>
        <v>1578726517084947</v>
      </c>
      <c r="C1935" t="s">
        <v>40</v>
      </c>
      <c r="D1935">
        <v>5.4825889999999999</v>
      </c>
      <c r="E1935">
        <v>0.43653930000000002</v>
      </c>
      <c r="F1935" t="s">
        <v>43</v>
      </c>
      <c r="G1935">
        <v>-266.03379999999999</v>
      </c>
      <c r="H1935" s="1">
        <v>-1.7022129999999999E-6</v>
      </c>
      <c r="I1935">
        <v>139.51249999999999</v>
      </c>
      <c r="J1935">
        <v>-248.37700000000001</v>
      </c>
      <c r="K1935">
        <v>1.110519</v>
      </c>
      <c r="L1935">
        <v>141.6446</v>
      </c>
      <c r="M1935">
        <v>-0.99753970000000003</v>
      </c>
      <c r="N1935">
        <v>0</v>
      </c>
      <c r="O1935">
        <v>6.9092070000000005E-2</v>
      </c>
      <c r="P1935">
        <v>-0.98666710000000002</v>
      </c>
      <c r="Q1935">
        <v>0.15797520000000001</v>
      </c>
      <c r="R1935">
        <v>3.9139010000000002E-2</v>
      </c>
      <c r="S1935">
        <v>-3.0864720000000001</v>
      </c>
      <c r="T1935">
        <v>-0.1902266</v>
      </c>
      <c r="U1935">
        <v>-0.36099239999999999</v>
      </c>
      <c r="V1935">
        <v>-2.9295350000000001E-2</v>
      </c>
      <c r="W1935">
        <v>0.16964889999999999</v>
      </c>
      <c r="X1935">
        <v>0.98506899999999997</v>
      </c>
      <c r="Y1935">
        <v>-0.1840445</v>
      </c>
      <c r="Z1935">
        <v>-9.8888759999999996E-3</v>
      </c>
      <c r="AA1935">
        <v>0.98286810000000002</v>
      </c>
      <c r="AB1935">
        <v>35</v>
      </c>
      <c r="AC1935">
        <v>-17.656799999999901</v>
      </c>
      <c r="AD1935">
        <v>-1.1105207022129999</v>
      </c>
      <c r="AE1935">
        <v>-2.1320999999999999</v>
      </c>
      <c r="AF1935">
        <v>-3.3340358645940502</v>
      </c>
      <c r="AG1935">
        <v>-1.1105207022129999</v>
      </c>
      <c r="AH1935">
        <v>17.399439055932</v>
      </c>
      <c r="AI1935">
        <v>93.586873132105296</v>
      </c>
      <c r="AJ1935">
        <v>100.847383734107</v>
      </c>
      <c r="AK1935">
        <v>17.750761415712201</v>
      </c>
      <c r="AL1935">
        <v>80.232593519530695</v>
      </c>
      <c r="AM1935">
        <v>91.703439391074198</v>
      </c>
      <c r="AN1935">
        <v>0.99999995078191495</v>
      </c>
    </row>
    <row r="1936" spans="1:40" x14ac:dyDescent="0.3">
      <c r="A1936" t="str">
        <f>"20200111150837115"</f>
        <v>20200111150837115</v>
      </c>
      <c r="B1936" t="str">
        <f>"1578726517105442"</f>
        <v>1578726517105442</v>
      </c>
      <c r="C1936" t="s">
        <v>40</v>
      </c>
      <c r="D1936">
        <v>5.4717830000000003</v>
      </c>
      <c r="E1936">
        <v>0.4352721</v>
      </c>
      <c r="F1936" t="s">
        <v>43</v>
      </c>
      <c r="G1936">
        <v>-266.22770000000003</v>
      </c>
      <c r="H1936" s="1">
        <v>-1.6374709999999901E-6</v>
      </c>
      <c r="I1936">
        <v>139.4085</v>
      </c>
      <c r="J1936">
        <v>-248.72829999999999</v>
      </c>
      <c r="K1936">
        <v>1.11053</v>
      </c>
      <c r="L1936">
        <v>141.66849999999999</v>
      </c>
      <c r="M1936">
        <v>-0.99757640000000003</v>
      </c>
      <c r="N1936">
        <v>0</v>
      </c>
      <c r="O1936">
        <v>6.8561319999999995E-2</v>
      </c>
      <c r="P1936">
        <v>-0.98694340000000003</v>
      </c>
      <c r="Q1936">
        <v>0.15662989999999999</v>
      </c>
      <c r="R1936">
        <v>3.7552439999999999E-2</v>
      </c>
      <c r="S1936">
        <v>-3.086624</v>
      </c>
      <c r="T1936">
        <v>-0.19202440000000001</v>
      </c>
      <c r="U1936">
        <v>-0.3866425</v>
      </c>
      <c r="V1936">
        <v>-3.0377620000000001E-2</v>
      </c>
      <c r="W1936">
        <v>0.16830339999999999</v>
      </c>
      <c r="X1936">
        <v>0.985267</v>
      </c>
      <c r="Y1936">
        <v>-0.1915384</v>
      </c>
      <c r="Z1936">
        <v>-1.017612E-2</v>
      </c>
      <c r="AA1936">
        <v>0.98143239999999998</v>
      </c>
      <c r="AB1936">
        <v>35</v>
      </c>
      <c r="AC1936">
        <v>-17.499400000000001</v>
      </c>
      <c r="AD1936">
        <v>-1.1105316374709999</v>
      </c>
      <c r="AE1936">
        <v>-2.25999999999999</v>
      </c>
      <c r="AF1936">
        <v>-3.4409172979896501</v>
      </c>
      <c r="AG1936">
        <v>-1.1105316374709999</v>
      </c>
      <c r="AH1936">
        <v>17.234984955745801</v>
      </c>
      <c r="AI1936">
        <v>93.615583730085305</v>
      </c>
      <c r="AJ1936">
        <v>101.290497252671</v>
      </c>
      <c r="AK1936">
        <v>17.610164644154001</v>
      </c>
      <c r="AL1936">
        <v>80.310809710087895</v>
      </c>
      <c r="AM1936">
        <v>91.7659763498514</v>
      </c>
      <c r="AN1936">
        <v>0.99999994776871004</v>
      </c>
    </row>
    <row r="1937" spans="1:40" x14ac:dyDescent="0.3">
      <c r="A1937" t="str">
        <f>"20200111150837137"</f>
        <v>20200111150837137</v>
      </c>
      <c r="B1937" t="str">
        <f>"1578726517134722"</f>
        <v>1578726517134722</v>
      </c>
      <c r="C1937" t="s">
        <v>40</v>
      </c>
      <c r="D1937">
        <v>4.8563280000000004</v>
      </c>
      <c r="E1937">
        <v>0.43260490000000001</v>
      </c>
      <c r="F1937" t="s">
        <v>43</v>
      </c>
      <c r="G1937">
        <v>-266.31709999999998</v>
      </c>
      <c r="H1937" s="1">
        <v>-1.6046470000000001E-6</v>
      </c>
      <c r="I1937">
        <v>139.37719999999999</v>
      </c>
      <c r="J1937">
        <v>-249.0788</v>
      </c>
      <c r="K1937">
        <v>1.110541</v>
      </c>
      <c r="L1937">
        <v>141.69200000000001</v>
      </c>
      <c r="M1937">
        <v>-0.99761250000000001</v>
      </c>
      <c r="N1937">
        <v>0</v>
      </c>
      <c r="O1937">
        <v>6.8033079999999996E-2</v>
      </c>
      <c r="P1937">
        <v>-0.98710699999999996</v>
      </c>
      <c r="Q1937">
        <v>0.15593080000000001</v>
      </c>
      <c r="R1937">
        <v>3.6132560000000001E-2</v>
      </c>
      <c r="S1937">
        <v>-3.0858919999999999</v>
      </c>
      <c r="T1937">
        <v>-0.19483929999999999</v>
      </c>
      <c r="U1937">
        <v>-0.40199279999999998</v>
      </c>
      <c r="V1937">
        <v>-3.1287660000000002E-2</v>
      </c>
      <c r="W1937">
        <v>0.1676039</v>
      </c>
      <c r="X1937">
        <v>0.98535779999999995</v>
      </c>
      <c r="Y1937">
        <v>-0.19582730000000001</v>
      </c>
      <c r="Z1937">
        <v>-1.042588E-2</v>
      </c>
      <c r="AA1937">
        <v>0.98058299999999998</v>
      </c>
      <c r="AB1937">
        <v>35</v>
      </c>
      <c r="AC1937">
        <v>-17.238299999999899</v>
      </c>
      <c r="AD1937">
        <v>-1.1105426046469999</v>
      </c>
      <c r="AE1937">
        <v>-2.3148000000000102</v>
      </c>
      <c r="AF1937">
        <v>-3.4681542211038798</v>
      </c>
      <c r="AG1937">
        <v>-1.1105426046469999</v>
      </c>
      <c r="AH1937">
        <v>16.971670063386401</v>
      </c>
      <c r="AI1937">
        <v>93.6682231873354</v>
      </c>
      <c r="AJ1937">
        <v>101.54936014005099</v>
      </c>
      <c r="AK1937">
        <v>17.3579659902462</v>
      </c>
      <c r="AL1937">
        <v>80.351466039066807</v>
      </c>
      <c r="AM1937">
        <v>91.818678216987095</v>
      </c>
      <c r="AN1937">
        <v>0.99999998949216296</v>
      </c>
    </row>
    <row r="1938" spans="1:40" x14ac:dyDescent="0.3">
      <c r="A1938" t="str">
        <f>"20200111150837158"</f>
        <v>20200111150837158</v>
      </c>
      <c r="B1938" t="str">
        <f>"1578726517155218"</f>
        <v>1578726517155218</v>
      </c>
      <c r="C1938" t="s">
        <v>40</v>
      </c>
      <c r="D1938">
        <v>4.7707769999999998</v>
      </c>
      <c r="E1938">
        <v>0.33201930000000002</v>
      </c>
      <c r="F1938" t="s">
        <v>43</v>
      </c>
      <c r="G1938">
        <v>-266.87270000000001</v>
      </c>
      <c r="H1938" s="1">
        <v>-1.3933859999999999E-6</v>
      </c>
      <c r="I1938">
        <v>139.22450000000001</v>
      </c>
      <c r="J1938">
        <v>-249.39340000000001</v>
      </c>
      <c r="K1938">
        <v>1.1105430000000001</v>
      </c>
      <c r="L1938">
        <v>141.71299999999999</v>
      </c>
      <c r="M1938">
        <v>-0.99764470000000005</v>
      </c>
      <c r="N1938">
        <v>0</v>
      </c>
      <c r="O1938">
        <v>6.7560930000000005E-2</v>
      </c>
      <c r="P1938">
        <v>-0.98720399999999997</v>
      </c>
      <c r="Q1938">
        <v>0.15568009999999999</v>
      </c>
      <c r="R1938">
        <v>3.4527750000000003E-2</v>
      </c>
      <c r="S1938">
        <v>-3.0852659999999998</v>
      </c>
      <c r="T1938">
        <v>-0.192556</v>
      </c>
      <c r="U1938">
        <v>-0.42782589999999998</v>
      </c>
      <c r="V1938">
        <v>-3.2431740000000001E-2</v>
      </c>
      <c r="W1938">
        <v>0.16735149999999999</v>
      </c>
      <c r="X1938">
        <v>0.98536369999999895</v>
      </c>
      <c r="Y1938">
        <v>-0.20344619999999999</v>
      </c>
      <c r="Z1938">
        <v>-1.050767E-2</v>
      </c>
      <c r="AA1938">
        <v>0.97902979999999995</v>
      </c>
      <c r="AB1938">
        <v>35</v>
      </c>
      <c r="AC1938">
        <v>-17.479299999999899</v>
      </c>
      <c r="AD1938">
        <v>-1.110544393386</v>
      </c>
      <c r="AE1938">
        <v>-2.4884999999999802</v>
      </c>
      <c r="AF1938">
        <v>-3.64937543803007</v>
      </c>
      <c r="AG1938">
        <v>-1.110544393386</v>
      </c>
      <c r="AH1938">
        <v>17.203155634996701</v>
      </c>
      <c r="AI1938">
        <v>93.613398065770298</v>
      </c>
      <c r="AJ1938">
        <v>101.97683747569199</v>
      </c>
      <c r="AK1938">
        <v>17.621004901517299</v>
      </c>
      <c r="AL1938">
        <v>80.366134600966504</v>
      </c>
      <c r="AM1938">
        <v>91.885122483693905</v>
      </c>
      <c r="AN1938">
        <v>0.99999998179468297</v>
      </c>
    </row>
    <row r="1939" spans="1:40" x14ac:dyDescent="0.3">
      <c r="A1939" t="str">
        <f>"20200111150837182"</f>
        <v>20200111150837182</v>
      </c>
      <c r="B1939" t="str">
        <f>"1578726517174738"</f>
        <v>1578726517174738</v>
      </c>
      <c r="C1939" t="s">
        <v>40</v>
      </c>
      <c r="D1939">
        <v>5.2985230000000003</v>
      </c>
      <c r="E1939">
        <v>0.34181650000000002</v>
      </c>
      <c r="F1939" t="s">
        <v>73</v>
      </c>
      <c r="G1939">
        <v>-324.83269999999999</v>
      </c>
      <c r="H1939">
        <v>13.055110000000001</v>
      </c>
      <c r="I1939">
        <v>110.7217</v>
      </c>
      <c r="J1939">
        <v>-249.76070000000001</v>
      </c>
      <c r="K1939">
        <v>1.110547</v>
      </c>
      <c r="L1939">
        <v>141.7373</v>
      </c>
      <c r="M1939">
        <v>-0.9976817</v>
      </c>
      <c r="N1939">
        <v>0</v>
      </c>
      <c r="O1939">
        <v>6.7011970000000004E-2</v>
      </c>
      <c r="P1939">
        <v>-0.98725850000000004</v>
      </c>
      <c r="Q1939">
        <v>0.15564220000000001</v>
      </c>
      <c r="R1939">
        <v>3.3112849999999999E-2</v>
      </c>
      <c r="S1939">
        <v>-3.0069889999999999</v>
      </c>
      <c r="T1939">
        <v>0.47610720000000001</v>
      </c>
      <c r="U1939">
        <v>-1.235306</v>
      </c>
      <c r="V1939">
        <v>-3.3307299999999998E-2</v>
      </c>
      <c r="W1939">
        <v>0.1673125</v>
      </c>
      <c r="X1939">
        <v>0.98534109999999997</v>
      </c>
      <c r="Y1939">
        <v>-0.43573129999999999</v>
      </c>
      <c r="Z1939">
        <v>4.3137679999999998E-2</v>
      </c>
      <c r="AA1939">
        <v>0.89904249999999997</v>
      </c>
      <c r="AB1939">
        <v>35</v>
      </c>
      <c r="AC1939">
        <v>-75.071999999999903</v>
      </c>
      <c r="AD1939">
        <v>11.944563</v>
      </c>
      <c r="AE1939">
        <v>-31.015599999999999</v>
      </c>
      <c r="AF1939">
        <v>-35.215437632802796</v>
      </c>
      <c r="AG1939">
        <v>11.944563</v>
      </c>
      <c r="AH1939">
        <v>71.283211111028194</v>
      </c>
      <c r="AI1939">
        <v>81.456227304256402</v>
      </c>
      <c r="AJ1939">
        <v>116.290361326526</v>
      </c>
      <c r="AK1939">
        <v>80.399600864868702</v>
      </c>
      <c r="AL1939">
        <v>80.368400940154601</v>
      </c>
      <c r="AM1939">
        <v>91.936021304789193</v>
      </c>
      <c r="AN1939">
        <v>0.99999996611937403</v>
      </c>
    </row>
    <row r="1940" spans="1:40" x14ac:dyDescent="0.3">
      <c r="A1940" t="str">
        <f>"20200111150837204"</f>
        <v>20200111150837204</v>
      </c>
      <c r="B1940" t="str">
        <f>"1578726517195234"</f>
        <v>1578726517195234</v>
      </c>
      <c r="C1940" t="s">
        <v>40</v>
      </c>
      <c r="D1940">
        <v>5.2956289999999999</v>
      </c>
      <c r="E1940">
        <v>0.40078370000000002</v>
      </c>
      <c r="F1940" t="s">
        <v>73</v>
      </c>
      <c r="G1940">
        <v>-326.22120000000001</v>
      </c>
      <c r="H1940">
        <v>15.299110000000001</v>
      </c>
      <c r="I1940">
        <v>112.0334</v>
      </c>
      <c r="J1940">
        <v>-250.1208</v>
      </c>
      <c r="K1940">
        <v>1.1105529999999999</v>
      </c>
      <c r="L1940">
        <v>141.761</v>
      </c>
      <c r="M1940">
        <v>-0.99771759999999998</v>
      </c>
      <c r="N1940">
        <v>0</v>
      </c>
      <c r="O1940">
        <v>6.6475270000000003E-2</v>
      </c>
      <c r="P1940">
        <v>-0.98732189999999997</v>
      </c>
      <c r="Q1940">
        <v>0.15536749999999999</v>
      </c>
      <c r="R1940">
        <v>3.2505619999999999E-2</v>
      </c>
      <c r="S1940">
        <v>-2.9902039999999999</v>
      </c>
      <c r="T1940">
        <v>0.55488359999999903</v>
      </c>
      <c r="U1940">
        <v>-1.1616519999999999</v>
      </c>
      <c r="V1940">
        <v>-3.3388269999999998E-2</v>
      </c>
      <c r="W1940">
        <v>0.1670384</v>
      </c>
      <c r="X1940">
        <v>0.98538490000000001</v>
      </c>
      <c r="Y1940">
        <v>-0.41607499999999997</v>
      </c>
      <c r="Z1940">
        <v>4.880731E-2</v>
      </c>
      <c r="AA1940">
        <v>0.90801949999999998</v>
      </c>
      <c r="AB1940">
        <v>35</v>
      </c>
      <c r="AC1940">
        <v>-76.100399999999993</v>
      </c>
      <c r="AD1940">
        <v>14.188556999999999</v>
      </c>
      <c r="AE1940">
        <v>-29.727599999999899</v>
      </c>
      <c r="AF1940">
        <v>-33.704473476388699</v>
      </c>
      <c r="AG1940">
        <v>14.188556999999999</v>
      </c>
      <c r="AH1940">
        <v>71.790585507341405</v>
      </c>
      <c r="AI1940">
        <v>79.856931720370696</v>
      </c>
      <c r="AJ1940">
        <v>115.14926650286699</v>
      </c>
      <c r="AK1940">
        <v>80.567951752230499</v>
      </c>
      <c r="AL1940">
        <v>80.3843302314569</v>
      </c>
      <c r="AM1940">
        <v>91.940637976690894</v>
      </c>
      <c r="AN1940">
        <v>1.00000000239808</v>
      </c>
    </row>
    <row r="1941" spans="1:40" x14ac:dyDescent="0.3">
      <c r="A1941" t="str">
        <f>"20200111150837225"</f>
        <v>20200111150837225</v>
      </c>
      <c r="B1941" t="str">
        <f>"1578726517214754"</f>
        <v>1578726517214754</v>
      </c>
      <c r="C1941" t="s">
        <v>40</v>
      </c>
      <c r="D1941">
        <v>5.3543690000000002</v>
      </c>
      <c r="E1941">
        <v>0.40465970000000001</v>
      </c>
      <c r="F1941" t="s">
        <v>43</v>
      </c>
      <c r="G1941">
        <v>-279.74599999999998</v>
      </c>
      <c r="H1941" s="1">
        <v>-1.271545E-6</v>
      </c>
      <c r="I1941">
        <v>135.1097</v>
      </c>
      <c r="J1941">
        <v>-250.4529</v>
      </c>
      <c r="K1941">
        <v>1.1105579999999999</v>
      </c>
      <c r="L1941">
        <v>141.7826</v>
      </c>
      <c r="M1941">
        <v>-0.99775029999999998</v>
      </c>
      <c r="N1941">
        <v>0</v>
      </c>
      <c r="O1941">
        <v>6.5980800000000006E-2</v>
      </c>
      <c r="P1941">
        <v>-0.98741570000000001</v>
      </c>
      <c r="Q1941">
        <v>0.15489549999999999</v>
      </c>
      <c r="R1941">
        <v>3.1901770000000003E-2</v>
      </c>
      <c r="S1941">
        <v>-3.0794679999999999</v>
      </c>
      <c r="T1941">
        <v>-0.1154394</v>
      </c>
      <c r="U1941">
        <v>-0.69137569999999904</v>
      </c>
      <c r="V1941">
        <v>-3.3508919999999998E-2</v>
      </c>
      <c r="W1941">
        <v>0.16656770000000001</v>
      </c>
      <c r="X1941">
        <v>0.98546049999999996</v>
      </c>
      <c r="Y1941">
        <v>-0.28272979999999998</v>
      </c>
      <c r="Z1941">
        <v>-7.6778990000000002E-3</v>
      </c>
      <c r="AA1941">
        <v>0.95916889999999999</v>
      </c>
      <c r="AB1941">
        <v>35</v>
      </c>
      <c r="AC1941">
        <v>-29.2930999999999</v>
      </c>
      <c r="AD1941">
        <v>-1.1105592715449999</v>
      </c>
      <c r="AE1941">
        <v>-6.6728999999999896</v>
      </c>
      <c r="AF1941">
        <v>-8.5795521042060496</v>
      </c>
      <c r="AG1941">
        <v>-1.1105592715449999</v>
      </c>
      <c r="AH1941">
        <v>28.749660006427899</v>
      </c>
      <c r="AI1941">
        <v>92.119865458166998</v>
      </c>
      <c r="AJ1941">
        <v>106.616299332682</v>
      </c>
      <c r="AK1941">
        <v>30.023074570896298</v>
      </c>
      <c r="AL1941">
        <v>80.411682741845894</v>
      </c>
      <c r="AM1941">
        <v>91.947495867965102</v>
      </c>
      <c r="AN1941">
        <v>1.0000000217315499</v>
      </c>
    </row>
    <row r="1942" spans="1:40" x14ac:dyDescent="0.3">
      <c r="A1942" t="str">
        <f>"20200111150837247"</f>
        <v>20200111150837247</v>
      </c>
      <c r="B1942" t="str">
        <f>"1578726517245010"</f>
        <v>1578726517245010</v>
      </c>
      <c r="C1942" t="s">
        <v>40</v>
      </c>
      <c r="D1942">
        <v>5.3695589999999997</v>
      </c>
      <c r="E1942">
        <v>0.40422089999999999</v>
      </c>
      <c r="F1942" t="s">
        <v>43</v>
      </c>
      <c r="G1942">
        <v>-273.29520000000002</v>
      </c>
      <c r="H1942" s="1">
        <v>-3.3438929999999999E-6</v>
      </c>
      <c r="I1942">
        <v>136.88059999999999</v>
      </c>
      <c r="J1942">
        <v>-250.79409999999999</v>
      </c>
      <c r="K1942">
        <v>1.1105590000000001</v>
      </c>
      <c r="L1942">
        <v>141.80459999999999</v>
      </c>
      <c r="M1942">
        <v>-0.9977838</v>
      </c>
      <c r="N1942">
        <v>0</v>
      </c>
      <c r="O1942">
        <v>6.5472820000000001E-2</v>
      </c>
      <c r="P1942">
        <v>-0.98762950000000005</v>
      </c>
      <c r="Q1942">
        <v>0.15370020000000001</v>
      </c>
      <c r="R1942">
        <v>3.105233E-2</v>
      </c>
      <c r="S1942">
        <v>-3.0831149999999998</v>
      </c>
      <c r="T1942">
        <v>-0.149897</v>
      </c>
      <c r="U1942">
        <v>-0.66163640000000001</v>
      </c>
      <c r="V1942">
        <v>-3.3867769999999998E-2</v>
      </c>
      <c r="W1942">
        <v>0.1653743</v>
      </c>
      <c r="X1942">
        <v>0.9856492</v>
      </c>
      <c r="Y1942">
        <v>-0.273009</v>
      </c>
      <c r="Z1942">
        <v>-9.7078189999999995E-3</v>
      </c>
      <c r="AA1942">
        <v>0.96196250000000005</v>
      </c>
      <c r="AB1942">
        <v>35</v>
      </c>
      <c r="AC1942">
        <v>-22.501100000000001</v>
      </c>
      <c r="AD1942">
        <v>-1.1105623438929999</v>
      </c>
      <c r="AE1942">
        <v>-4.9240000000000004</v>
      </c>
      <c r="AF1942">
        <v>-6.3719348205819299</v>
      </c>
      <c r="AG1942">
        <v>-1.1105623438929999</v>
      </c>
      <c r="AH1942">
        <v>22.079076096108501</v>
      </c>
      <c r="AI1942">
        <v>92.766782482475506</v>
      </c>
      <c r="AJ1942">
        <v>106.097932614039</v>
      </c>
      <c r="AK1942">
        <v>23.006966408789499</v>
      </c>
      <c r="AL1942">
        <v>80.481021145972093</v>
      </c>
      <c r="AM1942">
        <v>91.967958919094002</v>
      </c>
      <c r="AN1942">
        <v>1.00000001520295</v>
      </c>
    </row>
    <row r="1943" spans="1:40" x14ac:dyDescent="0.3">
      <c r="A1943" t="str">
        <f>"20200111150837270"</f>
        <v>20200111150837270</v>
      </c>
      <c r="B1943" t="str">
        <f>"1578726517265506"</f>
        <v>1578726517265506</v>
      </c>
      <c r="C1943" t="s">
        <v>40</v>
      </c>
      <c r="D1943">
        <v>5.3236030000000003</v>
      </c>
      <c r="E1943">
        <v>0.40535450000000001</v>
      </c>
      <c r="F1943" t="s">
        <v>43</v>
      </c>
      <c r="G1943">
        <v>-273.77300000000002</v>
      </c>
      <c r="H1943" s="1">
        <v>-3.1476120000000001E-6</v>
      </c>
      <c r="I1943">
        <v>136.8314</v>
      </c>
      <c r="J1943">
        <v>-251.1422</v>
      </c>
      <c r="K1943">
        <v>1.1105609999999999</v>
      </c>
      <c r="L1943">
        <v>141.82689999999999</v>
      </c>
      <c r="M1943">
        <v>-0.99781779999999998</v>
      </c>
      <c r="N1943">
        <v>0</v>
      </c>
      <c r="O1943">
        <v>6.4954999999999999E-2</v>
      </c>
      <c r="P1943">
        <v>-0.98762669999999997</v>
      </c>
      <c r="Q1943">
        <v>0.15385209999999999</v>
      </c>
      <c r="R1943">
        <v>3.0385700000000002E-2</v>
      </c>
      <c r="S1943">
        <v>-3.0817109999999999</v>
      </c>
      <c r="T1943">
        <v>-0.14893809999999999</v>
      </c>
      <c r="U1943">
        <v>-0.66694639999999905</v>
      </c>
      <c r="V1943">
        <v>-3.4021049999999997E-2</v>
      </c>
      <c r="W1943">
        <v>0.1655266</v>
      </c>
      <c r="X1943">
        <v>0.98561840000000001</v>
      </c>
      <c r="Y1943">
        <v>-0.27418740000000003</v>
      </c>
      <c r="Z1943">
        <v>-9.6517540000000002E-3</v>
      </c>
      <c r="AA1943">
        <v>0.96162780000000003</v>
      </c>
      <c r="AB1943">
        <v>35</v>
      </c>
      <c r="AC1943">
        <v>-22.630799999999901</v>
      </c>
      <c r="AD1943">
        <v>-1.1105641476120001</v>
      </c>
      <c r="AE1943">
        <v>-4.9954999999999901</v>
      </c>
      <c r="AF1943">
        <v>-6.4402472350775897</v>
      </c>
      <c r="AG1943">
        <v>-1.1105641476120001</v>
      </c>
      <c r="AH1943">
        <v>22.207501197433199</v>
      </c>
      <c r="AI1943">
        <v>92.749779834509795</v>
      </c>
      <c r="AJ1943">
        <v>106.172330099446</v>
      </c>
      <c r="AK1943">
        <v>23.149152179051502</v>
      </c>
      <c r="AL1943">
        <v>80.472173474523998</v>
      </c>
      <c r="AM1943">
        <v>91.976920255705593</v>
      </c>
      <c r="AN1943">
        <v>1.0000000587846001</v>
      </c>
    </row>
    <row r="1944" spans="1:40" x14ac:dyDescent="0.3">
      <c r="A1944" t="str">
        <f>"20200111150837316"</f>
        <v>20200111150837316</v>
      </c>
      <c r="B1944" t="str">
        <f>"1578726517305522"</f>
        <v>1578726517305522</v>
      </c>
      <c r="C1944" t="s">
        <v>40</v>
      </c>
      <c r="D1944">
        <v>5.0377190000000001</v>
      </c>
      <c r="E1944">
        <v>0.40535450000000001</v>
      </c>
      <c r="F1944" t="s">
        <v>43</v>
      </c>
      <c r="G1944">
        <v>-272.5283</v>
      </c>
      <c r="H1944" s="1">
        <v>-3.6071059999999999E-6</v>
      </c>
      <c r="I1944">
        <v>137.25129999999999</v>
      </c>
      <c r="J1944">
        <v>-251.84979999999999</v>
      </c>
      <c r="K1944">
        <v>1.110565</v>
      </c>
      <c r="L1944">
        <v>141.8717</v>
      </c>
      <c r="M1944">
        <v>-0.99788560000000004</v>
      </c>
      <c r="N1944">
        <v>0</v>
      </c>
      <c r="O1944">
        <v>6.3902070000000005E-2</v>
      </c>
      <c r="P1944">
        <v>-0.98756659999999996</v>
      </c>
      <c r="Q1944">
        <v>0.15443750000000001</v>
      </c>
      <c r="R1944">
        <v>2.9350999999999999E-2</v>
      </c>
      <c r="S1944">
        <v>-3.0827939999999998</v>
      </c>
      <c r="T1944">
        <v>-0.1600877</v>
      </c>
      <c r="U1944">
        <v>-0.65956119999999996</v>
      </c>
      <c r="V1944">
        <v>-3.401013E-2</v>
      </c>
      <c r="W1944">
        <v>0.1661116</v>
      </c>
      <c r="X1944">
        <v>0.98552030000000002</v>
      </c>
      <c r="Y1944">
        <v>-0.27084629999999998</v>
      </c>
      <c r="Z1944">
        <v>-1.023247E-2</v>
      </c>
      <c r="AA1944">
        <v>0.96256819999999998</v>
      </c>
      <c r="AB1944">
        <v>35</v>
      </c>
      <c r="AC1944">
        <v>-20.6785</v>
      </c>
      <c r="AD1944">
        <v>-1.1105686071059999</v>
      </c>
      <c r="AE1944">
        <v>-4.6204000000000098</v>
      </c>
      <c r="AF1944">
        <v>-5.9161942826771998</v>
      </c>
      <c r="AG1944">
        <v>-1.1105686071059999</v>
      </c>
      <c r="AH1944">
        <v>20.2852287693912</v>
      </c>
      <c r="AI1944">
        <v>93.008581911759094</v>
      </c>
      <c r="AJ1944">
        <v>106.259343675202</v>
      </c>
      <c r="AK1944">
        <v>21.159518511724499</v>
      </c>
      <c r="AL1944">
        <v>80.438184415426903</v>
      </c>
      <c r="AM1944">
        <v>91.976482777692098</v>
      </c>
      <c r="AN1944">
        <v>1.00000000715463</v>
      </c>
    </row>
    <row r="1945" spans="1:40" x14ac:dyDescent="0.3">
      <c r="A1945" t="str">
        <f>"20200111150837336"</f>
        <v>20200111150837336</v>
      </c>
      <c r="B1945" t="str">
        <f>"1578726517334802"</f>
        <v>1578726517334802</v>
      </c>
      <c r="C1945" t="s">
        <v>40</v>
      </c>
      <c r="D1945">
        <v>5.3672940000000002</v>
      </c>
      <c r="E1945">
        <v>0.4790759</v>
      </c>
      <c r="F1945" t="s">
        <v>43</v>
      </c>
      <c r="G1945">
        <v>-273.4615</v>
      </c>
      <c r="H1945" s="1">
        <v>-3.211397E-6</v>
      </c>
      <c r="I1945">
        <v>137.2252</v>
      </c>
      <c r="J1945">
        <v>-252.17910000000001</v>
      </c>
      <c r="K1945">
        <v>1.1105700000000001</v>
      </c>
      <c r="L1945">
        <v>141.89230000000001</v>
      </c>
      <c r="M1945">
        <v>-0.9979171</v>
      </c>
      <c r="N1945">
        <v>0</v>
      </c>
      <c r="O1945">
        <v>6.3409049999999995E-2</v>
      </c>
      <c r="P1945">
        <v>-0.98756049999999995</v>
      </c>
      <c r="Q1945">
        <v>0.1545859</v>
      </c>
      <c r="R1945">
        <v>2.876687E-2</v>
      </c>
      <c r="S1945">
        <v>-3.0822449999999999</v>
      </c>
      <c r="T1945">
        <v>-0.15838840000000001</v>
      </c>
      <c r="U1945">
        <v>-0.66267399999999999</v>
      </c>
      <c r="V1945">
        <v>-3.41056E-2</v>
      </c>
      <c r="W1945">
        <v>0.16626070000000001</v>
      </c>
      <c r="X1945">
        <v>0.98549189999999998</v>
      </c>
      <c r="Y1945">
        <v>-0.27134429999999998</v>
      </c>
      <c r="Z1945">
        <v>-1.0112289999999999E-2</v>
      </c>
      <c r="AA1945">
        <v>0.96242919999999998</v>
      </c>
      <c r="AB1945">
        <v>35</v>
      </c>
      <c r="AC1945">
        <v>-21.282399999999999</v>
      </c>
      <c r="AD1945">
        <v>-1.1105732113969999</v>
      </c>
      <c r="AE1945">
        <v>-4.6670999999999996</v>
      </c>
      <c r="AF1945">
        <v>-5.9917313781955697</v>
      </c>
      <c r="AG1945">
        <v>-1.1105732113969999</v>
      </c>
      <c r="AH1945">
        <v>20.889336073800202</v>
      </c>
      <c r="AI1945">
        <v>92.925493977015293</v>
      </c>
      <c r="AJ1945">
        <v>106.004588864101</v>
      </c>
      <c r="AK1945">
        <v>21.760022503906001</v>
      </c>
      <c r="AL1945">
        <v>80.429521547573799</v>
      </c>
      <c r="AM1945">
        <v>91.982083625718801</v>
      </c>
      <c r="AN1945">
        <v>1.0000000486407199</v>
      </c>
    </row>
    <row r="1946" spans="1:40" x14ac:dyDescent="0.3">
      <c r="A1946" t="str">
        <f>"20200111150837359"</f>
        <v>20200111150837359</v>
      </c>
      <c r="B1946" t="str">
        <f>"1578726517355298"</f>
        <v>1578726517355298</v>
      </c>
      <c r="C1946" t="s">
        <v>40</v>
      </c>
      <c r="D1946">
        <v>5.3571980000000003</v>
      </c>
      <c r="E1946">
        <v>0.47752339999999999</v>
      </c>
      <c r="F1946" t="s">
        <v>43</v>
      </c>
      <c r="G1946">
        <v>-279.88670000000002</v>
      </c>
      <c r="H1946" s="1">
        <v>-4.5176280000000001E-7</v>
      </c>
      <c r="I1946">
        <v>141.1978</v>
      </c>
      <c r="J1946">
        <v>-252.517</v>
      </c>
      <c r="K1946">
        <v>1.110565</v>
      </c>
      <c r="L1946">
        <v>141.91329999999999</v>
      </c>
      <c r="M1946">
        <v>-0.99794970000000005</v>
      </c>
      <c r="N1946">
        <v>0</v>
      </c>
      <c r="O1946">
        <v>6.2895010000000001E-2</v>
      </c>
      <c r="P1946">
        <v>-0.98765460000000005</v>
      </c>
      <c r="Q1946">
        <v>0.15400329999999901</v>
      </c>
      <c r="R1946">
        <v>2.8668849999999999E-2</v>
      </c>
      <c r="S1946">
        <v>-3.0592039999999998</v>
      </c>
      <c r="T1946">
        <v>-0.12261859999999999</v>
      </c>
      <c r="U1946">
        <v>-7.6675419999999994E-2</v>
      </c>
      <c r="V1946">
        <v>-3.3702469999999998E-2</v>
      </c>
      <c r="W1946">
        <v>0.16567950000000001</v>
      </c>
      <c r="X1946">
        <v>0.98560360000000002</v>
      </c>
      <c r="Y1946">
        <v>-8.7765159999999995E-2</v>
      </c>
      <c r="Z1946">
        <v>-4.2768800000000003E-3</v>
      </c>
      <c r="AA1946">
        <v>0.99613200000000002</v>
      </c>
      <c r="AB1946">
        <v>35</v>
      </c>
      <c r="AC1946">
        <v>-27.369700000000002</v>
      </c>
      <c r="AD1946">
        <v>-1.1105654517628001</v>
      </c>
      <c r="AE1946">
        <v>-0.71549999999999103</v>
      </c>
      <c r="AF1946">
        <v>-2.43162100737357</v>
      </c>
      <c r="AG1946">
        <v>-1.1105654517628001</v>
      </c>
      <c r="AH1946">
        <v>27.2257047815806</v>
      </c>
      <c r="AI1946">
        <v>92.326609914677107</v>
      </c>
      <c r="AJ1946">
        <v>95.103740534785402</v>
      </c>
      <c r="AK1946">
        <v>27.356628761598699</v>
      </c>
      <c r="AL1946">
        <v>80.463289775843407</v>
      </c>
      <c r="AM1946">
        <v>91.958451843024704</v>
      </c>
      <c r="AN1946">
        <v>1.0000000047686499</v>
      </c>
    </row>
    <row r="1947" spans="1:40" x14ac:dyDescent="0.3">
      <c r="A1947" t="str">
        <f>"20200111150837383"</f>
        <v>20200111150837383</v>
      </c>
      <c r="B1947" t="str">
        <f>"1578726517374818"</f>
        <v>1578726517374818</v>
      </c>
      <c r="C1947" t="s">
        <v>40</v>
      </c>
      <c r="D1947">
        <v>5.2855549999999996</v>
      </c>
      <c r="E1947">
        <v>0.47713949999999999</v>
      </c>
      <c r="F1947" t="s">
        <v>86</v>
      </c>
      <c r="G1947">
        <v>-285.93579999999997</v>
      </c>
      <c r="H1947" s="1">
        <v>-6.8503320000000003E-6</v>
      </c>
      <c r="I1947">
        <v>140.9308</v>
      </c>
      <c r="J1947">
        <v>-252.8826</v>
      </c>
      <c r="K1947">
        <v>1.1105750000000001</v>
      </c>
      <c r="L1947">
        <v>141.9357</v>
      </c>
      <c r="M1947">
        <v>-0.99798589999999998</v>
      </c>
      <c r="N1947">
        <v>0</v>
      </c>
      <c r="O1947">
        <v>6.2317009999999999E-2</v>
      </c>
      <c r="P1947">
        <v>-0.98777159999999997</v>
      </c>
      <c r="Q1947">
        <v>0.15324789999999999</v>
      </c>
      <c r="R1947">
        <v>2.867948E-2</v>
      </c>
      <c r="S1947">
        <v>-3.0559229999999999</v>
      </c>
      <c r="T1947">
        <v>-0.1015542</v>
      </c>
      <c r="U1947">
        <v>-8.984375E-2</v>
      </c>
      <c r="V1947">
        <v>-3.3131439999999998E-2</v>
      </c>
      <c r="W1947">
        <v>0.16492609999999999</v>
      </c>
      <c r="X1947">
        <v>0.98574930000000005</v>
      </c>
      <c r="Y1947">
        <v>-9.1539659999999995E-2</v>
      </c>
      <c r="Z1947">
        <v>-3.5897780000000001E-3</v>
      </c>
      <c r="AA1947">
        <v>0.99579499999999999</v>
      </c>
      <c r="AB1947">
        <v>35</v>
      </c>
      <c r="AC1947">
        <v>-33.053199999999897</v>
      </c>
      <c r="AD1947">
        <v>-1.110581850332</v>
      </c>
      <c r="AE1947">
        <v>-1.0048999999999899</v>
      </c>
      <c r="AF1947">
        <v>-3.0594174226858</v>
      </c>
      <c r="AG1947">
        <v>-1.110581850332</v>
      </c>
      <c r="AH1947">
        <v>32.889226235567001</v>
      </c>
      <c r="AI1947">
        <v>91.925684218622607</v>
      </c>
      <c r="AJ1947">
        <v>95.314467114604099</v>
      </c>
      <c r="AK1947">
        <v>33.049880928481898</v>
      </c>
      <c r="AL1947">
        <v>80.507058471962793</v>
      </c>
      <c r="AM1947">
        <v>91.925010098782906</v>
      </c>
      <c r="AN1947">
        <v>0.99999999661408601</v>
      </c>
    </row>
    <row r="1948" spans="1:40" x14ac:dyDescent="0.3">
      <c r="A1948" t="str">
        <f>"20200111150837405"</f>
        <v>20200111150837405</v>
      </c>
      <c r="B1948" t="str">
        <f>"1578726517395314"</f>
        <v>1578726517395314</v>
      </c>
      <c r="C1948" t="s">
        <v>40</v>
      </c>
      <c r="D1948">
        <v>5.2621019999999996</v>
      </c>
      <c r="E1948">
        <v>0.47732550000000001</v>
      </c>
      <c r="F1948" t="s">
        <v>86</v>
      </c>
      <c r="G1948">
        <v>-282.14109999999999</v>
      </c>
      <c r="H1948" s="1">
        <v>-5.0292059999999998E-6</v>
      </c>
      <c r="I1948">
        <v>141.0446</v>
      </c>
      <c r="J1948">
        <v>-253.24160000000001</v>
      </c>
      <c r="K1948">
        <v>1.1106009999999999</v>
      </c>
      <c r="L1948">
        <v>141.95760000000001</v>
      </c>
      <c r="M1948">
        <v>-0.9980232</v>
      </c>
      <c r="N1948">
        <v>0</v>
      </c>
      <c r="O1948">
        <v>6.1714829999999998E-2</v>
      </c>
      <c r="P1948">
        <v>-0.98784150000000004</v>
      </c>
      <c r="Q1948">
        <v>0.15281639999999999</v>
      </c>
      <c r="R1948">
        <v>2.8576190000000001E-2</v>
      </c>
      <c r="S1948">
        <v>-3.0578310000000002</v>
      </c>
      <c r="T1948">
        <v>-0.11606760000000001</v>
      </c>
      <c r="U1948">
        <v>-9.3139650000000004E-2</v>
      </c>
      <c r="V1948">
        <v>-3.2651569999999998E-2</v>
      </c>
      <c r="W1948">
        <v>0.16449530000000001</v>
      </c>
      <c r="X1948">
        <v>0.98583730000000003</v>
      </c>
      <c r="Y1948">
        <v>-9.1967209999999994E-2</v>
      </c>
      <c r="Z1948">
        <v>-4.0851439999999998E-3</v>
      </c>
      <c r="AA1948">
        <v>0.99575360000000002</v>
      </c>
      <c r="AB1948">
        <v>35</v>
      </c>
      <c r="AC1948">
        <v>-28.8994999999999</v>
      </c>
      <c r="AD1948">
        <v>-1.110606029206</v>
      </c>
      <c r="AE1948">
        <v>-0.91300000000001003</v>
      </c>
      <c r="AF1948">
        <v>-2.6909426878178899</v>
      </c>
      <c r="AG1948">
        <v>-1.110606029206</v>
      </c>
      <c r="AH1948">
        <v>28.7456440858222</v>
      </c>
      <c r="AI1948">
        <v>92.202936167012197</v>
      </c>
      <c r="AJ1948">
        <v>95.347997788651696</v>
      </c>
      <c r="AK1948">
        <v>28.892675061509799</v>
      </c>
      <c r="AL1948">
        <v>80.532083368976203</v>
      </c>
      <c r="AM1948">
        <v>91.896979888426699</v>
      </c>
      <c r="AN1948">
        <v>1.0000000054084199</v>
      </c>
    </row>
    <row r="1949" spans="1:40" x14ac:dyDescent="0.3">
      <c r="A1949" t="str">
        <f>"20200111150837427"</f>
        <v>20200111150837427</v>
      </c>
      <c r="B1949" t="str">
        <f>"1578726517424594"</f>
        <v>1578726517424594</v>
      </c>
      <c r="C1949" t="s">
        <v>40</v>
      </c>
      <c r="D1949">
        <v>5.2341540000000002</v>
      </c>
      <c r="E1949">
        <v>0.47670319999999999</v>
      </c>
      <c r="F1949" t="s">
        <v>86</v>
      </c>
      <c r="G1949">
        <v>-280.54570000000001</v>
      </c>
      <c r="H1949" s="1">
        <v>-4.3502689999999999E-6</v>
      </c>
      <c r="I1949">
        <v>141.1328</v>
      </c>
      <c r="J1949">
        <v>-253.57650000000001</v>
      </c>
      <c r="K1949">
        <v>1.1106279999999999</v>
      </c>
      <c r="L1949">
        <v>141.9777</v>
      </c>
      <c r="M1949">
        <v>-0.99805969999999999</v>
      </c>
      <c r="N1949">
        <v>0</v>
      </c>
      <c r="O1949">
        <v>6.1120569999999999E-2</v>
      </c>
      <c r="P1949">
        <v>-0.98784139999999998</v>
      </c>
      <c r="Q1949">
        <v>0.15273529999999999</v>
      </c>
      <c r="R1949">
        <v>2.9005659999999999E-2</v>
      </c>
      <c r="S1949">
        <v>-3.0588069999999998</v>
      </c>
      <c r="T1949">
        <v>-0.1244183</v>
      </c>
      <c r="U1949">
        <v>-9.2391970000000004E-2</v>
      </c>
      <c r="V1949">
        <v>-3.1646000000000001E-2</v>
      </c>
      <c r="W1949">
        <v>0.16441539999999999</v>
      </c>
      <c r="X1949">
        <v>0.98588339999999997</v>
      </c>
      <c r="Y1949">
        <v>-9.1106259999999994E-2</v>
      </c>
      <c r="Z1949">
        <v>-4.3358040000000004E-3</v>
      </c>
      <c r="AA1949">
        <v>0.99583169999999999</v>
      </c>
      <c r="AB1949">
        <v>35</v>
      </c>
      <c r="AC1949">
        <v>-26.969200000000001</v>
      </c>
      <c r="AD1949">
        <v>-1.1106323502689901</v>
      </c>
      <c r="AE1949">
        <v>-0.84489999999999499</v>
      </c>
      <c r="AF1949">
        <v>-2.48759471735795</v>
      </c>
      <c r="AG1949">
        <v>-1.1106323502689901</v>
      </c>
      <c r="AH1949">
        <v>26.821683843707898</v>
      </c>
      <c r="AI1949">
        <v>92.361027978088003</v>
      </c>
      <c r="AJ1949">
        <v>95.298776536742807</v>
      </c>
      <c r="AK1949">
        <v>26.959680189258801</v>
      </c>
      <c r="AL1949">
        <v>80.536724304932505</v>
      </c>
      <c r="AM1949">
        <v>91.838513442060801</v>
      </c>
      <c r="AN1949">
        <v>0.999999985734359</v>
      </c>
    </row>
    <row r="1950" spans="1:40" x14ac:dyDescent="0.3">
      <c r="A1950" t="str">
        <f>"20200111150837448"</f>
        <v>20200111150837448</v>
      </c>
      <c r="B1950" t="str">
        <f>"1578726517445090"</f>
        <v>1578726517445090</v>
      </c>
      <c r="C1950" t="s">
        <v>40</v>
      </c>
      <c r="D1950">
        <v>5.2930659999999996</v>
      </c>
      <c r="E1950">
        <v>0.47650439999999999</v>
      </c>
      <c r="F1950" t="s">
        <v>86</v>
      </c>
      <c r="G1950">
        <v>-287.63569999999999</v>
      </c>
      <c r="H1950" s="1">
        <v>-7.8988619999999993E-6</v>
      </c>
      <c r="I1950">
        <v>140.9007</v>
      </c>
      <c r="J1950">
        <v>-253.91059999999999</v>
      </c>
      <c r="K1950">
        <v>1.110663</v>
      </c>
      <c r="L1950">
        <v>141.9975</v>
      </c>
      <c r="M1950">
        <v>-0.99809890000000001</v>
      </c>
      <c r="N1950">
        <v>0</v>
      </c>
      <c r="O1950">
        <v>6.0479249999999998E-2</v>
      </c>
      <c r="P1950">
        <v>-0.98788120000000001</v>
      </c>
      <c r="Q1950">
        <v>0.15245040000000001</v>
      </c>
      <c r="R1950">
        <v>2.9152419999999998E-2</v>
      </c>
      <c r="S1950">
        <v>-3.0551759999999999</v>
      </c>
      <c r="T1950">
        <v>-9.9626060000000002E-2</v>
      </c>
      <c r="U1950">
        <v>-9.6603389999999997E-2</v>
      </c>
      <c r="V1950">
        <v>-3.0881200000000001E-2</v>
      </c>
      <c r="W1950">
        <v>0.16413029999999901</v>
      </c>
      <c r="X1950">
        <v>0.98595520000000003</v>
      </c>
      <c r="Y1950">
        <v>-9.191829E-2</v>
      </c>
      <c r="Z1950">
        <v>-3.4687630000000001E-3</v>
      </c>
      <c r="AA1950">
        <v>0.99576050000000005</v>
      </c>
      <c r="AB1950">
        <v>35</v>
      </c>
      <c r="AC1950">
        <v>-33.725099999999998</v>
      </c>
      <c r="AD1950">
        <v>-1.110670898862</v>
      </c>
      <c r="AE1950">
        <v>-1.0968</v>
      </c>
      <c r="AF1950">
        <v>-3.1312119011099102</v>
      </c>
      <c r="AG1950">
        <v>-1.110670898862</v>
      </c>
      <c r="AH1950">
        <v>33.560656673695597</v>
      </c>
      <c r="AI1950">
        <v>91.887288957234503</v>
      </c>
      <c r="AJ1950">
        <v>95.330269966939696</v>
      </c>
      <c r="AK1950">
        <v>33.724705398044598</v>
      </c>
      <c r="AL1950">
        <v>80.553284723951506</v>
      </c>
      <c r="AM1950">
        <v>91.793980272626698</v>
      </c>
      <c r="AN1950">
        <v>1.00000003014928</v>
      </c>
    </row>
    <row r="1951" spans="1:40" x14ac:dyDescent="0.3">
      <c r="A1951" t="str">
        <f>"20200111150837472"</f>
        <v>20200111150837472</v>
      </c>
      <c r="B1951" t="str">
        <f>"1578726517464610"</f>
        <v>1578726517464610</v>
      </c>
      <c r="C1951" t="s">
        <v>40</v>
      </c>
      <c r="D1951">
        <v>5.2886470000000001</v>
      </c>
      <c r="E1951">
        <v>0.47662670000000001</v>
      </c>
      <c r="F1951" t="s">
        <v>86</v>
      </c>
      <c r="G1951">
        <v>-294.10019999999997</v>
      </c>
      <c r="H1951" s="1">
        <v>-8.8524519999999906E-6</v>
      </c>
      <c r="I1951">
        <v>140.70660000000001</v>
      </c>
      <c r="J1951">
        <v>-254.26740000000001</v>
      </c>
      <c r="K1951">
        <v>1.1107129999999901</v>
      </c>
      <c r="L1951">
        <v>142.01840000000001</v>
      </c>
      <c r="M1951">
        <v>-0.99814460000000005</v>
      </c>
      <c r="N1951">
        <v>0</v>
      </c>
      <c r="O1951">
        <v>5.9720370000000002E-2</v>
      </c>
      <c r="P1951">
        <v>-0.98790630000000001</v>
      </c>
      <c r="Q1951">
        <v>0.15227929999999901</v>
      </c>
      <c r="R1951">
        <v>2.919486E-2</v>
      </c>
      <c r="S1951">
        <v>-3.0527039999999999</v>
      </c>
      <c r="T1951">
        <v>-8.4363939999999998E-2</v>
      </c>
      <c r="U1951">
        <v>-9.8052979999999998E-2</v>
      </c>
      <c r="V1951">
        <v>-3.0110089999999999E-2</v>
      </c>
      <c r="W1951">
        <v>0.1639582</v>
      </c>
      <c r="X1951">
        <v>0.98600759999999998</v>
      </c>
      <c r="Y1951">
        <v>-9.1682239999999998E-2</v>
      </c>
      <c r="Z1951">
        <v>-2.9157440000000001E-3</v>
      </c>
      <c r="AA1951">
        <v>0.995784</v>
      </c>
      <c r="AB1951">
        <v>35</v>
      </c>
      <c r="AC1951">
        <v>-39.832799999999899</v>
      </c>
      <c r="AD1951">
        <v>-1.1107218524519999</v>
      </c>
      <c r="AE1951">
        <v>-1.3118000000000001</v>
      </c>
      <c r="AF1951">
        <v>-3.68559274904089</v>
      </c>
      <c r="AG1951">
        <v>-1.1107218524519999</v>
      </c>
      <c r="AH1951">
        <v>39.6525490581733</v>
      </c>
      <c r="AI1951">
        <v>91.597630503507204</v>
      </c>
      <c r="AJ1951">
        <v>95.310224403653194</v>
      </c>
      <c r="AK1951">
        <v>39.838950083506703</v>
      </c>
      <c r="AL1951">
        <v>80.563279961867806</v>
      </c>
      <c r="AM1951">
        <v>91.749119495245495</v>
      </c>
      <c r="AN1951">
        <v>0.999999948062402</v>
      </c>
    </row>
    <row r="1952" spans="1:40" x14ac:dyDescent="0.3">
      <c r="A1952" t="str">
        <f>"20200111150837495"</f>
        <v>20200111150837495</v>
      </c>
      <c r="B1952" t="str">
        <f>"1578726517485106"</f>
        <v>1578726517485106</v>
      </c>
      <c r="C1952" t="s">
        <v>40</v>
      </c>
      <c r="D1952">
        <v>5.2383879999999996</v>
      </c>
      <c r="E1952">
        <v>0.47783819999999999</v>
      </c>
      <c r="F1952" t="s">
        <v>86</v>
      </c>
      <c r="G1952">
        <v>-293.58580000000001</v>
      </c>
      <c r="H1952" s="1">
        <v>-8.9148850000000006E-6</v>
      </c>
      <c r="I1952">
        <v>140.77199999999999</v>
      </c>
      <c r="J1952">
        <v>-254.63630000000001</v>
      </c>
      <c r="K1952">
        <v>1.1108009999999999</v>
      </c>
      <c r="L1952">
        <v>142.03960000000001</v>
      </c>
      <c r="M1952">
        <v>-0.998197</v>
      </c>
      <c r="N1952">
        <v>0</v>
      </c>
      <c r="O1952">
        <v>5.8835739999999997E-2</v>
      </c>
      <c r="P1952">
        <v>-0.98789689999999997</v>
      </c>
      <c r="Q1952">
        <v>0.15246279999999901</v>
      </c>
      <c r="R1952">
        <v>2.854549E-2</v>
      </c>
      <c r="S1952">
        <v>-3.0528559999999998</v>
      </c>
      <c r="T1952">
        <v>-8.6241360000000003E-2</v>
      </c>
      <c r="U1952">
        <v>-9.6771239999999994E-2</v>
      </c>
      <c r="V1952">
        <v>-2.9911719999999999E-2</v>
      </c>
      <c r="W1952">
        <v>0.1641378</v>
      </c>
      <c r="X1952">
        <v>0.98598379999999997</v>
      </c>
      <c r="Y1952">
        <v>-9.037866E-2</v>
      </c>
      <c r="Z1952">
        <v>-2.937107E-3</v>
      </c>
      <c r="AA1952">
        <v>0.99590310000000004</v>
      </c>
      <c r="AB1952">
        <v>35</v>
      </c>
      <c r="AC1952">
        <v>-38.9495</v>
      </c>
      <c r="AD1952">
        <v>-1.1108099148849999</v>
      </c>
      <c r="AE1952">
        <v>-1.2675999999999801</v>
      </c>
      <c r="AF1952">
        <v>-3.5543003296362801</v>
      </c>
      <c r="AG1952">
        <v>-1.1108099148849999</v>
      </c>
      <c r="AH1952">
        <v>38.775927018766403</v>
      </c>
      <c r="AI1952">
        <v>91.634050850685099</v>
      </c>
      <c r="AJ1952">
        <v>95.237242135928099</v>
      </c>
      <c r="AK1952">
        <v>38.954325378126597</v>
      </c>
      <c r="AL1952">
        <v>80.552848725602303</v>
      </c>
      <c r="AM1952">
        <v>91.737645026216697</v>
      </c>
      <c r="AN1952">
        <v>0.99999999112231897</v>
      </c>
    </row>
    <row r="1953" spans="1:40" x14ac:dyDescent="0.3">
      <c r="A1953" t="str">
        <f>"20200111150837518"</f>
        <v>20200111150837518</v>
      </c>
      <c r="B1953" t="str">
        <f>"1578726517515362"</f>
        <v>1578726517515362</v>
      </c>
      <c r="C1953" t="s">
        <v>40</v>
      </c>
      <c r="D1953">
        <v>5.6339899999999998</v>
      </c>
      <c r="E1953">
        <v>0.45709889999999997</v>
      </c>
      <c r="F1953" t="s">
        <v>86</v>
      </c>
      <c r="G1953">
        <v>-292.2817</v>
      </c>
      <c r="H1953" s="1">
        <v>-9.0744629999999997E-6</v>
      </c>
      <c r="I1953">
        <v>140.9427</v>
      </c>
      <c r="J1953">
        <v>-254.98670000000001</v>
      </c>
      <c r="K1953">
        <v>1.110886</v>
      </c>
      <c r="L1953">
        <v>142.05930000000001</v>
      </c>
      <c r="M1953">
        <v>-0.9982531</v>
      </c>
      <c r="N1953">
        <v>0</v>
      </c>
      <c r="O1953">
        <v>5.7875009999999998E-2</v>
      </c>
      <c r="P1953">
        <v>-0.98780230000000002</v>
      </c>
      <c r="Q1953">
        <v>0.15305079999999999</v>
      </c>
      <c r="R1953">
        <v>2.8665179999999998E-2</v>
      </c>
      <c r="S1953">
        <v>-3.053223</v>
      </c>
      <c r="T1953">
        <v>-9.0091939999999995E-2</v>
      </c>
      <c r="U1953">
        <v>-8.8958739999999994E-2</v>
      </c>
      <c r="V1953">
        <v>-2.8873099999999999E-2</v>
      </c>
      <c r="W1953">
        <v>0.16472249999999999</v>
      </c>
      <c r="X1953">
        <v>0.9859173</v>
      </c>
      <c r="Y1953">
        <v>-8.686642E-2</v>
      </c>
      <c r="Z1953">
        <v>-2.9877990000000002E-3</v>
      </c>
      <c r="AA1953">
        <v>0.99621550000000003</v>
      </c>
      <c r="AB1953">
        <v>35</v>
      </c>
      <c r="AC1953">
        <v>-37.294999999999902</v>
      </c>
      <c r="AD1953">
        <v>-1.110895074463</v>
      </c>
      <c r="AE1953">
        <v>-1.1166</v>
      </c>
      <c r="AF1953">
        <v>-3.2704299836160899</v>
      </c>
      <c r="AG1953">
        <v>-1.110895074463</v>
      </c>
      <c r="AH1953">
        <v>37.134932483545803</v>
      </c>
      <c r="AI1953">
        <v>91.706895006004103</v>
      </c>
      <c r="AJ1953">
        <v>95.032986810922694</v>
      </c>
      <c r="AK1953">
        <v>37.295214313658398</v>
      </c>
      <c r="AL1953">
        <v>80.518886070574297</v>
      </c>
      <c r="AM1953">
        <v>91.677457207165602</v>
      </c>
      <c r="AN1953">
        <v>1.0000000401745699</v>
      </c>
    </row>
    <row r="1954" spans="1:40" x14ac:dyDescent="0.3">
      <c r="A1954" t="str">
        <f>"20200111150837538"</f>
        <v>20200111150837538</v>
      </c>
      <c r="B1954" t="str">
        <f>"1578726517534882"</f>
        <v>1578726517534882</v>
      </c>
      <c r="C1954" t="s">
        <v>40</v>
      </c>
      <c r="D1954">
        <v>6.1105790000000004</v>
      </c>
      <c r="E1954">
        <v>0.45709889999999997</v>
      </c>
      <c r="F1954" t="s">
        <v>49</v>
      </c>
      <c r="G1954">
        <v>0</v>
      </c>
      <c r="H1954">
        <v>0</v>
      </c>
      <c r="I1954">
        <v>0</v>
      </c>
      <c r="J1954">
        <v>-255.30680000000001</v>
      </c>
      <c r="K1954">
        <v>1.1109880000000001</v>
      </c>
      <c r="L1954">
        <v>142.077</v>
      </c>
      <c r="M1954">
        <v>-0.9983107</v>
      </c>
      <c r="N1954">
        <v>0</v>
      </c>
      <c r="O1954">
        <v>5.6873510000000002E-2</v>
      </c>
      <c r="P1954">
        <v>-0.9877785</v>
      </c>
      <c r="Q1954">
        <v>0.1532316</v>
      </c>
      <c r="R1954">
        <v>2.8527009999999998E-2</v>
      </c>
      <c r="S1954">
        <v>-2.8359990000000002</v>
      </c>
      <c r="T1954">
        <v>1.34598</v>
      </c>
      <c r="U1954">
        <v>-0.25920100000000001</v>
      </c>
      <c r="V1954">
        <v>-2.805846E-2</v>
      </c>
      <c r="W1954">
        <v>0.1649002</v>
      </c>
      <c r="X1954">
        <v>0.98591110000000004</v>
      </c>
      <c r="Y1954">
        <v>-0.127891899999999</v>
      </c>
      <c r="Z1954">
        <v>5.4341460000000001E-2</v>
      </c>
      <c r="AA1954">
        <v>0.99029829999999996</v>
      </c>
      <c r="AB1954">
        <v>35</v>
      </c>
      <c r="AC1954">
        <v>-2.8359990000000002</v>
      </c>
      <c r="AD1954">
        <v>1.34598</v>
      </c>
      <c r="AE1954">
        <v>-0.25920100000000001</v>
      </c>
      <c r="AF1954">
        <v>-0.343380290314243</v>
      </c>
      <c r="AG1954">
        <v>1.34598</v>
      </c>
      <c r="AH1954">
        <v>2.3023555721091098</v>
      </c>
      <c r="AI1954">
        <v>59.962875016474896</v>
      </c>
      <c r="AJ1954">
        <v>98.482739377307695</v>
      </c>
      <c r="AK1954">
        <v>2.6889427968252102</v>
      </c>
      <c r="AL1954">
        <v>80.508563306036294</v>
      </c>
      <c r="AM1954">
        <v>91.630164748957</v>
      </c>
      <c r="AN1954">
        <v>1.00000002512041</v>
      </c>
    </row>
    <row r="1955" spans="1:40" x14ac:dyDescent="0.3">
      <c r="A1955" t="str">
        <f>"20200111150837562"</f>
        <v>20200111150837562</v>
      </c>
      <c r="B1955" t="str">
        <f>"1578726517555378"</f>
        <v>1578726517555378</v>
      </c>
      <c r="C1955" t="s">
        <v>40</v>
      </c>
      <c r="D1955">
        <v>5.4179069999999996</v>
      </c>
      <c r="E1955">
        <v>0.45366790000000001</v>
      </c>
      <c r="F1955" t="s">
        <v>49</v>
      </c>
      <c r="G1955">
        <v>0</v>
      </c>
      <c r="H1955">
        <v>0</v>
      </c>
      <c r="I1955">
        <v>0</v>
      </c>
      <c r="J1955">
        <v>-255.65989999999999</v>
      </c>
      <c r="K1955">
        <v>1.111102</v>
      </c>
      <c r="L1955">
        <v>142.0958</v>
      </c>
      <c r="M1955">
        <v>-0.99838159999999998</v>
      </c>
      <c r="N1955">
        <v>0</v>
      </c>
      <c r="O1955">
        <v>5.5612920000000003E-2</v>
      </c>
      <c r="P1955">
        <v>-0.98775049999999998</v>
      </c>
      <c r="Q1955">
        <v>0.15348829999999999</v>
      </c>
      <c r="R1955">
        <v>2.8110670000000001E-2</v>
      </c>
      <c r="S1955">
        <v>-2.8357540000000001</v>
      </c>
      <c r="T1955">
        <v>1.3465199999999999</v>
      </c>
      <c r="U1955">
        <v>-0.25984190000000001</v>
      </c>
      <c r="V1955">
        <v>-2.727547E-2</v>
      </c>
      <c r="W1955">
        <v>0.16515279999999999</v>
      </c>
      <c r="X1955">
        <v>0.98589070000000001</v>
      </c>
      <c r="Y1955">
        <v>-0.12707589999999999</v>
      </c>
      <c r="Z1955">
        <v>5.3614189999999999E-2</v>
      </c>
      <c r="AA1955">
        <v>0.99044290000000001</v>
      </c>
      <c r="AB1955">
        <v>35</v>
      </c>
      <c r="AC1955">
        <v>-2.8357540000000001</v>
      </c>
      <c r="AD1955">
        <v>1.3465199999999999</v>
      </c>
      <c r="AE1955">
        <v>-0.25984190000000001</v>
      </c>
      <c r="AF1955">
        <v>-0.34092674391729799</v>
      </c>
      <c r="AG1955">
        <v>1.3465199999999999</v>
      </c>
      <c r="AH1955">
        <v>2.3021660249173301</v>
      </c>
      <c r="AI1955">
        <v>59.9470661512471</v>
      </c>
      <c r="AJ1955">
        <v>98.423683995784003</v>
      </c>
      <c r="AK1955">
        <v>2.6887386562106999</v>
      </c>
      <c r="AL1955">
        <v>80.493888337670697</v>
      </c>
      <c r="AM1955">
        <v>91.584730219164598</v>
      </c>
      <c r="AN1955">
        <v>0.99999993547902299</v>
      </c>
    </row>
    <row r="1956" spans="1:40" x14ac:dyDescent="0.3">
      <c r="A1956" t="str">
        <f>"20200111150837584"</f>
        <v>20200111150837584</v>
      </c>
      <c r="B1956" t="str">
        <f>"1578726517574898"</f>
        <v>1578726517574898</v>
      </c>
      <c r="C1956" t="s">
        <v>40</v>
      </c>
      <c r="D1956">
        <v>5.344036</v>
      </c>
      <c r="E1956">
        <v>0.47976829999999998</v>
      </c>
      <c r="F1956" t="s">
        <v>49</v>
      </c>
      <c r="G1956">
        <v>0</v>
      </c>
      <c r="H1956">
        <v>0</v>
      </c>
      <c r="I1956">
        <v>0</v>
      </c>
      <c r="J1956">
        <v>-256.0222</v>
      </c>
      <c r="K1956">
        <v>1.1112310000000001</v>
      </c>
      <c r="L1956">
        <v>142.1146</v>
      </c>
      <c r="M1956">
        <v>-0.99846239999999997</v>
      </c>
      <c r="N1956">
        <v>0</v>
      </c>
      <c r="O1956">
        <v>5.4145079999999998E-2</v>
      </c>
      <c r="P1956">
        <v>-0.98780409999999996</v>
      </c>
      <c r="Q1956">
        <v>0.15320129999999901</v>
      </c>
      <c r="R1956">
        <v>2.7801800000000002E-2</v>
      </c>
      <c r="S1956">
        <v>-2.8341980000000002</v>
      </c>
      <c r="T1956">
        <v>1.359062</v>
      </c>
      <c r="U1956">
        <v>-0.2881012</v>
      </c>
      <c r="V1956">
        <v>-2.6187970000000001E-2</v>
      </c>
      <c r="W1956">
        <v>0.1648645</v>
      </c>
      <c r="X1956">
        <v>0.98596850000000003</v>
      </c>
      <c r="Y1956">
        <v>-0.13446449999999999</v>
      </c>
      <c r="Z1956">
        <v>5.5081209999999999E-2</v>
      </c>
      <c r="AA1956">
        <v>0.98938630000000005</v>
      </c>
      <c r="AB1956">
        <v>35</v>
      </c>
      <c r="AC1956">
        <v>-2.8341980000000002</v>
      </c>
      <c r="AD1956">
        <v>1.359062</v>
      </c>
      <c r="AE1956">
        <v>-0.2881012</v>
      </c>
      <c r="AF1956">
        <v>-0.35936033107419901</v>
      </c>
      <c r="AG1956">
        <v>1.359062</v>
      </c>
      <c r="AH1956">
        <v>2.2926539031015101</v>
      </c>
      <c r="AI1956">
        <v>59.645083438963098</v>
      </c>
      <c r="AJ1956">
        <v>98.908300966557604</v>
      </c>
      <c r="AK1956">
        <v>2.6893217150055402</v>
      </c>
      <c r="AL1956">
        <v>80.5106368903716</v>
      </c>
      <c r="AM1956">
        <v>91.5214557684792</v>
      </c>
      <c r="AN1956">
        <v>0.99999999806260997</v>
      </c>
    </row>
    <row r="1957" spans="1:40" x14ac:dyDescent="0.3">
      <c r="A1957" t="str">
        <f>"20200111150837606"</f>
        <v>20200111150837606</v>
      </c>
      <c r="B1957" t="str">
        <f>"1578726517595395"</f>
        <v>1578726517595395</v>
      </c>
      <c r="C1957" t="s">
        <v>40</v>
      </c>
      <c r="D1957">
        <v>5.6583579999999998</v>
      </c>
      <c r="E1957">
        <v>0.47923789999999999</v>
      </c>
      <c r="F1957" t="s">
        <v>86</v>
      </c>
      <c r="G1957">
        <v>-317.8141</v>
      </c>
      <c r="H1957" s="1">
        <v>-6.5864710000000002E-6</v>
      </c>
      <c r="I1957">
        <v>140.5591</v>
      </c>
      <c r="J1957">
        <v>-256.36320000000001</v>
      </c>
      <c r="K1957">
        <v>1.111348</v>
      </c>
      <c r="L1957">
        <v>142.1317</v>
      </c>
      <c r="M1957">
        <v>-0.99854290000000001</v>
      </c>
      <c r="N1957">
        <v>0</v>
      </c>
      <c r="O1957">
        <v>5.2635479999999998E-2</v>
      </c>
      <c r="P1957">
        <v>-0.98786370000000001</v>
      </c>
      <c r="Q1957">
        <v>0.1530176</v>
      </c>
      <c r="R1957">
        <v>2.6665709999999999E-2</v>
      </c>
      <c r="S1957">
        <v>-3.0476679999999998</v>
      </c>
      <c r="T1957">
        <v>-5.48079E-2</v>
      </c>
      <c r="U1957">
        <v>-7.6721189999999995E-2</v>
      </c>
      <c r="V1957">
        <v>-2.5878959999999999E-2</v>
      </c>
      <c r="W1957">
        <v>0.16467780000000001</v>
      </c>
      <c r="X1957">
        <v>0.98600790000000005</v>
      </c>
      <c r="Y1957">
        <v>-7.7732330000000002E-2</v>
      </c>
      <c r="Z1957">
        <v>-1.645026E-3</v>
      </c>
      <c r="AA1957">
        <v>0.99697290000000005</v>
      </c>
      <c r="AB1957">
        <v>35</v>
      </c>
      <c r="AC1957">
        <v>-61.450899999999898</v>
      </c>
      <c r="AD1957">
        <v>-1.1113545864709999</v>
      </c>
      <c r="AE1957">
        <v>-1.57259999999999</v>
      </c>
      <c r="AF1957">
        <v>-4.80357625162282</v>
      </c>
      <c r="AG1957">
        <v>-1.1113545864709999</v>
      </c>
      <c r="AH1957">
        <v>61.262899289326697</v>
      </c>
      <c r="AI1957">
        <v>91.036094706030397</v>
      </c>
      <c r="AJ1957">
        <v>94.483344615938705</v>
      </c>
      <c r="AK1957">
        <v>61.460981794600499</v>
      </c>
      <c r="AL1957">
        <v>80.521482636703794</v>
      </c>
      <c r="AM1957">
        <v>91.503451295999</v>
      </c>
      <c r="AN1957">
        <v>1.0000000386229599</v>
      </c>
    </row>
    <row r="1958" spans="1:40" x14ac:dyDescent="0.3">
      <c r="A1958" t="str">
        <f>"20200111150837628"</f>
        <v>20200111150837628</v>
      </c>
      <c r="B1958" t="str">
        <f>"1578726517624674"</f>
        <v>1578726517624674</v>
      </c>
      <c r="C1958" t="s">
        <v>40</v>
      </c>
      <c r="D1958">
        <v>5.1971629999999998</v>
      </c>
      <c r="E1958">
        <v>0.48269200000000001</v>
      </c>
      <c r="F1958" t="s">
        <v>86</v>
      </c>
      <c r="G1958">
        <v>-297.98379999999997</v>
      </c>
      <c r="H1958" s="1">
        <v>-8.5839999999999995E-6</v>
      </c>
      <c r="I1958">
        <v>140.98230000000001</v>
      </c>
      <c r="J1958">
        <v>-256.70100000000002</v>
      </c>
      <c r="K1958">
        <v>1.1114550000000001</v>
      </c>
      <c r="L1958">
        <v>142.14789999999999</v>
      </c>
      <c r="M1958">
        <v>-0.99862689999999998</v>
      </c>
      <c r="N1958">
        <v>0</v>
      </c>
      <c r="O1958">
        <v>5.1017300000000002E-2</v>
      </c>
      <c r="P1958">
        <v>-0.98796859999999997</v>
      </c>
      <c r="Q1958">
        <v>0.1525463</v>
      </c>
      <c r="R1958">
        <v>2.5448800000000001E-2</v>
      </c>
      <c r="S1958">
        <v>-3.0517270000000001</v>
      </c>
      <c r="T1958">
        <v>-8.1487420000000005E-2</v>
      </c>
      <c r="U1958">
        <v>-8.4274290000000002E-2</v>
      </c>
      <c r="V1958">
        <v>-2.55406E-2</v>
      </c>
      <c r="W1958">
        <v>0.16420509999999999</v>
      </c>
      <c r="X1958">
        <v>0.98609550000000001</v>
      </c>
      <c r="Y1958">
        <v>-7.8524129999999998E-2</v>
      </c>
      <c r="Z1958">
        <v>-2.4096489999999998E-3</v>
      </c>
      <c r="AA1958">
        <v>0.9969093</v>
      </c>
      <c r="AB1958">
        <v>35</v>
      </c>
      <c r="AC1958">
        <v>-41.282800000000002</v>
      </c>
      <c r="AD1958">
        <v>-1.11146358399999</v>
      </c>
      <c r="AE1958">
        <v>-1.16559999999998</v>
      </c>
      <c r="AF1958">
        <v>-3.2680010293791701</v>
      </c>
      <c r="AG1958">
        <v>-1.11146358399999</v>
      </c>
      <c r="AH1958">
        <v>41.139766011772302</v>
      </c>
      <c r="AI1958">
        <v>91.542713053214598</v>
      </c>
      <c r="AJ1958">
        <v>94.541841748961204</v>
      </c>
      <c r="AK1958">
        <v>41.284325470206703</v>
      </c>
      <c r="AL1958">
        <v>80.548939633246604</v>
      </c>
      <c r="AM1958">
        <v>91.483671191250494</v>
      </c>
      <c r="AN1958">
        <v>0.999999986117309</v>
      </c>
    </row>
    <row r="1959" spans="1:40" x14ac:dyDescent="0.3">
      <c r="A1959" t="str">
        <f>"20200111150837650"</f>
        <v>20200111150837650</v>
      </c>
      <c r="B1959" t="str">
        <f>"1578726517645170"</f>
        <v>1578726517645170</v>
      </c>
      <c r="C1959" t="s">
        <v>40</v>
      </c>
      <c r="D1959">
        <v>5.259722</v>
      </c>
      <c r="E1959">
        <v>0.48253079999999998</v>
      </c>
      <c r="F1959" t="s">
        <v>86</v>
      </c>
      <c r="G1959">
        <v>-424.17750000000001</v>
      </c>
      <c r="H1959" s="1">
        <v>-1.008916E-5</v>
      </c>
      <c r="I1959">
        <v>138.84129999999999</v>
      </c>
      <c r="J1959">
        <v>-257.03769999999997</v>
      </c>
      <c r="K1959">
        <v>1.1115539999999999</v>
      </c>
      <c r="L1959">
        <v>142.1635</v>
      </c>
      <c r="M1959">
        <v>-0.99871370000000004</v>
      </c>
      <c r="N1959">
        <v>0</v>
      </c>
      <c r="O1959">
        <v>4.9290630000000002E-2</v>
      </c>
      <c r="P1959">
        <v>-0.98801110000000003</v>
      </c>
      <c r="Q1959">
        <v>0.15233450000000001</v>
      </c>
      <c r="R1959">
        <v>2.5066720000000001E-2</v>
      </c>
      <c r="S1959">
        <v>-3.0411679999999999</v>
      </c>
      <c r="T1959">
        <v>-2.0182849999999999E-2</v>
      </c>
      <c r="U1959">
        <v>-6.0043329999999999E-2</v>
      </c>
      <c r="V1959">
        <v>-2.4255889999999999E-2</v>
      </c>
      <c r="W1959">
        <v>0.1639948</v>
      </c>
      <c r="X1959">
        <v>0.98616300000000001</v>
      </c>
      <c r="Y1959">
        <v>-6.8997580000000003E-2</v>
      </c>
      <c r="Z1959">
        <v>-5.5597549999999996E-4</v>
      </c>
      <c r="AA1959">
        <v>0.99761659999999996</v>
      </c>
      <c r="AB1959">
        <v>35</v>
      </c>
      <c r="AC1959">
        <v>-167.13980000000001</v>
      </c>
      <c r="AD1959">
        <v>-1.11156408916</v>
      </c>
      <c r="AE1959">
        <v>-3.3222</v>
      </c>
      <c r="AF1959">
        <v>-11.556658754835601</v>
      </c>
      <c r="AG1959">
        <v>-1.11156408916</v>
      </c>
      <c r="AH1959">
        <v>166.76547127546101</v>
      </c>
      <c r="AI1959">
        <v>90.380981850428398</v>
      </c>
      <c r="AJ1959">
        <v>93.964195100569597</v>
      </c>
      <c r="AK1959">
        <v>167.169118996382</v>
      </c>
      <c r="AL1959">
        <v>80.561155157637103</v>
      </c>
      <c r="AM1959">
        <v>91.408975971082697</v>
      </c>
      <c r="AN1959">
        <v>1.0000000525978601</v>
      </c>
    </row>
    <row r="1960" spans="1:40" x14ac:dyDescent="0.3">
      <c r="A1960" t="str">
        <f>"20200111150837672"</f>
        <v>20200111150837672</v>
      </c>
      <c r="B1960" t="str">
        <f>"1578726517664690"</f>
        <v>1578726517664690</v>
      </c>
      <c r="C1960" t="s">
        <v>40</v>
      </c>
      <c r="D1960">
        <v>5.2212230000000002</v>
      </c>
      <c r="E1960">
        <v>0.48339300000000002</v>
      </c>
      <c r="F1960" t="s">
        <v>43</v>
      </c>
      <c r="G1960">
        <v>-342.27850000000001</v>
      </c>
      <c r="H1960" s="1">
        <v>-3.5018480000000001E-6</v>
      </c>
      <c r="I1960">
        <v>140.39449999999999</v>
      </c>
      <c r="J1960">
        <v>-257.39429999999999</v>
      </c>
      <c r="K1960">
        <v>1.1116539999999999</v>
      </c>
      <c r="L1960">
        <v>142.17920000000001</v>
      </c>
      <c r="M1960">
        <v>-0.99880709999999995</v>
      </c>
      <c r="N1960">
        <v>0</v>
      </c>
      <c r="O1960">
        <v>4.7358099999999903E-2</v>
      </c>
      <c r="P1960">
        <v>-0.98794499999999996</v>
      </c>
      <c r="Q1960">
        <v>0.15276020000000001</v>
      </c>
      <c r="R1960">
        <v>2.5088800000000001E-2</v>
      </c>
      <c r="S1960">
        <v>-3.0441280000000002</v>
      </c>
      <c r="T1960">
        <v>-3.9696099999999998E-2</v>
      </c>
      <c r="U1960">
        <v>-6.3171389999999994E-2</v>
      </c>
      <c r="V1960">
        <v>-2.2359629999999998E-2</v>
      </c>
      <c r="W1960">
        <v>0.16442470000000001</v>
      </c>
      <c r="X1960">
        <v>0.98613620000000002</v>
      </c>
      <c r="Y1960">
        <v>-6.8065580000000001E-2</v>
      </c>
      <c r="Z1960">
        <v>-1.0611419999999999E-3</v>
      </c>
      <c r="AA1960">
        <v>0.99768029999999996</v>
      </c>
      <c r="AB1960">
        <v>35</v>
      </c>
      <c r="AC1960">
        <v>-84.884200000000007</v>
      </c>
      <c r="AD1960">
        <v>-1.1116575018479999</v>
      </c>
      <c r="AE1960">
        <v>-1.7847000000000099</v>
      </c>
      <c r="AF1960">
        <v>-5.8019416404681499</v>
      </c>
      <c r="AG1960">
        <v>-1.1116575018479999</v>
      </c>
      <c r="AH1960">
        <v>84.6898996784563</v>
      </c>
      <c r="AI1960">
        <v>90.750274917497407</v>
      </c>
      <c r="AJ1960">
        <v>93.919099729287694</v>
      </c>
      <c r="AK1960">
        <v>84.895685501371602</v>
      </c>
      <c r="AL1960">
        <v>80.536184429382203</v>
      </c>
      <c r="AM1960">
        <v>91.298900653126594</v>
      </c>
      <c r="AN1960">
        <v>1.00000001998713</v>
      </c>
    </row>
    <row r="1961" spans="1:40" x14ac:dyDescent="0.3">
      <c r="A1961" t="str">
        <f>"20200111150837695"</f>
        <v>20200111150837695</v>
      </c>
      <c r="B1961" t="str">
        <f>"1578726517685189"</f>
        <v>1578726517685189</v>
      </c>
      <c r="C1961" t="s">
        <v>40</v>
      </c>
      <c r="D1961">
        <v>5.2216279999999999</v>
      </c>
      <c r="E1961">
        <v>0.4830758</v>
      </c>
      <c r="F1961" t="s">
        <v>43</v>
      </c>
      <c r="G1961">
        <v>-325.88549999999998</v>
      </c>
      <c r="H1961" s="1">
        <v>-2.0901499999999998E-6</v>
      </c>
      <c r="I1961">
        <v>140.90440000000001</v>
      </c>
      <c r="J1961">
        <v>-257.7527</v>
      </c>
      <c r="K1961">
        <v>1.1117379999999999</v>
      </c>
      <c r="L1961">
        <v>142.1943</v>
      </c>
      <c r="M1961">
        <v>-0.99890089999999998</v>
      </c>
      <c r="N1961">
        <v>0</v>
      </c>
      <c r="O1961">
        <v>4.533529E-2</v>
      </c>
      <c r="P1961">
        <v>-0.98792290000000005</v>
      </c>
      <c r="Q1961">
        <v>0.1531004</v>
      </c>
      <c r="R1961">
        <v>2.3844230000000001E-2</v>
      </c>
      <c r="S1961">
        <v>-3.0456539999999999</v>
      </c>
      <c r="T1961">
        <v>-4.9432990000000003E-2</v>
      </c>
      <c r="U1961">
        <v>-5.6686399999999998E-2</v>
      </c>
      <c r="V1961">
        <v>-2.163752E-2</v>
      </c>
      <c r="W1961">
        <v>0.1647662</v>
      </c>
      <c r="X1961">
        <v>0.98609530000000001</v>
      </c>
      <c r="Y1961">
        <v>-6.390614E-2</v>
      </c>
      <c r="Z1961">
        <v>-1.254191E-3</v>
      </c>
      <c r="AA1961">
        <v>0.99795509999999998</v>
      </c>
      <c r="AB1961">
        <v>35</v>
      </c>
      <c r="AC1961">
        <v>-68.132799999999904</v>
      </c>
      <c r="AD1961">
        <v>-1.1117400901500001</v>
      </c>
      <c r="AE1961">
        <v>-1.2898999999999801</v>
      </c>
      <c r="AF1961">
        <v>-4.3764478661802801</v>
      </c>
      <c r="AG1961">
        <v>-1.1117400901500001</v>
      </c>
      <c r="AH1961">
        <v>67.986160624075794</v>
      </c>
      <c r="AI1961">
        <v>90.934907995291198</v>
      </c>
      <c r="AJ1961">
        <v>93.683198021236606</v>
      </c>
      <c r="AK1961">
        <v>68.135947181763598</v>
      </c>
      <c r="AL1961">
        <v>80.516347288163004</v>
      </c>
      <c r="AM1961">
        <v>91.257018123199003</v>
      </c>
      <c r="AN1961">
        <v>1.00000001180814</v>
      </c>
    </row>
    <row r="1962" spans="1:40" x14ac:dyDescent="0.3">
      <c r="A1962" t="str">
        <f>"20200111150837717"</f>
        <v>20200111150837717</v>
      </c>
      <c r="B1962" t="str">
        <f>"1578726517715442"</f>
        <v>1578726517715442</v>
      </c>
      <c r="C1962" t="s">
        <v>40</v>
      </c>
      <c r="D1962">
        <v>5.3269919999999997</v>
      </c>
      <c r="E1962">
        <v>0.4831915</v>
      </c>
      <c r="F1962" t="s">
        <v>86</v>
      </c>
      <c r="G1962">
        <v>-317.8</v>
      </c>
      <c r="H1962" s="1">
        <v>-6.6993249999999996E-6</v>
      </c>
      <c r="I1962">
        <v>140.96289999999999</v>
      </c>
      <c r="J1962">
        <v>-258.08640000000003</v>
      </c>
      <c r="K1962">
        <v>1.1117999999999999</v>
      </c>
      <c r="L1962">
        <v>142.20760000000001</v>
      </c>
      <c r="M1962">
        <v>-0.99898670000000001</v>
      </c>
      <c r="N1962">
        <v>0</v>
      </c>
      <c r="O1962">
        <v>4.3402629999999998E-2</v>
      </c>
      <c r="P1962">
        <v>-0.98798019999999998</v>
      </c>
      <c r="Q1962">
        <v>0.15285960000000001</v>
      </c>
      <c r="R1962">
        <v>2.299843E-2</v>
      </c>
      <c r="S1962">
        <v>-3.0469059999999999</v>
      </c>
      <c r="T1962">
        <v>-5.641198E-2</v>
      </c>
      <c r="U1962">
        <v>-6.2484739999999997E-2</v>
      </c>
      <c r="V1962">
        <v>-2.0599180000000002E-2</v>
      </c>
      <c r="W1962">
        <v>0.16452919999999999</v>
      </c>
      <c r="X1962">
        <v>0.98615710000000001</v>
      </c>
      <c r="Y1962">
        <v>-6.3862189999999999E-2</v>
      </c>
      <c r="Z1962">
        <v>-1.3944579999999999E-3</v>
      </c>
      <c r="AA1962">
        <v>0.99795780000000001</v>
      </c>
      <c r="AB1962">
        <v>35</v>
      </c>
      <c r="AC1962">
        <v>-59.7135999999999</v>
      </c>
      <c r="AD1962">
        <v>-1.111806699325</v>
      </c>
      <c r="AE1962">
        <v>-1.2447000000000199</v>
      </c>
      <c r="AF1962">
        <v>-3.8341093649601499</v>
      </c>
      <c r="AG1962">
        <v>-1.111806699325</v>
      </c>
      <c r="AH1962">
        <v>59.582648183519602</v>
      </c>
      <c r="AI1962">
        <v>91.066803935844803</v>
      </c>
      <c r="AJ1962">
        <v>93.681874243930494</v>
      </c>
      <c r="AK1962">
        <v>59.716232913004497</v>
      </c>
      <c r="AL1962">
        <v>80.530114207282395</v>
      </c>
      <c r="AM1962">
        <v>91.196639424250293</v>
      </c>
      <c r="AN1962">
        <v>1.0000000048748601</v>
      </c>
    </row>
    <row r="1963" spans="1:40" x14ac:dyDescent="0.3">
      <c r="A1963" t="str">
        <f>"20200111150837751"</f>
        <v>20200111150837751</v>
      </c>
      <c r="B1963" t="str">
        <f>"1578726517744723"</f>
        <v>1578726517744723</v>
      </c>
      <c r="C1963" t="s">
        <v>40</v>
      </c>
      <c r="D1963">
        <v>5.2573249999999998</v>
      </c>
      <c r="E1963">
        <v>0.48367209999999999</v>
      </c>
      <c r="F1963" t="s">
        <v>43</v>
      </c>
      <c r="G1963">
        <v>-335.84429999999998</v>
      </c>
      <c r="H1963" s="1">
        <v>-2.1992259999999999E-6</v>
      </c>
      <c r="I1963">
        <v>140.57210000000001</v>
      </c>
      <c r="J1963">
        <v>-258.60410000000002</v>
      </c>
      <c r="K1963">
        <v>1.1118809999999999</v>
      </c>
      <c r="L1963">
        <v>142.2269</v>
      </c>
      <c r="M1963">
        <v>-0.99911479999999997</v>
      </c>
      <c r="N1963">
        <v>0</v>
      </c>
      <c r="O1963">
        <v>4.0346920000000001E-2</v>
      </c>
      <c r="P1963">
        <v>-0.9880871</v>
      </c>
      <c r="Q1963">
        <v>0.1523505</v>
      </c>
      <c r="R1963">
        <v>2.1759839999999999E-2</v>
      </c>
      <c r="S1963">
        <v>-3.044708</v>
      </c>
      <c r="T1963">
        <v>-4.3534040000000003E-2</v>
      </c>
      <c r="U1963">
        <v>-6.4041139999999996E-2</v>
      </c>
      <c r="V1963">
        <v>-1.884535E-2</v>
      </c>
      <c r="W1963">
        <v>0.164027799999999</v>
      </c>
      <c r="X1963">
        <v>0.98627569999999998</v>
      </c>
      <c r="Y1963">
        <v>-6.1342290000000001E-2</v>
      </c>
      <c r="Z1963">
        <v>-1.015256E-3</v>
      </c>
      <c r="AA1963">
        <v>0.99811629999999996</v>
      </c>
      <c r="AB1963">
        <v>35</v>
      </c>
      <c r="AC1963">
        <v>-77.240199999999902</v>
      </c>
      <c r="AD1963">
        <v>-1.1118831992260001</v>
      </c>
      <c r="AE1963">
        <v>-1.6547999999999901</v>
      </c>
      <c r="AF1963">
        <v>-4.7690896173714803</v>
      </c>
      <c r="AG1963">
        <v>-1.1118831992260001</v>
      </c>
      <c r="AH1963">
        <v>77.094557802659494</v>
      </c>
      <c r="AI1963">
        <v>90.824705165486293</v>
      </c>
      <c r="AJ1963">
        <v>93.539821315976496</v>
      </c>
      <c r="AK1963">
        <v>77.249927785175601</v>
      </c>
      <c r="AL1963">
        <v>80.559238049232306</v>
      </c>
      <c r="AM1963">
        <v>91.094650958730995</v>
      </c>
      <c r="AN1963">
        <v>1.0000000113999701</v>
      </c>
    </row>
    <row r="1964" spans="1:40" x14ac:dyDescent="0.3">
      <c r="A1964" t="str">
        <f>"20200111150837773"</f>
        <v>20200111150837773</v>
      </c>
      <c r="B1964" t="str">
        <f>"1578726517765218"</f>
        <v>1578726517765218</v>
      </c>
      <c r="C1964" t="s">
        <v>40</v>
      </c>
      <c r="D1964">
        <v>4.1351459999999998</v>
      </c>
      <c r="E1964">
        <v>0.51935609999999999</v>
      </c>
      <c r="F1964" t="s">
        <v>43</v>
      </c>
      <c r="G1964">
        <v>-320.34910000000002</v>
      </c>
      <c r="H1964" s="1">
        <v>-4.3861280000000002E-6</v>
      </c>
      <c r="I1964">
        <v>140.9067</v>
      </c>
      <c r="J1964">
        <v>-258.96440000000001</v>
      </c>
      <c r="K1964">
        <v>1.111917</v>
      </c>
      <c r="L1964">
        <v>142.23939999999999</v>
      </c>
      <c r="M1964">
        <v>-0.99919919999999995</v>
      </c>
      <c r="N1964">
        <v>0</v>
      </c>
      <c r="O1964">
        <v>3.8201510000000001E-2</v>
      </c>
      <c r="P1964">
        <v>-0.98799099999999995</v>
      </c>
      <c r="Q1964">
        <v>0.153057</v>
      </c>
      <c r="R1964">
        <v>2.114914E-2</v>
      </c>
      <c r="S1964">
        <v>-3.0460820000000002</v>
      </c>
      <c r="T1964">
        <v>-5.4852959999999999E-2</v>
      </c>
      <c r="U1964">
        <v>-6.5124509999999997E-2</v>
      </c>
      <c r="V1964">
        <v>-1.734629E-2</v>
      </c>
      <c r="W1964">
        <v>0.16474029999999901</v>
      </c>
      <c r="X1964">
        <v>0.98618439999999996</v>
      </c>
      <c r="Y1964">
        <v>-5.9538920000000002E-2</v>
      </c>
      <c r="Z1964">
        <v>-1.2237560000000001E-3</v>
      </c>
      <c r="AA1964">
        <v>0.99822520000000003</v>
      </c>
      <c r="AB1964">
        <v>35</v>
      </c>
      <c r="AC1964">
        <v>-61.384700000000002</v>
      </c>
      <c r="AD1964">
        <v>-1.111921386128</v>
      </c>
      <c r="AE1964">
        <v>-1.33269999999998</v>
      </c>
      <c r="AF1964">
        <v>-3.6756758621202401</v>
      </c>
      <c r="AG1964">
        <v>-1.111921386128</v>
      </c>
      <c r="AH1964">
        <v>61.268877645282103</v>
      </c>
      <c r="AI1964">
        <v>91.037837016173398</v>
      </c>
      <c r="AJ1964">
        <v>93.433204719830101</v>
      </c>
      <c r="AK1964">
        <v>61.389105956389798</v>
      </c>
      <c r="AL1964">
        <v>80.5178513653441</v>
      </c>
      <c r="AM1964">
        <v>91.007688552669293</v>
      </c>
      <c r="AN1964">
        <v>0.99999996551210601</v>
      </c>
    </row>
    <row r="1965" spans="1:40" x14ac:dyDescent="0.3">
      <c r="A1965" t="str">
        <f>"20200111150837796"</f>
        <v>20200111150837796</v>
      </c>
      <c r="B1965" t="str">
        <f>"1578726517785324"</f>
        <v>1578726517785324</v>
      </c>
      <c r="C1965" t="s">
        <v>40</v>
      </c>
      <c r="D1965">
        <v>5.3242269999999996</v>
      </c>
      <c r="E1965">
        <v>0.59202690000000002</v>
      </c>
      <c r="F1965" t="s">
        <v>83</v>
      </c>
      <c r="G1965">
        <v>-511.95190000000002</v>
      </c>
      <c r="H1965">
        <v>80.552530000000004</v>
      </c>
      <c r="I1965">
        <v>161.32599999999999</v>
      </c>
      <c r="J1965">
        <v>-259.31369999999998</v>
      </c>
      <c r="K1965">
        <v>1.111944</v>
      </c>
      <c r="L1965">
        <v>142.2508</v>
      </c>
      <c r="M1965">
        <v>-0.99927639999999995</v>
      </c>
      <c r="N1965">
        <v>0</v>
      </c>
      <c r="O1965">
        <v>3.6124839999999998E-2</v>
      </c>
      <c r="P1965">
        <v>-0.98787020000000003</v>
      </c>
      <c r="Q1965">
        <v>0.1539162</v>
      </c>
      <c r="R1965">
        <v>2.0555859999999999E-2</v>
      </c>
      <c r="S1965">
        <v>-2.8911739999999999</v>
      </c>
      <c r="T1965">
        <v>0.90785729999999998</v>
      </c>
      <c r="U1965">
        <v>0.2181244</v>
      </c>
      <c r="V1965">
        <v>-1.589322E-2</v>
      </c>
      <c r="W1965">
        <v>0.16560520000000001</v>
      </c>
      <c r="X1965">
        <v>0.9860641</v>
      </c>
      <c r="Y1965">
        <v>3.9018110000000002E-2</v>
      </c>
      <c r="Z1965">
        <v>5.0834089999999997E-3</v>
      </c>
      <c r="AA1965">
        <v>0.99922560000000005</v>
      </c>
      <c r="AB1965">
        <v>35</v>
      </c>
      <c r="AC1965">
        <v>-252.63820000000001</v>
      </c>
      <c r="AD1965">
        <v>79.440585999999996</v>
      </c>
      <c r="AE1965">
        <v>19.075199999999899</v>
      </c>
      <c r="AF1965">
        <v>9.0462117566162394</v>
      </c>
      <c r="AG1965">
        <v>79.440585999999996</v>
      </c>
      <c r="AH1965">
        <v>230.50081734525901</v>
      </c>
      <c r="AI1965">
        <v>70.997404139885603</v>
      </c>
      <c r="AJ1965">
        <v>87.752529042562301</v>
      </c>
      <c r="AK1965">
        <v>243.97390730978</v>
      </c>
      <c r="AL1965">
        <v>80.467606851636006</v>
      </c>
      <c r="AM1965">
        <v>90.923404053154201</v>
      </c>
      <c r="AN1965">
        <v>1.0000000430089</v>
      </c>
    </row>
    <row r="1966" spans="1:40" x14ac:dyDescent="0.3">
      <c r="A1966" t="str">
        <f>"20200111150837817"</f>
        <v>20200111150837817</v>
      </c>
      <c r="B1966" t="str">
        <f>"1578726517815566"</f>
        <v>1578726517815566</v>
      </c>
      <c r="C1966" t="s">
        <v>40</v>
      </c>
      <c r="D1966">
        <v>5.9630700000000001</v>
      </c>
      <c r="E1966">
        <v>0.59256209999999998</v>
      </c>
      <c r="F1966" t="s">
        <v>43</v>
      </c>
      <c r="G1966">
        <v>-277.47859999999997</v>
      </c>
      <c r="H1966" s="1">
        <v>-3.0243349999999999E-6</v>
      </c>
      <c r="I1966">
        <v>146.9838</v>
      </c>
      <c r="J1966">
        <v>-259.65129999999999</v>
      </c>
      <c r="K1966">
        <v>1.1119520000000001</v>
      </c>
      <c r="L1966">
        <v>142.2611</v>
      </c>
      <c r="M1966">
        <v>-0.99934610000000001</v>
      </c>
      <c r="N1966">
        <v>0</v>
      </c>
      <c r="O1966">
        <v>3.4141619999999998E-2</v>
      </c>
      <c r="P1966">
        <v>-0.98782999999999999</v>
      </c>
      <c r="Q1966">
        <v>0.15416489999999999</v>
      </c>
      <c r="R1966">
        <v>2.0615069999999999E-2</v>
      </c>
      <c r="S1966">
        <v>-3.0494080000000001</v>
      </c>
      <c r="T1966">
        <v>-0.18666669999999999</v>
      </c>
      <c r="U1966">
        <v>0.79455569999999998</v>
      </c>
      <c r="V1966">
        <v>-1.3875459999999999E-2</v>
      </c>
      <c r="W1966">
        <v>0.16586339999999999</v>
      </c>
      <c r="X1966">
        <v>0.98605109999999996</v>
      </c>
      <c r="Y1966">
        <v>0.2186314</v>
      </c>
      <c r="Z1966">
        <v>4.5245160000000001E-3</v>
      </c>
      <c r="AA1966">
        <v>0.97579700000000003</v>
      </c>
      <c r="AB1966">
        <v>35</v>
      </c>
      <c r="AC1966">
        <v>-17.827299999999902</v>
      </c>
      <c r="AD1966">
        <v>-1.111955024335</v>
      </c>
      <c r="AE1966">
        <v>4.7226999999999997</v>
      </c>
      <c r="AF1966">
        <v>4.0963585485726197</v>
      </c>
      <c r="AG1966">
        <v>-1.111955024335</v>
      </c>
      <c r="AH1966">
        <v>17.913037122093598</v>
      </c>
      <c r="AI1966">
        <v>93.462921733864604</v>
      </c>
      <c r="AJ1966">
        <v>77.119070892584702</v>
      </c>
      <c r="AK1966">
        <v>18.4090601680833</v>
      </c>
      <c r="AL1966">
        <v>80.452605051313995</v>
      </c>
      <c r="AM1966">
        <v>90.806198409972595</v>
      </c>
      <c r="AN1966">
        <v>0.99999998383049005</v>
      </c>
    </row>
    <row r="1967" spans="1:40" x14ac:dyDescent="0.3">
      <c r="A1967" t="str">
        <f>"20200111150837839"</f>
        <v>20200111150837839</v>
      </c>
      <c r="B1967" t="str">
        <f>"1578726517835086"</f>
        <v>1578726517835086</v>
      </c>
      <c r="C1967" t="s">
        <v>40</v>
      </c>
      <c r="D1967">
        <v>4.6796639999999998</v>
      </c>
      <c r="E1967">
        <v>0.59243319999999999</v>
      </c>
      <c r="F1967" t="s">
        <v>43</v>
      </c>
      <c r="G1967">
        <v>-279.0009</v>
      </c>
      <c r="H1967" s="1">
        <v>-2.4646180000000002E-6</v>
      </c>
      <c r="I1967">
        <v>147.33449999999999</v>
      </c>
      <c r="J1967">
        <v>-259.98599999999999</v>
      </c>
      <c r="K1967">
        <v>1.1119460000000001</v>
      </c>
      <c r="L1967">
        <v>142.27070000000001</v>
      </c>
      <c r="M1967">
        <v>-0.99941000000000002</v>
      </c>
      <c r="N1967">
        <v>0</v>
      </c>
      <c r="O1967">
        <v>3.2215100000000003E-2</v>
      </c>
      <c r="P1967">
        <v>-0.98779969999999995</v>
      </c>
      <c r="Q1967">
        <v>0.15440680000000001</v>
      </c>
      <c r="R1967">
        <v>2.0255749999999999E-2</v>
      </c>
      <c r="S1967">
        <v>-3.047577</v>
      </c>
      <c r="T1967">
        <v>-0.1751344</v>
      </c>
      <c r="U1967">
        <v>0.79907229999999996</v>
      </c>
      <c r="V1967">
        <v>-1.232518E-2</v>
      </c>
      <c r="W1967">
        <v>0.16611310000000001</v>
      </c>
      <c r="X1967">
        <v>0.98602970000000001</v>
      </c>
      <c r="Y1967">
        <v>0.22203790000000001</v>
      </c>
      <c r="Z1967">
        <v>4.4518350000000003E-3</v>
      </c>
      <c r="AA1967">
        <v>0.97502789999999995</v>
      </c>
      <c r="AB1967">
        <v>35</v>
      </c>
      <c r="AC1967">
        <v>-19.014900000000001</v>
      </c>
      <c r="AD1967">
        <v>-1.11194846461799</v>
      </c>
      <c r="AE1967">
        <v>5.0637999999999801</v>
      </c>
      <c r="AF1967">
        <v>4.4344010795340196</v>
      </c>
      <c r="AG1967">
        <v>-1.11194846461799</v>
      </c>
      <c r="AH1967">
        <v>19.107158736058299</v>
      </c>
      <c r="AI1967">
        <v>93.244552887642001</v>
      </c>
      <c r="AJ1967">
        <v>76.934066206762097</v>
      </c>
      <c r="AK1967">
        <v>19.646471878865899</v>
      </c>
      <c r="AL1967">
        <v>80.438097391331297</v>
      </c>
      <c r="AM1967">
        <v>90.716148834135694</v>
      </c>
      <c r="AN1967">
        <v>1.0000000206678601</v>
      </c>
    </row>
    <row r="1968" spans="1:40" x14ac:dyDescent="0.3">
      <c r="A1968" t="str">
        <f>"20200111150837863"</f>
        <v>20200111150837863</v>
      </c>
      <c r="B1968" t="str">
        <f>"1578726517855582"</f>
        <v>1578726517855582</v>
      </c>
      <c r="C1968" t="s">
        <v>40</v>
      </c>
      <c r="D1968">
        <v>5.3765320000000001</v>
      </c>
      <c r="E1968">
        <v>0.58703179999999999</v>
      </c>
      <c r="F1968" t="s">
        <v>86</v>
      </c>
      <c r="G1968">
        <v>-280.15879999999999</v>
      </c>
      <c r="H1968" s="1">
        <v>-6.253594E-6</v>
      </c>
      <c r="I1968">
        <v>147.54499999999999</v>
      </c>
      <c r="J1968">
        <v>-260.35469999999998</v>
      </c>
      <c r="K1968">
        <v>1.1119079999999999</v>
      </c>
      <c r="L1968">
        <v>142.28059999999999</v>
      </c>
      <c r="M1968">
        <v>-0.99947399999999997</v>
      </c>
      <c r="N1968">
        <v>0</v>
      </c>
      <c r="O1968">
        <v>3.0165230000000001E-2</v>
      </c>
      <c r="P1968">
        <v>-0.98786099999999999</v>
      </c>
      <c r="Q1968">
        <v>0.15419150000000001</v>
      </c>
      <c r="R1968">
        <v>1.8861739999999998E-2</v>
      </c>
      <c r="S1968">
        <v>-3.046967</v>
      </c>
      <c r="T1968">
        <v>-0.16795299999999999</v>
      </c>
      <c r="U1968">
        <v>0.79664609999999902</v>
      </c>
      <c r="V1968">
        <v>-1.168052E-2</v>
      </c>
      <c r="W1968">
        <v>0.16590189999999999</v>
      </c>
      <c r="X1968">
        <v>0.98607310000000004</v>
      </c>
      <c r="Y1968">
        <v>0.2233772</v>
      </c>
      <c r="Z1968">
        <v>4.4178639999999996E-3</v>
      </c>
      <c r="AA1968">
        <v>0.97472210000000004</v>
      </c>
      <c r="AB1968">
        <v>35</v>
      </c>
      <c r="AC1968">
        <v>-19.804099999999998</v>
      </c>
      <c r="AD1968">
        <v>-1.1119142535940001</v>
      </c>
      <c r="AE1968">
        <v>5.2643999999999904</v>
      </c>
      <c r="AF1968">
        <v>4.65087288589603</v>
      </c>
      <c r="AG1968">
        <v>-1.1119142535940001</v>
      </c>
      <c r="AH1968">
        <v>19.8953219820939</v>
      </c>
      <c r="AI1968">
        <v>93.115022488604794</v>
      </c>
      <c r="AJ1968">
        <v>76.842407025543693</v>
      </c>
      <c r="AK1968">
        <v>20.461935604416698</v>
      </c>
      <c r="AL1968">
        <v>80.450368490317302</v>
      </c>
      <c r="AM1968">
        <v>90.678664897486897</v>
      </c>
      <c r="AN1968">
        <v>1.00000001675734</v>
      </c>
    </row>
    <row r="1969" spans="1:40" x14ac:dyDescent="0.3">
      <c r="A1969" t="str">
        <f>"20200111150837886"</f>
        <v>20200111150837886</v>
      </c>
      <c r="B1969" t="str">
        <f>"1578726517875105"</f>
        <v>1578726517875105</v>
      </c>
      <c r="C1969" t="s">
        <v>40</v>
      </c>
      <c r="D1969">
        <v>5.6470640000000003</v>
      </c>
      <c r="E1969">
        <v>0.58012489999999906</v>
      </c>
      <c r="F1969" t="s">
        <v>83</v>
      </c>
      <c r="G1969">
        <v>-511.07749999999999</v>
      </c>
      <c r="H1969">
        <v>56.83793</v>
      </c>
      <c r="I1969">
        <v>206.73140000000001</v>
      </c>
      <c r="J1969">
        <v>-260.71390000000002</v>
      </c>
      <c r="K1969">
        <v>1.1118600000000001</v>
      </c>
      <c r="L1969">
        <v>142.28960000000001</v>
      </c>
      <c r="M1969">
        <v>-0.99953000000000003</v>
      </c>
      <c r="N1969">
        <v>0</v>
      </c>
      <c r="O1969">
        <v>2.8248140000000001E-2</v>
      </c>
      <c r="P1969">
        <v>-0.98789910000000003</v>
      </c>
      <c r="Q1969">
        <v>0.15410299999999999</v>
      </c>
      <c r="R1969">
        <v>1.7538669999999999E-2</v>
      </c>
      <c r="S1969">
        <v>-2.921173</v>
      </c>
      <c r="T1969">
        <v>0.64926430000000002</v>
      </c>
      <c r="U1969">
        <v>0.75091549999999996</v>
      </c>
      <c r="V1969">
        <v>-1.1089180000000001E-2</v>
      </c>
      <c r="W1969">
        <v>0.1658116</v>
      </c>
      <c r="X1969">
        <v>0.9860951</v>
      </c>
      <c r="Y1969">
        <v>0.2171853</v>
      </c>
      <c r="Z1969">
        <v>-1.7375290000000002E-2</v>
      </c>
      <c r="AA1969">
        <v>0.97597579999999995</v>
      </c>
      <c r="AB1969">
        <v>35</v>
      </c>
      <c r="AC1969">
        <v>-250.36359999999999</v>
      </c>
      <c r="AD1969">
        <v>55.72607</v>
      </c>
      <c r="AE1969">
        <v>64.441800000000001</v>
      </c>
      <c r="AF1969">
        <v>54.797185797031297</v>
      </c>
      <c r="AG1969">
        <v>55.72607</v>
      </c>
      <c r="AH1969">
        <v>240.89142866762401</v>
      </c>
      <c r="AI1969">
        <v>77.288524969264699</v>
      </c>
      <c r="AJ1969">
        <v>77.1846219839247</v>
      </c>
      <c r="AK1969">
        <v>253.252456758959</v>
      </c>
      <c r="AL1969">
        <v>80.455614815830998</v>
      </c>
      <c r="AM1969">
        <v>90.644295292732807</v>
      </c>
      <c r="AN1969">
        <v>1.0000000014258199</v>
      </c>
    </row>
    <row r="1970" spans="1:40" x14ac:dyDescent="0.3">
      <c r="A1970" t="str">
        <f>"20200111150837907"</f>
        <v>20200111150837907</v>
      </c>
      <c r="B1970" t="str">
        <f>"1578726517904890"</f>
        <v>1578726517904890</v>
      </c>
      <c r="C1970" t="s">
        <v>40</v>
      </c>
      <c r="D1970">
        <v>5.143605</v>
      </c>
      <c r="E1970">
        <v>0.57906409999999997</v>
      </c>
      <c r="F1970" t="s">
        <v>87</v>
      </c>
      <c r="G1970">
        <v>-343.82049999999998</v>
      </c>
      <c r="H1970">
        <v>5.9607390000000002</v>
      </c>
      <c r="I1970">
        <v>161.45750000000001</v>
      </c>
      <c r="J1970">
        <v>-261.05439999999999</v>
      </c>
      <c r="K1970">
        <v>1.111804</v>
      </c>
      <c r="L1970">
        <v>142.29750000000001</v>
      </c>
      <c r="M1970">
        <v>-0.99957810000000002</v>
      </c>
      <c r="N1970">
        <v>0</v>
      </c>
      <c r="O1970">
        <v>2.6501199999999999E-2</v>
      </c>
      <c r="P1970">
        <v>-0.98789990000000005</v>
      </c>
      <c r="Q1970">
        <v>0.1542259</v>
      </c>
      <c r="R1970">
        <v>1.6385170000000001E-2</v>
      </c>
      <c r="S1970">
        <v>-2.9971920000000001</v>
      </c>
      <c r="T1970">
        <v>0.1748741</v>
      </c>
      <c r="U1970">
        <v>0.69128420000000002</v>
      </c>
      <c r="V1970">
        <v>-1.049463E-2</v>
      </c>
      <c r="W1970">
        <v>0.1659292</v>
      </c>
      <c r="X1970">
        <v>0.98608180000000001</v>
      </c>
      <c r="Y1970">
        <v>0.19856209999999999</v>
      </c>
      <c r="Z1970">
        <v>-4.1891400000000001E-3</v>
      </c>
      <c r="AA1970">
        <v>0.98007940000000004</v>
      </c>
      <c r="AB1970">
        <v>35</v>
      </c>
      <c r="AC1970">
        <v>-82.766099999999994</v>
      </c>
      <c r="AD1970">
        <v>4.848935</v>
      </c>
      <c r="AE1970">
        <v>19.16</v>
      </c>
      <c r="AF1970">
        <v>16.904642867745999</v>
      </c>
      <c r="AG1970">
        <v>4.848935</v>
      </c>
      <c r="AH1970">
        <v>82.974516646778994</v>
      </c>
      <c r="AI1970">
        <v>86.722677851692694</v>
      </c>
      <c r="AJ1970">
        <v>78.4845600197811</v>
      </c>
      <c r="AK1970">
        <v>84.8177430369782</v>
      </c>
      <c r="AL1970">
        <v>80.448781943056204</v>
      </c>
      <c r="AM1970">
        <v>90.609762096234505</v>
      </c>
      <c r="AN1970">
        <v>0.99999997648135797</v>
      </c>
    </row>
    <row r="1971" spans="1:40" x14ac:dyDescent="0.3">
      <c r="A1971" t="str">
        <f>"20200111150837929"</f>
        <v>20200111150837929</v>
      </c>
      <c r="B1971" t="str">
        <f>"1578726517925385"</f>
        <v>1578726517925385</v>
      </c>
      <c r="C1971" t="s">
        <v>40</v>
      </c>
      <c r="D1971">
        <v>4.9748659999999996</v>
      </c>
      <c r="E1971">
        <v>0.59230769999999899</v>
      </c>
      <c r="F1971" t="s">
        <v>83</v>
      </c>
      <c r="G1971">
        <v>-511.96559999999999</v>
      </c>
      <c r="H1971">
        <v>121.7303</v>
      </c>
      <c r="I1971">
        <v>203.02889999999999</v>
      </c>
      <c r="J1971">
        <v>-261.38830000000002</v>
      </c>
      <c r="K1971">
        <v>1.111747</v>
      </c>
      <c r="L1971">
        <v>142.3047</v>
      </c>
      <c r="M1971">
        <v>-0.99961979999999995</v>
      </c>
      <c r="N1971">
        <v>0</v>
      </c>
      <c r="O1971">
        <v>2.4875600000000001E-2</v>
      </c>
      <c r="P1971">
        <v>-0.98792789999999997</v>
      </c>
      <c r="Q1971">
        <v>0.1542338</v>
      </c>
      <c r="R1971">
        <v>1.450367E-2</v>
      </c>
      <c r="S1971">
        <v>-2.8142399999999999</v>
      </c>
      <c r="T1971">
        <v>1.3528659999999999</v>
      </c>
      <c r="U1971">
        <v>0.68116759999999998</v>
      </c>
      <c r="V1971">
        <v>-1.074525E-2</v>
      </c>
      <c r="W1971">
        <v>0.1659264</v>
      </c>
      <c r="X1971">
        <v>0.98607959999999995</v>
      </c>
      <c r="Y1971">
        <v>0.19352510000000001</v>
      </c>
      <c r="Z1971">
        <v>-3.2370780000000002E-2</v>
      </c>
      <c r="AA1971">
        <v>0.98056109999999996</v>
      </c>
      <c r="AB1971">
        <v>35</v>
      </c>
      <c r="AC1971">
        <v>-250.57730000000001</v>
      </c>
      <c r="AD1971">
        <v>120.61855300000001</v>
      </c>
      <c r="AE1971">
        <v>60.724200000000003</v>
      </c>
      <c r="AF1971">
        <v>44.690804580008802</v>
      </c>
      <c r="AG1971">
        <v>120.61855300000001</v>
      </c>
      <c r="AH1971">
        <v>206.75959861547199</v>
      </c>
      <c r="AI1971">
        <v>60.307875902412697</v>
      </c>
      <c r="AJ1971">
        <v>77.803230622773498</v>
      </c>
      <c r="AK1971">
        <v>243.50695054033599</v>
      </c>
      <c r="AL1971">
        <v>80.448944892394906</v>
      </c>
      <c r="AM1971">
        <v>90.624323947224596</v>
      </c>
      <c r="AN1971">
        <v>1.0000000040753401</v>
      </c>
    </row>
    <row r="1972" spans="1:40" x14ac:dyDescent="0.3">
      <c r="A1972" t="str">
        <f>"20200111150837952"</f>
        <v>20200111150837952</v>
      </c>
      <c r="B1972" t="str">
        <f>"1578726517944906"</f>
        <v>1578726517944906</v>
      </c>
      <c r="C1972" t="s">
        <v>40</v>
      </c>
      <c r="D1972">
        <v>5.3332670000000002</v>
      </c>
      <c r="E1972">
        <v>0.59666439999999998</v>
      </c>
      <c r="F1972" t="s">
        <v>57</v>
      </c>
      <c r="G1972">
        <v>-540.39859999999999</v>
      </c>
      <c r="H1972">
        <v>130.58779999999999</v>
      </c>
      <c r="I1972">
        <v>219.55</v>
      </c>
      <c r="J1972">
        <v>-261.74709999999999</v>
      </c>
      <c r="K1972">
        <v>1.1116629999999901</v>
      </c>
      <c r="L1972">
        <v>142.31200000000001</v>
      </c>
      <c r="M1972">
        <v>-0.99965939999999998</v>
      </c>
      <c r="N1972">
        <v>0</v>
      </c>
      <c r="O1972">
        <v>2.324389E-2</v>
      </c>
      <c r="P1972">
        <v>-0.98791470000000003</v>
      </c>
      <c r="Q1972">
        <v>0.15451860000000001</v>
      </c>
      <c r="R1972">
        <v>1.218385E-2</v>
      </c>
      <c r="S1972">
        <v>-2.8208310000000001</v>
      </c>
      <c r="T1972">
        <v>1.309021</v>
      </c>
      <c r="U1972">
        <v>0.78096009999999905</v>
      </c>
      <c r="V1972">
        <v>-1.142087E-2</v>
      </c>
      <c r="W1972">
        <v>0.16619389999999901</v>
      </c>
      <c r="X1972">
        <v>0.98602690000000004</v>
      </c>
      <c r="Y1972">
        <v>0.22510669999999999</v>
      </c>
      <c r="Z1972">
        <v>-3.880132E-2</v>
      </c>
      <c r="AA1972">
        <v>0.97356120000000002</v>
      </c>
      <c r="AB1972">
        <v>35</v>
      </c>
      <c r="AC1972">
        <v>-278.6515</v>
      </c>
      <c r="AD1972">
        <v>129.47613699999999</v>
      </c>
      <c r="AE1972">
        <v>77.238</v>
      </c>
      <c r="AF1972">
        <v>58.925344482702897</v>
      </c>
      <c r="AG1972">
        <v>129.47613699999999</v>
      </c>
      <c r="AH1972">
        <v>233.54621227038899</v>
      </c>
      <c r="AI1972">
        <v>61.739920227791998</v>
      </c>
      <c r="AJ1972">
        <v>75.839418162119998</v>
      </c>
      <c r="AK1972">
        <v>273.45950256060502</v>
      </c>
      <c r="AL1972">
        <v>80.433401934074695</v>
      </c>
      <c r="AM1972">
        <v>90.663611092709303</v>
      </c>
      <c r="AN1972">
        <v>0.99999994809618697</v>
      </c>
    </row>
    <row r="1973" spans="1:40" x14ac:dyDescent="0.3">
      <c r="A1973" t="str">
        <f>"20200111150837975"</f>
        <v>20200111150837975</v>
      </c>
      <c r="B1973" t="str">
        <f>"1578726517965402"</f>
        <v>1578726517965402</v>
      </c>
      <c r="C1973" t="s">
        <v>40</v>
      </c>
      <c r="D1973">
        <v>5.355251</v>
      </c>
      <c r="E1973">
        <v>0.59672890000000001</v>
      </c>
      <c r="F1973" t="s">
        <v>57</v>
      </c>
      <c r="G1973">
        <v>-531.90060000000005</v>
      </c>
      <c r="H1973">
        <v>122.986</v>
      </c>
      <c r="I1973">
        <v>219.55</v>
      </c>
      <c r="J1973">
        <v>-262.10739999999998</v>
      </c>
      <c r="K1973">
        <v>1.111561</v>
      </c>
      <c r="L1973">
        <v>142.31890000000001</v>
      </c>
      <c r="M1973">
        <v>-0.99969370000000002</v>
      </c>
      <c r="N1973">
        <v>0</v>
      </c>
      <c r="O1973">
        <v>2.173396E-2</v>
      </c>
      <c r="P1973">
        <v>-0.98794839999999995</v>
      </c>
      <c r="Q1973">
        <v>0.15446599999999999</v>
      </c>
      <c r="R1973">
        <v>9.9451320000000006E-3</v>
      </c>
      <c r="S1973">
        <v>-2.8272400000000002</v>
      </c>
      <c r="T1973">
        <v>1.275452</v>
      </c>
      <c r="U1973">
        <v>0.80831909999999996</v>
      </c>
      <c r="V1973">
        <v>-1.2128170000000001E-2</v>
      </c>
      <c r="W1973">
        <v>0.16611919999999999</v>
      </c>
      <c r="X1973">
        <v>0.98603110000000005</v>
      </c>
      <c r="Y1973">
        <v>0.2347796</v>
      </c>
      <c r="Z1973">
        <v>-4.0455900000000003E-2</v>
      </c>
      <c r="AA1973">
        <v>0.97120640000000003</v>
      </c>
      <c r="AB1973">
        <v>35</v>
      </c>
      <c r="AC1973">
        <v>-269.79320000000001</v>
      </c>
      <c r="AD1973">
        <v>121.874439</v>
      </c>
      <c r="AE1973">
        <v>77.231099999999998</v>
      </c>
      <c r="AF1973">
        <v>60.027210062679003</v>
      </c>
      <c r="AG1973">
        <v>121.874439</v>
      </c>
      <c r="AH1973">
        <v>228.34132017605401</v>
      </c>
      <c r="AI1973">
        <v>62.697251196173603</v>
      </c>
      <c r="AJ1973">
        <v>75.271131101880897</v>
      </c>
      <c r="AK1973">
        <v>265.69983690099798</v>
      </c>
      <c r="AL1973">
        <v>80.437742817688004</v>
      </c>
      <c r="AM1973">
        <v>90.704701823318302</v>
      </c>
      <c r="AN1973">
        <v>1.00000000564169</v>
      </c>
    </row>
    <row r="1974" spans="1:40" x14ac:dyDescent="0.3">
      <c r="A1974" t="str">
        <f>"20200111150837997"</f>
        <v>20200111150837997</v>
      </c>
      <c r="B1974" t="str">
        <f>"1578726517985434"</f>
        <v>1578726517985434</v>
      </c>
      <c r="C1974" t="s">
        <v>40</v>
      </c>
      <c r="D1974">
        <v>6.0499369999999999</v>
      </c>
      <c r="E1974">
        <v>0.59605209999999997</v>
      </c>
      <c r="F1974" t="s">
        <v>86</v>
      </c>
      <c r="G1974">
        <v>-280.12700000000001</v>
      </c>
      <c r="H1974" s="1">
        <v>-6.0733830000000003E-6</v>
      </c>
      <c r="I1974">
        <v>147.0316</v>
      </c>
      <c r="J1974">
        <v>-262.44639999999998</v>
      </c>
      <c r="K1974">
        <v>1.111459</v>
      </c>
      <c r="L1974">
        <v>142.32499999999999</v>
      </c>
      <c r="M1974">
        <v>-0.99972110000000003</v>
      </c>
      <c r="N1974">
        <v>0</v>
      </c>
      <c r="O1974">
        <v>2.0440079999999999E-2</v>
      </c>
      <c r="P1974">
        <v>-0.98802100000000004</v>
      </c>
      <c r="Q1974">
        <v>0.15409020000000001</v>
      </c>
      <c r="R1974">
        <v>8.3799530000000007E-3</v>
      </c>
      <c r="S1974">
        <v>-3.0581049999999999</v>
      </c>
      <c r="T1974">
        <v>-0.18864330000000001</v>
      </c>
      <c r="U1974">
        <v>0.79978939999999998</v>
      </c>
      <c r="V1974">
        <v>-1.237444E-2</v>
      </c>
      <c r="W1974">
        <v>0.16572229999999999</v>
      </c>
      <c r="X1974">
        <v>0.98609480000000005</v>
      </c>
      <c r="Y1974">
        <v>0.2328144</v>
      </c>
      <c r="Z1974">
        <v>5.8174840000000004E-3</v>
      </c>
      <c r="AA1974">
        <v>0.97250380000000003</v>
      </c>
      <c r="AB1974">
        <v>35</v>
      </c>
      <c r="AC1974">
        <v>-17.680599999999998</v>
      </c>
      <c r="AD1974">
        <v>-1.111465073383</v>
      </c>
      <c r="AE1974">
        <v>4.7065999999999999</v>
      </c>
      <c r="AF1974">
        <v>4.3282258682005104</v>
      </c>
      <c r="AG1974">
        <v>-1.111465073383</v>
      </c>
      <c r="AH1974">
        <v>17.707768382822302</v>
      </c>
      <c r="AI1974">
        <v>93.489127848699894</v>
      </c>
      <c r="AJ1974">
        <v>76.264768979684405</v>
      </c>
      <c r="AK1974">
        <v>18.262912004255899</v>
      </c>
      <c r="AL1974">
        <v>80.460802912877597</v>
      </c>
      <c r="AM1974">
        <v>90.718963300902104</v>
      </c>
      <c r="AN1974">
        <v>0.99999998103482102</v>
      </c>
    </row>
    <row r="1975" spans="1:40" x14ac:dyDescent="0.3">
      <c r="A1975" t="str">
        <f>"20200111150838063"</f>
        <v>20200111150838063</v>
      </c>
      <c r="B1975" t="str">
        <f>"1578726518055703"</f>
        <v>1578726518055703</v>
      </c>
      <c r="C1975" t="s">
        <v>40</v>
      </c>
      <c r="D1975">
        <v>7.2803579999999997</v>
      </c>
      <c r="E1975">
        <v>0.59605209999999997</v>
      </c>
      <c r="F1975" t="s">
        <v>43</v>
      </c>
      <c r="G1975">
        <v>-277.45870000000002</v>
      </c>
      <c r="H1975" s="1">
        <v>-2.821109E-6</v>
      </c>
      <c r="I1975">
        <v>146.18799999999999</v>
      </c>
      <c r="J1975">
        <v>-263.48809999999997</v>
      </c>
      <c r="K1975">
        <v>1.1111139999999999</v>
      </c>
      <c r="L1975">
        <v>142.34190000000001</v>
      </c>
      <c r="M1975">
        <v>-0.99978259999999997</v>
      </c>
      <c r="N1975">
        <v>0</v>
      </c>
      <c r="O1975">
        <v>1.7243950000000001E-2</v>
      </c>
      <c r="P1975">
        <v>-0.98782020000000004</v>
      </c>
      <c r="Q1975">
        <v>0.15541849999999999</v>
      </c>
      <c r="R1975">
        <v>7.5118619999999898E-3</v>
      </c>
      <c r="S1975">
        <v>-3.0650629999999999</v>
      </c>
      <c r="T1975">
        <v>-0.2269272</v>
      </c>
      <c r="U1975">
        <v>0.78871150000000001</v>
      </c>
      <c r="V1975">
        <v>-9.9507199999999997E-3</v>
      </c>
      <c r="W1975">
        <v>0.166966</v>
      </c>
      <c r="X1975">
        <v>0.98591240000000002</v>
      </c>
      <c r="Y1975">
        <v>0.23191609999999999</v>
      </c>
      <c r="Z1975">
        <v>7.1826099999999999E-3</v>
      </c>
      <c r="AA1975">
        <v>0.9727093</v>
      </c>
      <c r="AB1975">
        <v>35</v>
      </c>
      <c r="AC1975">
        <v>-13.970599999999999</v>
      </c>
      <c r="AD1975">
        <v>-1.1111168211089999</v>
      </c>
      <c r="AE1975">
        <v>3.8460999999999701</v>
      </c>
      <c r="AF1975">
        <v>3.5835327492857898</v>
      </c>
      <c r="AG1975">
        <v>-1.1111168211089999</v>
      </c>
      <c r="AH1975">
        <v>13.9528093648031</v>
      </c>
      <c r="AI1975">
        <v>94.410528625037401</v>
      </c>
      <c r="AJ1975">
        <v>75.595915728538898</v>
      </c>
      <c r="AK1975">
        <v>14.4484316355061</v>
      </c>
      <c r="AL1975">
        <v>80.388537131551104</v>
      </c>
      <c r="AM1975">
        <v>90.578261213737093</v>
      </c>
      <c r="AN1975">
        <v>0.99999996122913803</v>
      </c>
    </row>
    <row r="1976" spans="1:40" x14ac:dyDescent="0.3">
      <c r="A1976" t="str">
        <f>"20200111150838086"</f>
        <v>20200111150838086</v>
      </c>
      <c r="B1976" t="str">
        <f>"1578726518075225"</f>
        <v>1578726518075225</v>
      </c>
      <c r="C1976" t="s">
        <v>40</v>
      </c>
      <c r="D1976">
        <v>6.4240139999999997</v>
      </c>
      <c r="E1976">
        <v>0.45768510000000001</v>
      </c>
      <c r="F1976" t="s">
        <v>43</v>
      </c>
      <c r="G1976">
        <v>-278.6592</v>
      </c>
      <c r="H1976" s="1">
        <v>-2.315374E-6</v>
      </c>
      <c r="I1976">
        <v>146.22280000000001</v>
      </c>
      <c r="J1976">
        <v>-263.8519</v>
      </c>
      <c r="K1976">
        <v>1.111022</v>
      </c>
      <c r="L1976">
        <v>142.34729999999999</v>
      </c>
      <c r="M1976">
        <v>-0.99979799999999996</v>
      </c>
      <c r="N1976">
        <v>0</v>
      </c>
      <c r="O1976">
        <v>1.635762E-2</v>
      </c>
      <c r="P1976">
        <v>-0.98785000000000001</v>
      </c>
      <c r="Q1976">
        <v>0.15521279999999901</v>
      </c>
      <c r="R1976">
        <v>7.8368799999999992E-3</v>
      </c>
      <c r="S1976">
        <v>-3.0663450000000001</v>
      </c>
      <c r="T1976">
        <v>-0.22457559999999999</v>
      </c>
      <c r="U1976">
        <v>0.78440859999999901</v>
      </c>
      <c r="V1976">
        <v>-8.7108949999999997E-3</v>
      </c>
      <c r="W1976">
        <v>0.16672519999999999</v>
      </c>
      <c r="X1976">
        <v>0.98596490000000003</v>
      </c>
      <c r="Y1976">
        <v>0.23141</v>
      </c>
      <c r="Z1976">
        <v>7.1522280000000001E-3</v>
      </c>
      <c r="AA1976">
        <v>0.97282999999999997</v>
      </c>
      <c r="AB1976">
        <v>35</v>
      </c>
      <c r="AC1976">
        <v>-14.8072999999999</v>
      </c>
      <c r="AD1976">
        <v>-1.111024315374</v>
      </c>
      <c r="AE1976">
        <v>3.8755000000000099</v>
      </c>
      <c r="AF1976">
        <v>3.6137124102491098</v>
      </c>
      <c r="AG1976">
        <v>-1.111024315374</v>
      </c>
      <c r="AH1976">
        <v>14.7907856897787</v>
      </c>
      <c r="AI1976">
        <v>94.173456059105106</v>
      </c>
      <c r="AJ1976">
        <v>76.270358925680696</v>
      </c>
      <c r="AK1976">
        <v>15.266323517281499</v>
      </c>
      <c r="AL1976">
        <v>80.402530257385195</v>
      </c>
      <c r="AM1976">
        <v>90.506188946631497</v>
      </c>
      <c r="AN1976">
        <v>0.99999997801937501</v>
      </c>
    </row>
    <row r="1977" spans="1:40" x14ac:dyDescent="0.3">
      <c r="A1977" t="str">
        <f>"20200111150838108"</f>
        <v>20200111150838108</v>
      </c>
      <c r="B1977" t="str">
        <f>"1578726518105478"</f>
        <v>1578726518105478</v>
      </c>
      <c r="C1977" t="s">
        <v>40</v>
      </c>
      <c r="D1977">
        <v>5.6530399999999998</v>
      </c>
      <c r="E1977">
        <v>0.46278770000000002</v>
      </c>
      <c r="F1977" t="s">
        <v>41</v>
      </c>
      <c r="G1977">
        <v>-264.72449999999998</v>
      </c>
      <c r="H1977">
        <v>0.89346150000000002</v>
      </c>
      <c r="I1977">
        <v>142.2586</v>
      </c>
      <c r="J1977">
        <v>-264.18979999999999</v>
      </c>
      <c r="K1977">
        <v>1.1109370000000001</v>
      </c>
      <c r="L1977">
        <v>142.35210000000001</v>
      </c>
      <c r="M1977">
        <v>-0.99981050000000005</v>
      </c>
      <c r="N1977">
        <v>0</v>
      </c>
      <c r="O1977">
        <v>1.56122E-2</v>
      </c>
      <c r="P1977">
        <v>-0.98778639999999995</v>
      </c>
      <c r="Q1977">
        <v>0.1555493</v>
      </c>
      <c r="R1977">
        <v>9.0951550000000006E-3</v>
      </c>
      <c r="S1977">
        <v>-3.1633300000000002</v>
      </c>
      <c r="T1977">
        <v>-0.78864599999999996</v>
      </c>
      <c r="U1977">
        <v>-0.32160949999999999</v>
      </c>
      <c r="V1977">
        <v>-6.6851509999999899E-3</v>
      </c>
      <c r="W1977">
        <v>0.1670257</v>
      </c>
      <c r="X1977">
        <v>0.98592990000000003</v>
      </c>
      <c r="Y1977">
        <v>-0.11277570000000001</v>
      </c>
      <c r="Z1977">
        <v>-1.7637110000000001E-2</v>
      </c>
      <c r="AA1977">
        <v>0.99346389999999996</v>
      </c>
      <c r="AB1977">
        <v>35</v>
      </c>
      <c r="AC1977">
        <v>-0.53469999999998596</v>
      </c>
      <c r="AD1977">
        <v>-0.21747549999999999</v>
      </c>
      <c r="AE1977">
        <v>-9.3500000000005898E-2</v>
      </c>
      <c r="AF1977">
        <v>-8.7751455940599896E-2</v>
      </c>
      <c r="AG1977">
        <v>-0.21747549999999999</v>
      </c>
      <c r="AH1977">
        <v>0.459429050146545</v>
      </c>
      <c r="AI1977">
        <v>114.936317879189</v>
      </c>
      <c r="AJ1977">
        <v>100.813317447526</v>
      </c>
      <c r="AK1977">
        <v>0.51582066965031703</v>
      </c>
      <c r="AL1977">
        <v>80.385068443455495</v>
      </c>
      <c r="AM1977">
        <v>90.388491177520606</v>
      </c>
      <c r="AN1977">
        <v>1.00000002170919</v>
      </c>
    </row>
    <row r="1978" spans="1:40" x14ac:dyDescent="0.3">
      <c r="A1978" t="str">
        <f>"20200111150838130"</f>
        <v>20200111150838130</v>
      </c>
      <c r="B1978" t="str">
        <f>"1578726518124998"</f>
        <v>1578726518124998</v>
      </c>
      <c r="C1978" t="s">
        <v>40</v>
      </c>
      <c r="D1978">
        <v>4.7470140000000001</v>
      </c>
      <c r="E1978">
        <v>0.4716303</v>
      </c>
      <c r="F1978" t="s">
        <v>41</v>
      </c>
      <c r="G1978">
        <v>-265.05329999999998</v>
      </c>
      <c r="H1978">
        <v>0.93189540000000004</v>
      </c>
      <c r="I1978">
        <v>142.27629999999999</v>
      </c>
      <c r="J1978">
        <v>-264.54059999999998</v>
      </c>
      <c r="K1978">
        <v>1.110867</v>
      </c>
      <c r="L1978">
        <v>142.35679999999999</v>
      </c>
      <c r="M1978">
        <v>-0.99982170000000004</v>
      </c>
      <c r="N1978">
        <v>0</v>
      </c>
      <c r="O1978">
        <v>1.4908960000000001E-2</v>
      </c>
      <c r="P1978">
        <v>-0.987703</v>
      </c>
      <c r="Q1978">
        <v>0.15601909999999999</v>
      </c>
      <c r="R1978">
        <v>1.0046660000000001E-2</v>
      </c>
      <c r="S1978">
        <v>-3.1422729999999999</v>
      </c>
      <c r="T1978">
        <v>-0.65160660000000004</v>
      </c>
      <c r="U1978">
        <v>-0.276153599999999</v>
      </c>
      <c r="V1978">
        <v>-5.0101779999999997E-3</v>
      </c>
      <c r="W1978">
        <v>0.16745160000000001</v>
      </c>
      <c r="X1978">
        <v>0.98586759999999996</v>
      </c>
      <c r="Y1978">
        <v>-9.9962850000000006E-2</v>
      </c>
      <c r="Z1978">
        <v>-1.3290349999999999E-2</v>
      </c>
      <c r="AA1978">
        <v>0.99490239999999996</v>
      </c>
      <c r="AB1978">
        <v>35</v>
      </c>
      <c r="AC1978">
        <v>-0.51269999999999505</v>
      </c>
      <c r="AD1978">
        <v>-0.17897160000000001</v>
      </c>
      <c r="AE1978">
        <v>-8.0500000000000599E-2</v>
      </c>
      <c r="AF1978">
        <v>-7.8768073688553805E-2</v>
      </c>
      <c r="AG1978">
        <v>-0.17897160000000001</v>
      </c>
      <c r="AH1978">
        <v>0.45708496113578501</v>
      </c>
      <c r="AI1978">
        <v>111.09973039021099</v>
      </c>
      <c r="AJ1978">
        <v>99.777576861754</v>
      </c>
      <c r="AK1978">
        <v>0.49715380390344699</v>
      </c>
      <c r="AL1978">
        <v>80.360317696077601</v>
      </c>
      <c r="AM1978">
        <v>90.291174578369194</v>
      </c>
      <c r="AN1978">
        <v>1.0000000324779501</v>
      </c>
    </row>
    <row r="1979" spans="1:40" x14ac:dyDescent="0.3">
      <c r="A1979" t="str">
        <f>"20200111150838153"</f>
        <v>20200111150838153</v>
      </c>
      <c r="B1979" t="str">
        <f>"1578726518145495"</f>
        <v>1578726518145495</v>
      </c>
      <c r="C1979" t="s">
        <v>40</v>
      </c>
      <c r="D1979">
        <v>7.7728109999999999</v>
      </c>
      <c r="E1979">
        <v>0.47132049999999998</v>
      </c>
      <c r="F1979" t="s">
        <v>43</v>
      </c>
      <c r="G1979">
        <v>-337.0025</v>
      </c>
      <c r="H1979" s="1">
        <v>-1.749242E-6</v>
      </c>
      <c r="I1979">
        <v>137.6328</v>
      </c>
      <c r="J1979">
        <v>-264.90539999999999</v>
      </c>
      <c r="K1979">
        <v>1.110789</v>
      </c>
      <c r="L1979">
        <v>142.36150000000001</v>
      </c>
      <c r="M1979">
        <v>-0.99983200000000005</v>
      </c>
      <c r="N1979">
        <v>0</v>
      </c>
      <c r="O1979">
        <v>1.4241699999999999E-2</v>
      </c>
      <c r="P1979">
        <v>-0.98770919999999895</v>
      </c>
      <c r="Q1979">
        <v>0.15596889999999999</v>
      </c>
      <c r="R1979">
        <v>1.020604E-2</v>
      </c>
      <c r="S1979">
        <v>-3.0467529999999998</v>
      </c>
      <c r="T1979">
        <v>-4.6707869999999999E-2</v>
      </c>
      <c r="U1979">
        <v>-0.19862369999999999</v>
      </c>
      <c r="V1979">
        <v>-4.1631309999999996E-3</v>
      </c>
      <c r="W1979">
        <v>0.1673519</v>
      </c>
      <c r="X1979">
        <v>0.9858884</v>
      </c>
      <c r="Y1979">
        <v>-7.9248769999999996E-2</v>
      </c>
      <c r="Z1979">
        <v>-8.2489789999999998E-4</v>
      </c>
      <c r="AA1979">
        <v>0.99685449999999998</v>
      </c>
      <c r="AB1979">
        <v>35</v>
      </c>
      <c r="AC1979">
        <v>-72.097099999999998</v>
      </c>
      <c r="AD1979">
        <v>-1.1107907492419999</v>
      </c>
      <c r="AE1979">
        <v>-4.7286999999999999</v>
      </c>
      <c r="AF1979">
        <v>-5.7537140733183003</v>
      </c>
      <c r="AG1979">
        <v>-1.1107907492419999</v>
      </c>
      <c r="AH1979">
        <v>72.005419024498494</v>
      </c>
      <c r="AI1979">
        <v>90.880994874522102</v>
      </c>
      <c r="AJ1979">
        <v>94.568608457279495</v>
      </c>
      <c r="AK1979">
        <v>72.243473411926402</v>
      </c>
      <c r="AL1979">
        <v>80.366111178582798</v>
      </c>
      <c r="AM1979">
        <v>90.241942615517303</v>
      </c>
      <c r="AN1979">
        <v>0.99999996367394595</v>
      </c>
    </row>
    <row r="1980" spans="1:40" x14ac:dyDescent="0.3">
      <c r="A1980" t="str">
        <f>"20200111150838175"</f>
        <v>20200111150838175</v>
      </c>
      <c r="B1980" t="str">
        <f>"1578726518165016"</f>
        <v>1578726518165016</v>
      </c>
      <c r="C1980" t="s">
        <v>40</v>
      </c>
      <c r="D1980">
        <v>5.1887189999999999</v>
      </c>
      <c r="E1980">
        <v>0.46989009999999998</v>
      </c>
      <c r="F1980" t="s">
        <v>43</v>
      </c>
      <c r="G1980">
        <v>-350.69229999999999</v>
      </c>
      <c r="H1980" s="1">
        <v>-4.488973E-6</v>
      </c>
      <c r="I1980">
        <v>136.72030000000001</v>
      </c>
      <c r="J1980">
        <v>-265.24849999999998</v>
      </c>
      <c r="K1980">
        <v>1.1107129999999901</v>
      </c>
      <c r="L1980">
        <v>142.36580000000001</v>
      </c>
      <c r="M1980">
        <v>-0.99984070000000003</v>
      </c>
      <c r="N1980">
        <v>0</v>
      </c>
      <c r="O1980">
        <v>1.366441E-2</v>
      </c>
      <c r="P1980">
        <v>-0.98776719999999896</v>
      </c>
      <c r="Q1980">
        <v>0.15559020000000001</v>
      </c>
      <c r="R1980">
        <v>1.038508E-2</v>
      </c>
      <c r="S1980">
        <v>-3.0456240000000001</v>
      </c>
      <c r="T1980">
        <v>-3.9435629999999999E-2</v>
      </c>
      <c r="U1980">
        <v>-0.20027159999999999</v>
      </c>
      <c r="V1980">
        <v>-3.3891160000000002E-3</v>
      </c>
      <c r="W1980">
        <v>0.16691610000000001</v>
      </c>
      <c r="X1980">
        <v>0.98596530000000004</v>
      </c>
      <c r="Y1980">
        <v>-7.9237450000000001E-2</v>
      </c>
      <c r="Z1980">
        <v>-6.8917990000000003E-4</v>
      </c>
      <c r="AA1980">
        <v>0.99685559999999995</v>
      </c>
      <c r="AB1980">
        <v>35</v>
      </c>
      <c r="AC1980">
        <v>-85.443799999999996</v>
      </c>
      <c r="AD1980">
        <v>-1.1107174889729901</v>
      </c>
      <c r="AE1980">
        <v>-5.6454999999999904</v>
      </c>
      <c r="AF1980">
        <v>-6.8114429275867501</v>
      </c>
      <c r="AG1980">
        <v>-1.1107174889729901</v>
      </c>
      <c r="AH1980">
        <v>85.344315041012095</v>
      </c>
      <c r="AI1980">
        <v>90.743273200682097</v>
      </c>
      <c r="AJ1980">
        <v>94.563179605540697</v>
      </c>
      <c r="AK1980">
        <v>85.622903232228694</v>
      </c>
      <c r="AL1980">
        <v>80.391437469943298</v>
      </c>
      <c r="AM1980">
        <v>90.196945347167997</v>
      </c>
      <c r="AN1980">
        <v>1.00000002167528</v>
      </c>
    </row>
    <row r="1981" spans="1:40" x14ac:dyDescent="0.3">
      <c r="A1981" t="str">
        <f>"20200111150838197"</f>
        <v>20200111150838197</v>
      </c>
      <c r="B1981" t="str">
        <f>"1578726518195358"</f>
        <v>1578726518195358</v>
      </c>
      <c r="C1981" t="s">
        <v>40</v>
      </c>
      <c r="D1981">
        <v>4.7492349999999997</v>
      </c>
      <c r="E1981">
        <v>0.4705124</v>
      </c>
      <c r="F1981" t="s">
        <v>49</v>
      </c>
      <c r="G1981">
        <v>0</v>
      </c>
      <c r="H1981">
        <v>0</v>
      </c>
      <c r="I1981">
        <v>0</v>
      </c>
      <c r="J1981">
        <v>-265.59379999999999</v>
      </c>
      <c r="K1981">
        <v>1.1106400000000001</v>
      </c>
      <c r="L1981">
        <v>142.3699</v>
      </c>
      <c r="M1981">
        <v>-0.99984899999999999</v>
      </c>
      <c r="N1981">
        <v>0</v>
      </c>
      <c r="O1981">
        <v>1.312779E-2</v>
      </c>
      <c r="P1981">
        <v>-0.98789380000000004</v>
      </c>
      <c r="Q1981">
        <v>0.15482479999999901</v>
      </c>
      <c r="R1981">
        <v>9.7579469999999995E-3</v>
      </c>
      <c r="S1981">
        <v>-3.0373839999999999</v>
      </c>
      <c r="T1981">
        <v>1.253366E-2</v>
      </c>
      <c r="U1981">
        <v>-0.21072389999999999</v>
      </c>
      <c r="V1981">
        <v>-3.4620219999999999E-3</v>
      </c>
      <c r="W1981">
        <v>0.16606460000000001</v>
      </c>
      <c r="X1981">
        <v>0.98610880000000001</v>
      </c>
      <c r="Y1981">
        <v>-8.2300810000000002E-2</v>
      </c>
      <c r="Z1981">
        <v>2.2371589999999999E-4</v>
      </c>
      <c r="AA1981">
        <v>0.99660749999999998</v>
      </c>
      <c r="AB1981">
        <v>35</v>
      </c>
      <c r="AC1981">
        <v>-3.0373839999999999</v>
      </c>
      <c r="AD1981">
        <v>1.253366E-2</v>
      </c>
      <c r="AE1981">
        <v>-0.21072389999999999</v>
      </c>
      <c r="AF1981">
        <v>-0.25057821672806802</v>
      </c>
      <c r="AG1981">
        <v>1.253366E-2</v>
      </c>
      <c r="AH1981">
        <v>3.0343042869014898</v>
      </c>
      <c r="AI1981">
        <v>89.764135220284999</v>
      </c>
      <c r="AJ1981">
        <v>94.720874569247698</v>
      </c>
      <c r="AK1981">
        <v>3.0446591009241701</v>
      </c>
      <c r="AL1981">
        <v>80.440915188348896</v>
      </c>
      <c r="AM1981">
        <v>90.201152686415796</v>
      </c>
      <c r="AN1981">
        <v>1.00000000120346</v>
      </c>
    </row>
    <row r="1982" spans="1:40" x14ac:dyDescent="0.3">
      <c r="A1982" t="str">
        <f>"20200111150838219"</f>
        <v>20200111150838219</v>
      </c>
      <c r="B1982" t="str">
        <f>"1578726518214879"</f>
        <v>1578726518214879</v>
      </c>
      <c r="C1982" t="s">
        <v>40</v>
      </c>
      <c r="D1982">
        <v>6.0766239999999998</v>
      </c>
      <c r="E1982">
        <v>0.44487549999999998</v>
      </c>
      <c r="F1982" t="s">
        <v>49</v>
      </c>
      <c r="G1982">
        <v>0</v>
      </c>
      <c r="H1982">
        <v>0</v>
      </c>
      <c r="I1982">
        <v>0</v>
      </c>
      <c r="J1982">
        <v>-265.93990000000002</v>
      </c>
      <c r="K1982">
        <v>1.110554</v>
      </c>
      <c r="L1982">
        <v>142.37389999999999</v>
      </c>
      <c r="M1982">
        <v>-0.99985679999999999</v>
      </c>
      <c r="N1982">
        <v>0</v>
      </c>
      <c r="O1982">
        <v>1.263305E-2</v>
      </c>
      <c r="P1982">
        <v>-0.98795129999999998</v>
      </c>
      <c r="Q1982">
        <v>0.15450849999999999</v>
      </c>
      <c r="R1982">
        <v>8.9391490000000004E-3</v>
      </c>
      <c r="S1982">
        <v>-3.034119</v>
      </c>
      <c r="T1982">
        <v>2.9592630000000002E-2</v>
      </c>
      <c r="U1982">
        <v>-0.20756530000000001</v>
      </c>
      <c r="V1982">
        <v>-3.768885E-3</v>
      </c>
      <c r="W1982">
        <v>0.16562449999999901</v>
      </c>
      <c r="X1982">
        <v>0.98618170000000005</v>
      </c>
      <c r="Y1982">
        <v>-8.0845420000000001E-2</v>
      </c>
      <c r="Z1982">
        <v>5.1687049999999996E-4</v>
      </c>
      <c r="AA1982">
        <v>0.99672649999999996</v>
      </c>
      <c r="AB1982">
        <v>35</v>
      </c>
      <c r="AC1982">
        <v>-3.034119</v>
      </c>
      <c r="AD1982">
        <v>2.9592630000000002E-2</v>
      </c>
      <c r="AE1982">
        <v>-0.20756530000000001</v>
      </c>
      <c r="AF1982">
        <v>-0.245858062581465</v>
      </c>
      <c r="AG1982">
        <v>2.9592630000000002E-2</v>
      </c>
      <c r="AH1982">
        <v>3.0309675145415902</v>
      </c>
      <c r="AI1982">
        <v>89.442445761873401</v>
      </c>
      <c r="AJ1982">
        <v>94.637415410563307</v>
      </c>
      <c r="AK1982">
        <v>3.0410665867246398</v>
      </c>
      <c r="AL1982">
        <v>80.466485264647901</v>
      </c>
      <c r="AM1982">
        <v>90.218965889024901</v>
      </c>
      <c r="AN1982">
        <v>1.00000001245464</v>
      </c>
    </row>
    <row r="1983" spans="1:40" x14ac:dyDescent="0.3">
      <c r="A1983" t="str">
        <f>"20200111150838242"</f>
        <v>20200111150838242</v>
      </c>
      <c r="B1983" t="str">
        <f>"1578726518235375"</f>
        <v>1578726518235375</v>
      </c>
      <c r="C1983" t="s">
        <v>40</v>
      </c>
      <c r="D1983">
        <v>7.7876269999999996</v>
      </c>
      <c r="E1983">
        <v>0.44660680000000003</v>
      </c>
      <c r="F1983" t="s">
        <v>85</v>
      </c>
      <c r="G1983">
        <v>-440.20710000000003</v>
      </c>
      <c r="H1983">
        <v>26.664210000000001</v>
      </c>
      <c r="I1983">
        <v>118.1686</v>
      </c>
      <c r="J1983">
        <v>-266.291</v>
      </c>
      <c r="K1983">
        <v>1.1104620000000001</v>
      </c>
      <c r="L1983">
        <v>142.37790000000001</v>
      </c>
      <c r="M1983">
        <v>-0.99986430000000004</v>
      </c>
      <c r="N1983">
        <v>0</v>
      </c>
      <c r="O1983">
        <v>1.2178939999999999E-2</v>
      </c>
      <c r="P1983">
        <v>-0.98805390000000004</v>
      </c>
      <c r="Q1983">
        <v>0.15393470000000001</v>
      </c>
      <c r="R1983">
        <v>7.3171240000000004E-3</v>
      </c>
      <c r="S1983">
        <v>-2.9721679999999999</v>
      </c>
      <c r="T1983">
        <v>0.43582379999999998</v>
      </c>
      <c r="U1983">
        <v>-0.41282649999999999</v>
      </c>
      <c r="V1983">
        <v>-4.9201999999999996E-3</v>
      </c>
      <c r="W1983">
        <v>0.16488050000000001</v>
      </c>
      <c r="X1983">
        <v>0.98630130000000005</v>
      </c>
      <c r="Y1983">
        <v>-0.14794949999999901</v>
      </c>
      <c r="Z1983">
        <v>1.2507310000000001E-2</v>
      </c>
      <c r="AA1983">
        <v>0.98891580000000001</v>
      </c>
      <c r="AB1983">
        <v>35</v>
      </c>
      <c r="AC1983">
        <v>-173.9161</v>
      </c>
      <c r="AD1983">
        <v>25.553747999999999</v>
      </c>
      <c r="AE1983">
        <v>-24.209299999999999</v>
      </c>
      <c r="AF1983">
        <v>-25.779771901893501</v>
      </c>
      <c r="AG1983">
        <v>25.553747999999999</v>
      </c>
      <c r="AH1983">
        <v>170.00783011875001</v>
      </c>
      <c r="AI1983">
        <v>81.547118896084996</v>
      </c>
      <c r="AJ1983">
        <v>98.622569833487105</v>
      </c>
      <c r="AK1983">
        <v>173.83973359921799</v>
      </c>
      <c r="AL1983">
        <v>80.509707658080202</v>
      </c>
      <c r="AM1983">
        <v>90.285819714454902</v>
      </c>
      <c r="AN1983">
        <v>1.00000002101498</v>
      </c>
    </row>
    <row r="1984" spans="1:40" x14ac:dyDescent="0.3">
      <c r="A1984" t="str">
        <f>"20200111150838264"</f>
        <v>20200111150838264</v>
      </c>
      <c r="B1984" t="str">
        <f>"1578726518254897"</f>
        <v>1578726518254897</v>
      </c>
      <c r="C1984" t="s">
        <v>40</v>
      </c>
      <c r="D1984">
        <v>7.3693839999999904</v>
      </c>
      <c r="E1984">
        <v>0.4044527</v>
      </c>
      <c r="F1984" t="s">
        <v>85</v>
      </c>
      <c r="G1984">
        <v>-440.20710000000003</v>
      </c>
      <c r="H1984">
        <v>26.57281</v>
      </c>
      <c r="I1984">
        <v>118.7411</v>
      </c>
      <c r="J1984">
        <v>-266.64879999999999</v>
      </c>
      <c r="K1984">
        <v>1.1103620000000001</v>
      </c>
      <c r="L1984">
        <v>142.3818</v>
      </c>
      <c r="M1984">
        <v>-0.99987179999999998</v>
      </c>
      <c r="N1984">
        <v>0</v>
      </c>
      <c r="O1984">
        <v>1.1760960000000001E-2</v>
      </c>
      <c r="P1984">
        <v>-0.98809429999999998</v>
      </c>
      <c r="Q1984">
        <v>0.15369929999999901</v>
      </c>
      <c r="R1984">
        <v>6.7874769999999897E-3</v>
      </c>
      <c r="S1984">
        <v>-2.9714969999999998</v>
      </c>
      <c r="T1984">
        <v>0.43504480000000001</v>
      </c>
      <c r="U1984">
        <v>-0.4038544</v>
      </c>
      <c r="V1984">
        <v>-5.0169969999999996E-3</v>
      </c>
      <c r="W1984">
        <v>0.16442760000000001</v>
      </c>
      <c r="X1984">
        <v>0.98637640000000004</v>
      </c>
      <c r="Y1984">
        <v>-0.14467820000000001</v>
      </c>
      <c r="Z1984">
        <v>1.2192720000000001E-2</v>
      </c>
      <c r="AA1984">
        <v>0.98940360000000005</v>
      </c>
      <c r="AB1984">
        <v>35</v>
      </c>
      <c r="AC1984">
        <v>-173.5583</v>
      </c>
      <c r="AD1984">
        <v>25.462447999999998</v>
      </c>
      <c r="AE1984">
        <v>-23.640699999999899</v>
      </c>
      <c r="AF1984">
        <v>-25.148967838108501</v>
      </c>
      <c r="AG1984">
        <v>25.462447999999998</v>
      </c>
      <c r="AH1984">
        <v>169.68263147931501</v>
      </c>
      <c r="AI1984">
        <v>81.556794646799702</v>
      </c>
      <c r="AJ1984">
        <v>98.430537513678502</v>
      </c>
      <c r="AK1984">
        <v>173.415692102012</v>
      </c>
      <c r="AL1984">
        <v>80.536015828022599</v>
      </c>
      <c r="AM1984">
        <v>90.291420471063205</v>
      </c>
      <c r="AN1984">
        <v>1.0000000041888</v>
      </c>
    </row>
    <row r="1985" spans="1:40" x14ac:dyDescent="0.3">
      <c r="A1985" t="str">
        <f>"20200111150838286"</f>
        <v>20200111150838286</v>
      </c>
      <c r="B1985" t="str">
        <f>"1578726518275393"</f>
        <v>1578726518275393</v>
      </c>
      <c r="C1985" t="s">
        <v>40</v>
      </c>
      <c r="D1985">
        <v>4.7436179999999997</v>
      </c>
      <c r="E1985">
        <v>0.40500019999999998</v>
      </c>
      <c r="F1985" t="s">
        <v>73</v>
      </c>
      <c r="G1985">
        <v>-359.84660000000002</v>
      </c>
      <c r="H1985">
        <v>18.359100000000002</v>
      </c>
      <c r="I1985">
        <v>119.0059</v>
      </c>
      <c r="J1985">
        <v>-266.9966</v>
      </c>
      <c r="K1985">
        <v>1.110274</v>
      </c>
      <c r="L1985">
        <v>142.38550000000001</v>
      </c>
      <c r="M1985">
        <v>-0.99987870000000001</v>
      </c>
      <c r="N1985">
        <v>0</v>
      </c>
      <c r="O1985">
        <v>1.13907E-2</v>
      </c>
      <c r="P1985">
        <v>-0.98812469999999997</v>
      </c>
      <c r="Q1985">
        <v>0.15351709999999999</v>
      </c>
      <c r="R1985">
        <v>6.5128010000000004E-3</v>
      </c>
      <c r="S1985">
        <v>-2.9561769999999998</v>
      </c>
      <c r="T1985">
        <v>0.54711949999999998</v>
      </c>
      <c r="U1985">
        <v>-0.74147030000000003</v>
      </c>
      <c r="V1985">
        <v>-4.9086909999999997E-3</v>
      </c>
      <c r="W1985">
        <v>0.16401360000000001</v>
      </c>
      <c r="X1985">
        <v>0.98644580000000004</v>
      </c>
      <c r="Y1985">
        <v>-0.25013459999999998</v>
      </c>
      <c r="Z1985">
        <v>2.4670629999999999E-2</v>
      </c>
      <c r="AA1985">
        <v>0.96789669999999906</v>
      </c>
      <c r="AB1985">
        <v>35</v>
      </c>
      <c r="AC1985">
        <v>-92.85</v>
      </c>
      <c r="AD1985">
        <v>17.248826000000001</v>
      </c>
      <c r="AE1985">
        <v>-23.3796</v>
      </c>
      <c r="AF1985">
        <v>-23.6676776499311</v>
      </c>
      <c r="AG1985">
        <v>17.248826000000001</v>
      </c>
      <c r="AH1985">
        <v>89.667649529434897</v>
      </c>
      <c r="AI1985">
        <v>79.463721692137995</v>
      </c>
      <c r="AJ1985">
        <v>104.785940641067</v>
      </c>
      <c r="AK1985">
        <v>94.329042907542004</v>
      </c>
      <c r="AL1985">
        <v>80.560062103669395</v>
      </c>
      <c r="AM1985">
        <v>90.285109385490301</v>
      </c>
      <c r="AN1985">
        <v>0.99999993628496398</v>
      </c>
    </row>
    <row r="1986" spans="1:40" x14ac:dyDescent="0.3">
      <c r="A1986" t="str">
        <f>"20200111150838308"</f>
        <v>20200111150838308</v>
      </c>
      <c r="B1986" t="str">
        <f>"1578726518305646"</f>
        <v>1578726518305646</v>
      </c>
      <c r="C1986" t="s">
        <v>40</v>
      </c>
      <c r="D1986">
        <v>4.7482240000000004</v>
      </c>
      <c r="E1986">
        <v>0.46856700000000001</v>
      </c>
      <c r="F1986" t="s">
        <v>73</v>
      </c>
      <c r="G1986">
        <v>-360.52229999999997</v>
      </c>
      <c r="H1986">
        <v>19.575869999999998</v>
      </c>
      <c r="I1986">
        <v>119.0063</v>
      </c>
      <c r="J1986">
        <v>-267.33789999999999</v>
      </c>
      <c r="K1986">
        <v>1.110201</v>
      </c>
      <c r="L1986">
        <v>142.38910000000001</v>
      </c>
      <c r="M1986">
        <v>-0.99988469999999996</v>
      </c>
      <c r="N1986">
        <v>0</v>
      </c>
      <c r="O1986">
        <v>1.106356E-2</v>
      </c>
      <c r="P1986">
        <v>-0.98810390000000003</v>
      </c>
      <c r="Q1986">
        <v>0.15365960000000001</v>
      </c>
      <c r="R1986">
        <v>6.2869559999999998E-3</v>
      </c>
      <c r="S1986">
        <v>-2.9504090000000001</v>
      </c>
      <c r="T1986">
        <v>0.58252479999999995</v>
      </c>
      <c r="U1986">
        <v>-0.73753359999999901</v>
      </c>
      <c r="V1986">
        <v>-4.7954069999999998E-3</v>
      </c>
      <c r="W1986">
        <v>0.16391910000000001</v>
      </c>
      <c r="X1986">
        <v>0.98646210000000001</v>
      </c>
      <c r="Y1986">
        <v>-0.24851119999999999</v>
      </c>
      <c r="Z1986">
        <v>2.6072629999999999E-2</v>
      </c>
      <c r="AA1986">
        <v>0.96827810000000003</v>
      </c>
      <c r="AB1986">
        <v>35</v>
      </c>
      <c r="AC1986">
        <v>-93.184399999999897</v>
      </c>
      <c r="AD1986">
        <v>18.465668999999998</v>
      </c>
      <c r="AE1986">
        <v>-23.3828</v>
      </c>
      <c r="AF1986">
        <v>-23.542655219324299</v>
      </c>
      <c r="AG1986">
        <v>18.465668999999998</v>
      </c>
      <c r="AH1986">
        <v>89.609598017823004</v>
      </c>
      <c r="AI1986">
        <v>78.728398551320495</v>
      </c>
      <c r="AJ1986">
        <v>104.720347937285</v>
      </c>
      <c r="AK1986">
        <v>94.472840559122403</v>
      </c>
      <c r="AL1986">
        <v>80.565551170674496</v>
      </c>
      <c r="AM1986">
        <v>90.278525062321705</v>
      </c>
      <c r="AN1986">
        <v>0.99999997100475702</v>
      </c>
    </row>
    <row r="1987" spans="1:40" x14ac:dyDescent="0.3">
      <c r="A1987" t="str">
        <f>"20200111150838331"</f>
        <v>20200111150838331</v>
      </c>
      <c r="B1987" t="str">
        <f>"1578726518325167"</f>
        <v>1578726518325167</v>
      </c>
      <c r="C1987" t="s">
        <v>40</v>
      </c>
      <c r="D1987">
        <v>5.0456339999999997</v>
      </c>
      <c r="E1987">
        <v>0.47198499999999999</v>
      </c>
      <c r="F1987" t="s">
        <v>49</v>
      </c>
      <c r="G1987">
        <v>0</v>
      </c>
      <c r="H1987">
        <v>0</v>
      </c>
      <c r="I1987">
        <v>0</v>
      </c>
      <c r="J1987">
        <v>-267.7011</v>
      </c>
      <c r="K1987">
        <v>1.1101219999999901</v>
      </c>
      <c r="L1987">
        <v>142.39279999999999</v>
      </c>
      <c r="M1987">
        <v>-0.99989070000000002</v>
      </c>
      <c r="N1987">
        <v>0</v>
      </c>
      <c r="O1987">
        <v>1.07557E-2</v>
      </c>
      <c r="P1987">
        <v>-0.98817160000000004</v>
      </c>
      <c r="Q1987">
        <v>0.1532174</v>
      </c>
      <c r="R1987">
        <v>6.4214819999999896E-3</v>
      </c>
      <c r="S1987">
        <v>-2.9836429999999998</v>
      </c>
      <c r="T1987">
        <v>0.3468813</v>
      </c>
      <c r="U1987">
        <v>-0.23217769999999999</v>
      </c>
      <c r="V1987">
        <v>-4.3415249999999997E-3</v>
      </c>
      <c r="W1987">
        <v>0.1632257</v>
      </c>
      <c r="X1987">
        <v>0.98657919999999999</v>
      </c>
      <c r="Y1987">
        <v>-8.7642730000000002E-2</v>
      </c>
      <c r="Z1987">
        <v>6.3146119999999998E-3</v>
      </c>
      <c r="AA1987">
        <v>0.99613200000000002</v>
      </c>
      <c r="AB1987">
        <v>36</v>
      </c>
      <c r="AC1987">
        <v>-2.9836429999999998</v>
      </c>
      <c r="AD1987">
        <v>0.3468813</v>
      </c>
      <c r="AE1987">
        <v>-0.23217769999999999</v>
      </c>
      <c r="AF1987">
        <v>-0.26075379324949499</v>
      </c>
      <c r="AG1987">
        <v>0.3468813</v>
      </c>
      <c r="AH1987">
        <v>2.9414538308845501</v>
      </c>
      <c r="AI1987">
        <v>83.300290215459398</v>
      </c>
      <c r="AJ1987">
        <v>95.065909869597803</v>
      </c>
      <c r="AK1987">
        <v>2.97329275655949</v>
      </c>
      <c r="AL1987">
        <v>80.605822722154102</v>
      </c>
      <c r="AM1987">
        <v>90.252133283845097</v>
      </c>
      <c r="AN1987">
        <v>0.99999999792622696</v>
      </c>
    </row>
    <row r="1988" spans="1:40" x14ac:dyDescent="0.3">
      <c r="A1988" t="str">
        <f>"20200111150838354"</f>
        <v>20200111150838354</v>
      </c>
      <c r="B1988" t="str">
        <f>"1578726518345662"</f>
        <v>1578726518345662</v>
      </c>
      <c r="C1988" t="s">
        <v>40</v>
      </c>
      <c r="D1988">
        <v>5.4557820000000001</v>
      </c>
      <c r="E1988">
        <v>0.4776088</v>
      </c>
      <c r="F1988" t="s">
        <v>49</v>
      </c>
      <c r="G1988">
        <v>0</v>
      </c>
      <c r="H1988">
        <v>0</v>
      </c>
      <c r="I1988">
        <v>0</v>
      </c>
      <c r="J1988">
        <v>-268.07560000000001</v>
      </c>
      <c r="K1988">
        <v>1.1100449999999999</v>
      </c>
      <c r="L1988">
        <v>142.39660000000001</v>
      </c>
      <c r="M1988">
        <v>-0.99989620000000001</v>
      </c>
      <c r="N1988">
        <v>0</v>
      </c>
      <c r="O1988">
        <v>1.047874E-2</v>
      </c>
      <c r="P1988">
        <v>-0.98822589999999999</v>
      </c>
      <c r="Q1988">
        <v>0.15285319999999999</v>
      </c>
      <c r="R1988">
        <v>6.7528249999999996E-3</v>
      </c>
      <c r="S1988">
        <v>-2.9668269999999999</v>
      </c>
      <c r="T1988">
        <v>0.4540998</v>
      </c>
      <c r="U1988">
        <v>-0.20422360000000001</v>
      </c>
      <c r="V1988">
        <v>-3.721869E-3</v>
      </c>
      <c r="W1988">
        <v>0.1626136</v>
      </c>
      <c r="X1988">
        <v>0.98668279999999997</v>
      </c>
      <c r="Y1988">
        <v>-7.8097079999999999E-2</v>
      </c>
      <c r="Z1988">
        <v>7.5281580000000001E-3</v>
      </c>
      <c r="AA1988">
        <v>0.99691730000000001</v>
      </c>
      <c r="AB1988">
        <v>36</v>
      </c>
      <c r="AC1988">
        <v>-2.9668269999999999</v>
      </c>
      <c r="AD1988">
        <v>0.4540998</v>
      </c>
      <c r="AE1988">
        <v>-0.20422360000000001</v>
      </c>
      <c r="AF1988">
        <v>-0.22994107153091101</v>
      </c>
      <c r="AG1988">
        <v>0.4540998</v>
      </c>
      <c r="AH1988">
        <v>2.8969763496840599</v>
      </c>
      <c r="AI1988">
        <v>81.1188862653771</v>
      </c>
      <c r="AJ1988">
        <v>94.538211059284507</v>
      </c>
      <c r="AK1988">
        <v>2.94135198426941</v>
      </c>
      <c r="AL1988">
        <v>80.641368322416994</v>
      </c>
      <c r="AM1988">
        <v>90.216124548024894</v>
      </c>
      <c r="AN1988">
        <v>0.99999999151482599</v>
      </c>
    </row>
    <row r="1989" spans="1:40" x14ac:dyDescent="0.3">
      <c r="A1989" t="str">
        <f>"20200111150838376"</f>
        <v>20200111150838376</v>
      </c>
      <c r="B1989" t="str">
        <f>"1578726518365185"</f>
        <v>1578726518365185</v>
      </c>
      <c r="C1989" t="s">
        <v>40</v>
      </c>
      <c r="D1989">
        <v>5.4565939999999999</v>
      </c>
      <c r="E1989">
        <v>0.47241810000000001</v>
      </c>
      <c r="F1989" t="s">
        <v>49</v>
      </c>
      <c r="G1989">
        <v>0</v>
      </c>
      <c r="H1989">
        <v>0</v>
      </c>
      <c r="I1989">
        <v>0</v>
      </c>
      <c r="J1989">
        <v>-268.43459999999999</v>
      </c>
      <c r="K1989">
        <v>1.1099909999999999</v>
      </c>
      <c r="L1989">
        <v>142.40010000000001</v>
      </c>
      <c r="M1989">
        <v>-0.99990089999999998</v>
      </c>
      <c r="N1989">
        <v>0</v>
      </c>
      <c r="O1989">
        <v>1.0247060000000001E-2</v>
      </c>
      <c r="P1989">
        <v>-0.98818799999999996</v>
      </c>
      <c r="Q1989">
        <v>0.1530985</v>
      </c>
      <c r="R1989">
        <v>6.7362309999999996E-3</v>
      </c>
      <c r="S1989">
        <v>-2.9679869999999999</v>
      </c>
      <c r="T1989">
        <v>0.4451156</v>
      </c>
      <c r="U1989">
        <v>-0.15829470000000001</v>
      </c>
      <c r="V1989">
        <v>-3.4960189999999999E-3</v>
      </c>
      <c r="W1989">
        <v>0.16264000000000001</v>
      </c>
      <c r="X1989">
        <v>0.98667930000000004</v>
      </c>
      <c r="Y1989">
        <v>-6.2675220000000004E-2</v>
      </c>
      <c r="Z1989">
        <v>6.1976899999999996E-3</v>
      </c>
      <c r="AA1989">
        <v>0.99801470000000003</v>
      </c>
      <c r="AB1989">
        <v>36</v>
      </c>
      <c r="AC1989">
        <v>-2.9679869999999999</v>
      </c>
      <c r="AD1989">
        <v>0.4451156</v>
      </c>
      <c r="AE1989">
        <v>-0.15829470000000001</v>
      </c>
      <c r="AF1989">
        <v>-0.18456162225921</v>
      </c>
      <c r="AG1989">
        <v>0.4451156</v>
      </c>
      <c r="AH1989">
        <v>2.9011425782665698</v>
      </c>
      <c r="AI1989">
        <v>81.294588822900494</v>
      </c>
      <c r="AJ1989">
        <v>93.640073094348196</v>
      </c>
      <c r="AK1989">
        <v>2.94088747646106</v>
      </c>
      <c r="AL1989">
        <v>80.639835540785896</v>
      </c>
      <c r="AM1989">
        <v>90.203010538033297</v>
      </c>
      <c r="AN1989">
        <v>1.00000001639866</v>
      </c>
    </row>
    <row r="1990" spans="1:40" x14ac:dyDescent="0.3">
      <c r="A1990" t="str">
        <f>"20200111150838397"</f>
        <v>20200111150838397</v>
      </c>
      <c r="B1990" t="str">
        <f>"1578726518395439"</f>
        <v>1578726518395439</v>
      </c>
      <c r="C1990" t="s">
        <v>40</v>
      </c>
      <c r="D1990">
        <v>5.4421200000000001</v>
      </c>
      <c r="E1990">
        <v>0.47149089999999999</v>
      </c>
      <c r="F1990" t="s">
        <v>49</v>
      </c>
      <c r="G1990">
        <v>0</v>
      </c>
      <c r="H1990">
        <v>0</v>
      </c>
      <c r="I1990">
        <v>0</v>
      </c>
      <c r="J1990">
        <v>-268.7679</v>
      </c>
      <c r="K1990">
        <v>1.1099490000000001</v>
      </c>
      <c r="L1990">
        <v>142.4034</v>
      </c>
      <c r="M1990">
        <v>-0.99990460000000003</v>
      </c>
      <c r="N1990">
        <v>0</v>
      </c>
      <c r="O1990">
        <v>1.00549E-2</v>
      </c>
      <c r="P1990">
        <v>-0.98819880000000004</v>
      </c>
      <c r="Q1990">
        <v>0.15306</v>
      </c>
      <c r="R1990">
        <v>6.024143E-3</v>
      </c>
      <c r="S1990">
        <v>-2.9631959999999999</v>
      </c>
      <c r="T1990">
        <v>0.47760000000000002</v>
      </c>
      <c r="U1990">
        <v>-0.19967650000000001</v>
      </c>
      <c r="V1990">
        <v>-4.0071109999999998E-3</v>
      </c>
      <c r="W1990">
        <v>0.1624236</v>
      </c>
      <c r="X1990">
        <v>0.98671299999999995</v>
      </c>
      <c r="Y1990">
        <v>-7.6154479999999997E-2</v>
      </c>
      <c r="Z1990">
        <v>7.6996929999999996E-3</v>
      </c>
      <c r="AA1990">
        <v>0.99706629999999996</v>
      </c>
      <c r="AB1990">
        <v>36</v>
      </c>
      <c r="AC1990">
        <v>-2.9631959999999999</v>
      </c>
      <c r="AD1990">
        <v>0.47760000000000002</v>
      </c>
      <c r="AE1990">
        <v>-0.19967650000000001</v>
      </c>
      <c r="AF1990">
        <v>-0.223677913126898</v>
      </c>
      <c r="AG1990">
        <v>0.47760000000000002</v>
      </c>
      <c r="AH1990">
        <v>2.8863941968612701</v>
      </c>
      <c r="AI1990">
        <v>80.632212673403401</v>
      </c>
      <c r="AJ1990">
        <v>94.431216704268905</v>
      </c>
      <c r="AK1990">
        <v>2.9341787655995399</v>
      </c>
      <c r="AL1990">
        <v>80.652401405445701</v>
      </c>
      <c r="AM1990">
        <v>90.232680917546105</v>
      </c>
      <c r="AN1990">
        <v>1.00000001357226</v>
      </c>
    </row>
    <row r="1991" spans="1:40" x14ac:dyDescent="0.3">
      <c r="A1991" t="str">
        <f>"20200111150838420"</f>
        <v>20200111150838420</v>
      </c>
      <c r="B1991" t="str">
        <f>"1578726518414958"</f>
        <v>1578726518414958</v>
      </c>
      <c r="C1991" t="s">
        <v>40</v>
      </c>
      <c r="D1991">
        <v>5.1781259999999998</v>
      </c>
      <c r="E1991">
        <v>0.47226360000000001</v>
      </c>
      <c r="F1991" t="s">
        <v>49</v>
      </c>
      <c r="G1991">
        <v>0</v>
      </c>
      <c r="H1991">
        <v>0</v>
      </c>
      <c r="I1991">
        <v>0</v>
      </c>
      <c r="J1991">
        <v>-269.12610000000001</v>
      </c>
      <c r="K1991">
        <v>1.1099129999999999</v>
      </c>
      <c r="L1991">
        <v>142.4068</v>
      </c>
      <c r="M1991">
        <v>-0.99990800000000002</v>
      </c>
      <c r="N1991">
        <v>0</v>
      </c>
      <c r="O1991">
        <v>9.8664370000000005E-3</v>
      </c>
      <c r="P1991">
        <v>-0.98819089999999998</v>
      </c>
      <c r="Q1991">
        <v>0.15311949999999999</v>
      </c>
      <c r="R1991">
        <v>5.7562710000000003E-3</v>
      </c>
      <c r="S1991">
        <v>-2.971222</v>
      </c>
      <c r="T1991">
        <v>0.42543579999999998</v>
      </c>
      <c r="U1991">
        <v>-0.20947270000000001</v>
      </c>
      <c r="V1991">
        <v>-4.0801040000000002E-3</v>
      </c>
      <c r="W1991">
        <v>0.1623271</v>
      </c>
      <c r="X1991">
        <v>0.98672850000000001</v>
      </c>
      <c r="Y1991">
        <v>-7.9260269999999994E-2</v>
      </c>
      <c r="Z1991">
        <v>7.0427889999999998E-3</v>
      </c>
      <c r="AA1991">
        <v>0.99682910000000002</v>
      </c>
      <c r="AB1991">
        <v>36</v>
      </c>
      <c r="AC1991">
        <v>-2.971222</v>
      </c>
      <c r="AD1991">
        <v>0.42543579999999998</v>
      </c>
      <c r="AE1991">
        <v>-0.20947270000000001</v>
      </c>
      <c r="AF1991">
        <v>-0.23400528127523201</v>
      </c>
      <c r="AG1991">
        <v>0.42543579999999998</v>
      </c>
      <c r="AH1991">
        <v>2.9096516564479802</v>
      </c>
      <c r="AI1991">
        <v>81.707822381410594</v>
      </c>
      <c r="AJ1991">
        <v>94.598048731869497</v>
      </c>
      <c r="AK1991">
        <v>2.9498859051591899</v>
      </c>
      <c r="AL1991">
        <v>80.658004057463998</v>
      </c>
      <c r="AM1991">
        <v>90.236915632652497</v>
      </c>
      <c r="AN1991">
        <v>0.99999993367765305</v>
      </c>
    </row>
    <row r="1992" spans="1:40" x14ac:dyDescent="0.3">
      <c r="A1992" t="str">
        <f>"20200111150838442"</f>
        <v>20200111150838442</v>
      </c>
      <c r="B1992" t="str">
        <f>"1578726518435454"</f>
        <v>1578726518435454</v>
      </c>
      <c r="C1992" t="s">
        <v>40</v>
      </c>
      <c r="D1992">
        <v>6.0496840000000001</v>
      </c>
      <c r="E1992">
        <v>0.47462140000000003</v>
      </c>
      <c r="F1992" t="s">
        <v>49</v>
      </c>
      <c r="G1992">
        <v>0</v>
      </c>
      <c r="H1992">
        <v>0</v>
      </c>
      <c r="I1992">
        <v>0</v>
      </c>
      <c r="J1992">
        <v>-269.49450000000002</v>
      </c>
      <c r="K1992">
        <v>1.109885</v>
      </c>
      <c r="L1992">
        <v>142.4102</v>
      </c>
      <c r="M1992">
        <v>-0.99991070000000004</v>
      </c>
      <c r="N1992">
        <v>0</v>
      </c>
      <c r="O1992">
        <v>9.6873910000000001E-3</v>
      </c>
      <c r="P1992">
        <v>-0.98831100000000005</v>
      </c>
      <c r="Q1992">
        <v>0.15233279999999999</v>
      </c>
      <c r="R1992">
        <v>6.0186689999999999E-3</v>
      </c>
      <c r="S1992">
        <v>-2.9639280000000001</v>
      </c>
      <c r="T1992">
        <v>0.47179280000000001</v>
      </c>
      <c r="U1992">
        <v>-0.20388790000000001</v>
      </c>
      <c r="V1992">
        <v>-3.6341350000000001E-3</v>
      </c>
      <c r="W1992">
        <v>0.16142509999999999</v>
      </c>
      <c r="X1992">
        <v>0.98687829999999999</v>
      </c>
      <c r="Y1992">
        <v>-7.7200379999999999E-2</v>
      </c>
      <c r="Z1992">
        <v>7.6295759999999999E-3</v>
      </c>
      <c r="AA1992">
        <v>0.99698640000000005</v>
      </c>
      <c r="AB1992">
        <v>36</v>
      </c>
      <c r="AC1992">
        <v>-2.9639280000000001</v>
      </c>
      <c r="AD1992">
        <v>0.47179280000000001</v>
      </c>
      <c r="AE1992">
        <v>-0.20388790000000001</v>
      </c>
      <c r="AF1992">
        <v>-0.226870961520758</v>
      </c>
      <c r="AG1992">
        <v>0.47179280000000001</v>
      </c>
      <c r="AH1992">
        <v>2.88895884096496</v>
      </c>
      <c r="AI1992">
        <v>80.752938766076198</v>
      </c>
      <c r="AJ1992">
        <v>94.490242532988901</v>
      </c>
      <c r="AK1992">
        <v>2.9360078446936702</v>
      </c>
      <c r="AL1992">
        <v>80.710376429825402</v>
      </c>
      <c r="AM1992">
        <v>90.210988180101097</v>
      </c>
      <c r="AN1992">
        <v>1.0000000244290399</v>
      </c>
    </row>
    <row r="1993" spans="1:40" x14ac:dyDescent="0.3">
      <c r="A1993" t="str">
        <f>"20200111150838465"</f>
        <v>20200111150838465</v>
      </c>
      <c r="B1993" t="str">
        <f>"1578726518454977"</f>
        <v>1578726518454977</v>
      </c>
      <c r="C1993" t="s">
        <v>40</v>
      </c>
      <c r="D1993">
        <v>5.4772800000000004</v>
      </c>
      <c r="E1993">
        <v>0.47152650000000002</v>
      </c>
      <c r="F1993" t="s">
        <v>49</v>
      </c>
      <c r="G1993">
        <v>0</v>
      </c>
      <c r="H1993">
        <v>0</v>
      </c>
      <c r="I1993">
        <v>0</v>
      </c>
      <c r="J1993">
        <v>-269.87090000000001</v>
      </c>
      <c r="K1993">
        <v>1.109872</v>
      </c>
      <c r="L1993">
        <v>142.41370000000001</v>
      </c>
      <c r="M1993">
        <v>-0.9999133</v>
      </c>
      <c r="N1993">
        <v>0</v>
      </c>
      <c r="O1993">
        <v>9.5127920000000008E-3</v>
      </c>
      <c r="P1993">
        <v>-0.98833479999999996</v>
      </c>
      <c r="Q1993">
        <v>0.1521786</v>
      </c>
      <c r="R1993">
        <v>5.9988439999999997E-3</v>
      </c>
      <c r="S1993">
        <v>-2.9619450000000001</v>
      </c>
      <c r="T1993">
        <v>0.48440840000000002</v>
      </c>
      <c r="U1993">
        <v>-0.1842346</v>
      </c>
      <c r="V1993">
        <v>-3.4771009999999998E-3</v>
      </c>
      <c r="W1993">
        <v>0.16118270000000001</v>
      </c>
      <c r="X1993">
        <v>0.98691839999999997</v>
      </c>
      <c r="Y1993">
        <v>-7.0513370000000006E-2</v>
      </c>
      <c r="Z1993">
        <v>7.2667419999999996E-3</v>
      </c>
      <c r="AA1993">
        <v>0.99748440000000005</v>
      </c>
      <c r="AB1993">
        <v>36</v>
      </c>
      <c r="AC1993">
        <v>-2.9619450000000001</v>
      </c>
      <c r="AD1993">
        <v>0.48440840000000002</v>
      </c>
      <c r="AE1993">
        <v>-0.1842346</v>
      </c>
      <c r="AF1993">
        <v>-0.20689147127096699</v>
      </c>
      <c r="AG1993">
        <v>0.48440840000000002</v>
      </c>
      <c r="AH1993">
        <v>2.8832385536455298</v>
      </c>
      <c r="AI1993">
        <v>80.4869054902112</v>
      </c>
      <c r="AJ1993">
        <v>94.1043170878457</v>
      </c>
      <c r="AK1993">
        <v>2.9309589106814902</v>
      </c>
      <c r="AL1993">
        <v>80.724448428503393</v>
      </c>
      <c r="AM1993">
        <v>90.201863080003704</v>
      </c>
      <c r="AN1993">
        <v>0.99999994063460496</v>
      </c>
    </row>
    <row r="1994" spans="1:40" x14ac:dyDescent="0.3">
      <c r="A1994" t="str">
        <f>"20200111150838481"</f>
        <v>20200111150838481</v>
      </c>
      <c r="B1994" t="str">
        <f>"1578726518475471"</f>
        <v>1578726518475471</v>
      </c>
      <c r="C1994" t="s">
        <v>40</v>
      </c>
      <c r="D1994">
        <v>7.7741789999999904</v>
      </c>
      <c r="E1994">
        <v>0.4719798</v>
      </c>
      <c r="F1994" t="s">
        <v>49</v>
      </c>
      <c r="G1994">
        <v>0</v>
      </c>
      <c r="H1994">
        <v>0</v>
      </c>
      <c r="I1994">
        <v>0</v>
      </c>
      <c r="J1994">
        <v>-270.11880000000002</v>
      </c>
      <c r="K1994">
        <v>1.1098669999999999</v>
      </c>
      <c r="L1994">
        <v>142.416</v>
      </c>
      <c r="M1994">
        <v>-0.99991470000000005</v>
      </c>
      <c r="N1994">
        <v>0</v>
      </c>
      <c r="O1994">
        <v>9.4001950000000001E-3</v>
      </c>
      <c r="P1994">
        <v>-0.98838510000000002</v>
      </c>
      <c r="Q1994">
        <v>0.15186089999999999</v>
      </c>
      <c r="R1994">
        <v>5.7572930000000001E-3</v>
      </c>
      <c r="S1994">
        <v>-2.9602050000000002</v>
      </c>
      <c r="T1994">
        <v>0.49676500000000001</v>
      </c>
      <c r="U1994">
        <v>-0.2089539</v>
      </c>
      <c r="V1994">
        <v>-3.60532E-3</v>
      </c>
      <c r="W1994">
        <v>0.1608203</v>
      </c>
      <c r="X1994">
        <v>0.98697710000000005</v>
      </c>
      <c r="Y1994">
        <v>-7.8562430000000003E-2</v>
      </c>
      <c r="Z1994">
        <v>8.1030240000000003E-3</v>
      </c>
      <c r="AA1994">
        <v>0.99687619999999999</v>
      </c>
      <c r="AB1994">
        <v>36</v>
      </c>
      <c r="AC1994">
        <v>-2.9602050000000002</v>
      </c>
      <c r="AD1994">
        <v>0.49676500000000001</v>
      </c>
      <c r="AE1994">
        <v>-0.2089539</v>
      </c>
      <c r="AF1994">
        <v>-0.23031832458064</v>
      </c>
      <c r="AG1994">
        <v>0.49676500000000001</v>
      </c>
      <c r="AH1994">
        <v>2.8774771125433301</v>
      </c>
      <c r="AI1994">
        <v>80.235682657737598</v>
      </c>
      <c r="AJ1994">
        <v>94.576298552391293</v>
      </c>
      <c r="AK1994">
        <v>2.9291119010842399</v>
      </c>
      <c r="AL1994">
        <v>80.745487266898493</v>
      </c>
      <c r="AM1994">
        <v>90.209294320006293</v>
      </c>
      <c r="AN1994">
        <v>0.99999998157440095</v>
      </c>
    </row>
    <row r="1995" spans="1:40" x14ac:dyDescent="0.3">
      <c r="A1995" t="str">
        <f>"20200111150838498"</f>
        <v>20200111150838498</v>
      </c>
      <c r="B1995" t="str">
        <f>"1578726518494991"</f>
        <v>1578726518494991</v>
      </c>
      <c r="C1995" t="s">
        <v>40</v>
      </c>
      <c r="D1995">
        <v>5.0968619999999998</v>
      </c>
      <c r="E1995">
        <v>0.4346643</v>
      </c>
      <c r="F1995" t="s">
        <v>49</v>
      </c>
      <c r="G1995">
        <v>0</v>
      </c>
      <c r="H1995">
        <v>0</v>
      </c>
      <c r="I1995">
        <v>0</v>
      </c>
      <c r="J1995">
        <v>-270.399</v>
      </c>
      <c r="K1995">
        <v>1.109864</v>
      </c>
      <c r="L1995">
        <v>142.41849999999999</v>
      </c>
      <c r="M1995">
        <v>-0.99991629999999998</v>
      </c>
      <c r="N1995">
        <v>0</v>
      </c>
      <c r="O1995">
        <v>9.2740670000000004E-3</v>
      </c>
      <c r="P1995">
        <v>-0.98842149999999995</v>
      </c>
      <c r="Q1995">
        <v>0.15163579999999999</v>
      </c>
      <c r="R1995">
        <v>5.4428559999999898E-3</v>
      </c>
      <c r="S1995">
        <v>-2.9579469999999999</v>
      </c>
      <c r="T1995">
        <v>0.51086889999999996</v>
      </c>
      <c r="U1995">
        <v>-0.2059937</v>
      </c>
      <c r="V1995">
        <v>-3.7932619999999999E-3</v>
      </c>
      <c r="W1995">
        <v>0.1605615</v>
      </c>
      <c r="X1995">
        <v>0.98701850000000002</v>
      </c>
      <c r="Y1995">
        <v>-7.7443639999999994E-2</v>
      </c>
      <c r="Z1995">
        <v>8.2189289999999998E-3</v>
      </c>
      <c r="AA1995">
        <v>0.99696280000000004</v>
      </c>
      <c r="AB1995">
        <v>36</v>
      </c>
      <c r="AC1995">
        <v>-2.9579469999999999</v>
      </c>
      <c r="AD1995">
        <v>0.51086889999999996</v>
      </c>
      <c r="AE1995">
        <v>-0.2059937</v>
      </c>
      <c r="AF1995">
        <v>-0.22668889663021399</v>
      </c>
      <c r="AG1995">
        <v>0.51086889999999996</v>
      </c>
      <c r="AH1995">
        <v>2.8706928027741601</v>
      </c>
      <c r="AI1995">
        <v>79.939948237531993</v>
      </c>
      <c r="AJ1995">
        <v>94.515084438844099</v>
      </c>
      <c r="AK1995">
        <v>2.924594340544</v>
      </c>
      <c r="AL1995">
        <v>80.760510368944693</v>
      </c>
      <c r="AM1995">
        <v>90.220195298449994</v>
      </c>
      <c r="AN1995">
        <v>0.99999995173054901</v>
      </c>
    </row>
    <row r="1996" spans="1:40" x14ac:dyDescent="0.3">
      <c r="A1996" t="str">
        <f>"20200111150838524"</f>
        <v>20200111150838524</v>
      </c>
      <c r="B1996" t="str">
        <f>"1578726518515487"</f>
        <v>1578726518515487</v>
      </c>
      <c r="C1996" t="s">
        <v>40</v>
      </c>
      <c r="D1996">
        <v>5.9895949999999996</v>
      </c>
      <c r="E1996">
        <v>0.44695940000000001</v>
      </c>
      <c r="F1996" t="s">
        <v>81</v>
      </c>
      <c r="G1996">
        <v>-398.31009999999998</v>
      </c>
      <c r="H1996">
        <v>42.572609999999997</v>
      </c>
      <c r="I1996">
        <v>120.1771</v>
      </c>
      <c r="J1996">
        <v>-270.78829999999999</v>
      </c>
      <c r="K1996">
        <v>1.109866</v>
      </c>
      <c r="L1996">
        <v>142.422</v>
      </c>
      <c r="M1996">
        <v>-0.99991790000000003</v>
      </c>
      <c r="N1996">
        <v>0</v>
      </c>
      <c r="O1996">
        <v>9.0988900000000001E-3</v>
      </c>
      <c r="P1996">
        <v>-0.9884927</v>
      </c>
      <c r="Q1996">
        <v>0.1511614</v>
      </c>
      <c r="R1996">
        <v>5.6936919999999898E-3</v>
      </c>
      <c r="S1996">
        <v>-2.8939509999999999</v>
      </c>
      <c r="T1996">
        <v>0.93808219999999998</v>
      </c>
      <c r="U1996">
        <v>-0.50320429999999905</v>
      </c>
      <c r="V1996">
        <v>-3.3671299999999999E-3</v>
      </c>
      <c r="W1996">
        <v>0.160066299999999</v>
      </c>
      <c r="X1996">
        <v>0.98710050000000005</v>
      </c>
      <c r="Y1996">
        <v>-0.1712892</v>
      </c>
      <c r="Z1996">
        <v>2.9737969999999999E-2</v>
      </c>
      <c r="AA1996">
        <v>0.98477190000000003</v>
      </c>
      <c r="AB1996">
        <v>36</v>
      </c>
      <c r="AC1996">
        <v>-127.521799999999</v>
      </c>
      <c r="AD1996">
        <v>41.462744000000001</v>
      </c>
      <c r="AE1996">
        <v>-22.244900000000001</v>
      </c>
      <c r="AF1996">
        <v>-21.226578233942799</v>
      </c>
      <c r="AG1996">
        <v>41.462744000000001</v>
      </c>
      <c r="AH1996">
        <v>115.467630273262</v>
      </c>
      <c r="AI1996">
        <v>70.548432731092305</v>
      </c>
      <c r="AJ1996">
        <v>100.416465529299</v>
      </c>
      <c r="AK1996">
        <v>124.509037440878</v>
      </c>
      <c r="AL1996">
        <v>80.789255261322296</v>
      </c>
      <c r="AM1996">
        <v>90.195442702953898</v>
      </c>
      <c r="AN1996">
        <v>0.99999997753018799</v>
      </c>
    </row>
    <row r="1997" spans="1:40" x14ac:dyDescent="0.3">
      <c r="A1997" t="str">
        <f>"20200111150838543"</f>
        <v>20200111150838543</v>
      </c>
      <c r="B1997" t="str">
        <f>"1578726518535006"</f>
        <v>1578726518535006</v>
      </c>
      <c r="C1997" t="s">
        <v>40</v>
      </c>
      <c r="D1997">
        <v>5.4724389999999996</v>
      </c>
      <c r="E1997">
        <v>0.53654179999999996</v>
      </c>
      <c r="F1997" t="s">
        <v>85</v>
      </c>
      <c r="G1997">
        <v>-440.20710000000003</v>
      </c>
      <c r="H1997">
        <v>52.618139999999997</v>
      </c>
      <c r="I1997">
        <v>118.83029999999999</v>
      </c>
      <c r="J1997">
        <v>-271.13029999999998</v>
      </c>
      <c r="K1997">
        <v>1.1098629999999901</v>
      </c>
      <c r="L1997">
        <v>142.42490000000001</v>
      </c>
      <c r="M1997">
        <v>-0.99991940000000001</v>
      </c>
      <c r="N1997">
        <v>0</v>
      </c>
      <c r="O1997">
        <v>8.9440539999999999E-3</v>
      </c>
      <c r="P1997">
        <v>-0.9885256</v>
      </c>
      <c r="Q1997">
        <v>0.1509096</v>
      </c>
      <c r="R1997">
        <v>6.6087079999999996E-3</v>
      </c>
      <c r="S1997">
        <v>-2.9022830000000002</v>
      </c>
      <c r="T1997">
        <v>0.88237809999999905</v>
      </c>
      <c r="U1997">
        <v>-0.40414430000000001</v>
      </c>
      <c r="V1997">
        <v>-2.2973540000000001E-3</v>
      </c>
      <c r="W1997">
        <v>0.15981219999999999</v>
      </c>
      <c r="X1997">
        <v>0.98714480000000004</v>
      </c>
      <c r="Y1997">
        <v>-0.1401578</v>
      </c>
      <c r="Z1997">
        <v>2.3389219999999999E-2</v>
      </c>
      <c r="AA1997">
        <v>0.98985290000000004</v>
      </c>
      <c r="AB1997">
        <v>36</v>
      </c>
      <c r="AC1997">
        <v>-169.07679999999999</v>
      </c>
      <c r="AD1997">
        <v>51.508277</v>
      </c>
      <c r="AE1997">
        <v>-23.5946</v>
      </c>
      <c r="AF1997">
        <v>-23.0111249990244</v>
      </c>
      <c r="AG1997">
        <v>51.508277</v>
      </c>
      <c r="AH1997">
        <v>154.76950848028301</v>
      </c>
      <c r="AI1997">
        <v>71.779086722619695</v>
      </c>
      <c r="AJ1997">
        <v>98.456783135588793</v>
      </c>
      <c r="AK1997">
        <v>164.73073553061599</v>
      </c>
      <c r="AL1997">
        <v>80.804004529876906</v>
      </c>
      <c r="AM1997">
        <v>90.133342596350701</v>
      </c>
      <c r="AN1997">
        <v>1.0000000366356301</v>
      </c>
    </row>
    <row r="1998" spans="1:40" x14ac:dyDescent="0.3">
      <c r="A1998" t="str">
        <f>"20200111150838566"</f>
        <v>20200111150838566</v>
      </c>
      <c r="B1998" t="str">
        <f>"1578726518555502"</f>
        <v>1578726518555502</v>
      </c>
      <c r="C1998" t="s">
        <v>40</v>
      </c>
      <c r="D1998">
        <v>5.5916969999999999</v>
      </c>
      <c r="E1998">
        <v>0.54070560000000001</v>
      </c>
      <c r="F1998" t="s">
        <v>41</v>
      </c>
      <c r="G1998">
        <v>-272.05489999999998</v>
      </c>
      <c r="H1998">
        <v>0.92476709999999995</v>
      </c>
      <c r="I1998">
        <v>142.5154</v>
      </c>
      <c r="J1998">
        <v>-271.49040000000002</v>
      </c>
      <c r="K1998">
        <v>1.1098650000000001</v>
      </c>
      <c r="L1998">
        <v>142.428</v>
      </c>
      <c r="M1998">
        <v>-0.99992080000000005</v>
      </c>
      <c r="N1998">
        <v>0</v>
      </c>
      <c r="O1998">
        <v>8.7801149999999998E-3</v>
      </c>
      <c r="P1998">
        <v>-0.98843119999999995</v>
      </c>
      <c r="Q1998">
        <v>0.1515021</v>
      </c>
      <c r="R1998">
        <v>7.139917E-3</v>
      </c>
      <c r="S1998">
        <v>-3.128387</v>
      </c>
      <c r="T1998">
        <v>-0.62629499999999905</v>
      </c>
      <c r="U1998">
        <v>0.30537409999999998</v>
      </c>
      <c r="V1998">
        <v>-1.601962E-3</v>
      </c>
      <c r="W1998">
        <v>0.160408</v>
      </c>
      <c r="X1998">
        <v>0.98704950000000002</v>
      </c>
      <c r="Y1998">
        <v>8.6874699999999999E-2</v>
      </c>
      <c r="Z1998">
        <v>6.8544410000000002E-3</v>
      </c>
      <c r="AA1998">
        <v>0.99619570000000002</v>
      </c>
      <c r="AB1998">
        <v>36</v>
      </c>
      <c r="AC1998">
        <v>-0.56449999999995204</v>
      </c>
      <c r="AD1998">
        <v>-0.18509789999999901</v>
      </c>
      <c r="AE1998">
        <v>8.7400000000002295E-2</v>
      </c>
      <c r="AF1998">
        <v>7.4606417892006796E-2</v>
      </c>
      <c r="AG1998">
        <v>-0.18509789999999901</v>
      </c>
      <c r="AH1998">
        <v>0.51153475887021005</v>
      </c>
      <c r="AI1998">
        <v>109.70040981833699</v>
      </c>
      <c r="AJ1998">
        <v>81.702021622915595</v>
      </c>
      <c r="AK1998">
        <v>0.54908574895683704</v>
      </c>
      <c r="AL1998">
        <v>80.769421252861605</v>
      </c>
      <c r="AM1998">
        <v>90.092989845950598</v>
      </c>
      <c r="AN1998">
        <v>1.00000000409824</v>
      </c>
    </row>
    <row r="1999" spans="1:40" x14ac:dyDescent="0.3">
      <c r="A1999" t="str">
        <f>"20200111150838587"</f>
        <v>20200111150838587</v>
      </c>
      <c r="B1999" t="str">
        <f>"1578726518575022"</f>
        <v>1578726518575022</v>
      </c>
      <c r="C1999" t="s">
        <v>40</v>
      </c>
      <c r="D1999">
        <v>5.4862019999999996</v>
      </c>
      <c r="E1999">
        <v>0.54166729999999996</v>
      </c>
      <c r="F1999" t="s">
        <v>41</v>
      </c>
      <c r="G1999">
        <v>-272.37470000000002</v>
      </c>
      <c r="H1999">
        <v>0.91366389999999997</v>
      </c>
      <c r="I1999">
        <v>142.52379999999999</v>
      </c>
      <c r="J1999">
        <v>-271.83499999999998</v>
      </c>
      <c r="K1999">
        <v>1.1098629999999901</v>
      </c>
      <c r="L1999">
        <v>142.4308</v>
      </c>
      <c r="M1999">
        <v>-0.99992219999999998</v>
      </c>
      <c r="N1999">
        <v>0</v>
      </c>
      <c r="O1999">
        <v>8.6226949999999997E-3</v>
      </c>
      <c r="P1999">
        <v>-0.98838309999999996</v>
      </c>
      <c r="Q1999">
        <v>0.151799499999999</v>
      </c>
      <c r="R1999">
        <v>7.4975500000000004E-3</v>
      </c>
      <c r="S1999">
        <v>-3.1393430000000002</v>
      </c>
      <c r="T1999">
        <v>-0.69645539999999995</v>
      </c>
      <c r="U1999">
        <v>0.3399353</v>
      </c>
      <c r="V1999">
        <v>-1.0865320000000001E-3</v>
      </c>
      <c r="W1999">
        <v>0.16071489999999999</v>
      </c>
      <c r="X1999">
        <v>0.98700030000000005</v>
      </c>
      <c r="Y1999">
        <v>9.6953650000000002E-2</v>
      </c>
      <c r="Z1999">
        <v>8.7109470000000001E-3</v>
      </c>
      <c r="AA1999">
        <v>0.99525079999999999</v>
      </c>
      <c r="AB1999">
        <v>36</v>
      </c>
      <c r="AC1999">
        <v>-0.53970000000003804</v>
      </c>
      <c r="AD1999">
        <v>-0.19619909999999899</v>
      </c>
      <c r="AE1999">
        <v>9.29999999999893E-2</v>
      </c>
      <c r="AF1999">
        <v>7.82939901219184E-2</v>
      </c>
      <c r="AG1999">
        <v>-0.19619909999999899</v>
      </c>
      <c r="AH1999">
        <v>0.47900381208836201</v>
      </c>
      <c r="AI1999">
        <v>112.01023051190499</v>
      </c>
      <c r="AJ1999">
        <v>80.716995909952601</v>
      </c>
      <c r="AK1999">
        <v>0.523515699597638</v>
      </c>
      <c r="AL1999">
        <v>80.751606244381705</v>
      </c>
      <c r="AM1999">
        <v>90.063073610776399</v>
      </c>
      <c r="AN1999">
        <v>1.0000000259169399</v>
      </c>
    </row>
    <row r="2000" spans="1:40" x14ac:dyDescent="0.3">
      <c r="A2000" t="str">
        <f>"20200111150838610"</f>
        <v>20200111150838610</v>
      </c>
      <c r="B2000" t="str">
        <f>"1578726518604868"</f>
        <v>1578726518604868</v>
      </c>
      <c r="C2000" t="s">
        <v>40</v>
      </c>
      <c r="D2000">
        <v>5.4855219999999996</v>
      </c>
      <c r="E2000">
        <v>0.54001999999999994</v>
      </c>
      <c r="F2000" t="s">
        <v>41</v>
      </c>
      <c r="G2000">
        <v>-272.69369999999998</v>
      </c>
      <c r="H2000">
        <v>0.89951610000000004</v>
      </c>
      <c r="I2000">
        <v>142.52600000000001</v>
      </c>
      <c r="J2000">
        <v>-272.1995</v>
      </c>
      <c r="K2000">
        <v>1.1098600000000001</v>
      </c>
      <c r="L2000">
        <v>142.43389999999999</v>
      </c>
      <c r="M2000">
        <v>-0.99992349999999997</v>
      </c>
      <c r="N2000">
        <v>0</v>
      </c>
      <c r="O2000">
        <v>8.4561020000000001E-3</v>
      </c>
      <c r="P2000">
        <v>-0.98836310000000005</v>
      </c>
      <c r="Q2000">
        <v>0.15191559999999901</v>
      </c>
      <c r="R2000">
        <v>7.7617249999999997E-3</v>
      </c>
      <c r="S2000">
        <v>-3.151154</v>
      </c>
      <c r="T2000">
        <v>-0.77194739999999995</v>
      </c>
      <c r="U2000">
        <v>0.34812929999999997</v>
      </c>
      <c r="V2000">
        <v>-6.5729509999999896E-4</v>
      </c>
      <c r="W2000">
        <v>0.16084999999999999</v>
      </c>
      <c r="X2000">
        <v>0.98697869999999999</v>
      </c>
      <c r="Y2000">
        <v>9.876161E-2</v>
      </c>
      <c r="Z2000">
        <v>9.8508680000000005E-3</v>
      </c>
      <c r="AA2000">
        <v>0.99506240000000001</v>
      </c>
      <c r="AB2000">
        <v>36</v>
      </c>
      <c r="AC2000">
        <v>-0.49419999999997699</v>
      </c>
      <c r="AD2000">
        <v>-0.2103439</v>
      </c>
      <c r="AE2000">
        <v>9.2100000000016197E-2</v>
      </c>
      <c r="AF2000">
        <v>7.4818580909369201E-2</v>
      </c>
      <c r="AG2000">
        <v>-0.2103439</v>
      </c>
      <c r="AH2000">
        <v>0.42121624424625498</v>
      </c>
      <c r="AI2000">
        <v>116.182265145743</v>
      </c>
      <c r="AJ2000">
        <v>79.927881575795894</v>
      </c>
      <c r="AK2000">
        <v>0.47672371530418201</v>
      </c>
      <c r="AL2000">
        <v>80.743763816220095</v>
      </c>
      <c r="AM2000">
        <v>90.038157084400098</v>
      </c>
      <c r="AN2000">
        <v>1.0000000543952601</v>
      </c>
    </row>
    <row r="2001" spans="1:40" x14ac:dyDescent="0.3">
      <c r="A2001" t="str">
        <f>"20200111150838634"</f>
        <v>20200111150838634</v>
      </c>
      <c r="B2001" t="str">
        <f>"1578726518625365"</f>
        <v>1578726518625365</v>
      </c>
      <c r="C2001" t="s">
        <v>40</v>
      </c>
      <c r="D2001">
        <v>5.5105469999999999</v>
      </c>
      <c r="E2001">
        <v>0.53925259999999997</v>
      </c>
      <c r="F2001" t="s">
        <v>41</v>
      </c>
      <c r="G2001">
        <v>-273.01760000000002</v>
      </c>
      <c r="H2001">
        <v>0.8951983</v>
      </c>
      <c r="I2001">
        <v>142.52070000000001</v>
      </c>
      <c r="J2001">
        <v>-272.59309999999999</v>
      </c>
      <c r="K2001">
        <v>1.1098589999999999</v>
      </c>
      <c r="L2001">
        <v>142.43700000000001</v>
      </c>
      <c r="M2001">
        <v>-0.99992449999999999</v>
      </c>
      <c r="N2001">
        <v>0</v>
      </c>
      <c r="O2001">
        <v>8.2768700000000004E-3</v>
      </c>
      <c r="P2001">
        <v>-0.98839520000000003</v>
      </c>
      <c r="Q2001">
        <v>0.15170069999999999</v>
      </c>
      <c r="R2001">
        <v>7.873227E-3</v>
      </c>
      <c r="S2001">
        <v>-3.160126</v>
      </c>
      <c r="T2001">
        <v>-0.82914539999999903</v>
      </c>
      <c r="U2001">
        <v>0.33462520000000001</v>
      </c>
      <c r="V2001">
        <v>-3.6739919999999998E-4</v>
      </c>
      <c r="W2001">
        <v>0.160666</v>
      </c>
      <c r="X2001">
        <v>0.98700880000000002</v>
      </c>
      <c r="Y2001">
        <v>9.4190700000000002E-2</v>
      </c>
      <c r="Z2001">
        <v>9.9891819999999992E-3</v>
      </c>
      <c r="AA2001">
        <v>0.9955041</v>
      </c>
      <c r="AB2001">
        <v>36</v>
      </c>
      <c r="AC2001">
        <v>-0.42450000000002303</v>
      </c>
      <c r="AD2001">
        <v>-0.21466069999999901</v>
      </c>
      <c r="AE2001">
        <v>8.3699999999993197E-2</v>
      </c>
      <c r="AF2001">
        <v>6.4345368526180197E-2</v>
      </c>
      <c r="AG2001">
        <v>-0.21466069999999901</v>
      </c>
      <c r="AH2001">
        <v>0.34119571630690998</v>
      </c>
      <c r="AI2001">
        <v>121.72619825734699</v>
      </c>
      <c r="AJ2001">
        <v>79.320143918044096</v>
      </c>
      <c r="AK2001">
        <v>0.408208352929537</v>
      </c>
      <c r="AL2001">
        <v>80.754444980484394</v>
      </c>
      <c r="AM2001">
        <v>90.021327492302206</v>
      </c>
      <c r="AN2001">
        <v>1.0000000349078</v>
      </c>
    </row>
    <row r="2002" spans="1:40" x14ac:dyDescent="0.3">
      <c r="A2002" t="str">
        <f>"20200111150838655"</f>
        <v>20200111150838655</v>
      </c>
      <c r="B2002" t="str">
        <f>"1578726518644887"</f>
        <v>1578726518644887</v>
      </c>
      <c r="C2002" t="s">
        <v>40</v>
      </c>
      <c r="D2002">
        <v>5.5170940000000002</v>
      </c>
      <c r="E2002">
        <v>0.53873609999999905</v>
      </c>
      <c r="F2002" t="s">
        <v>41</v>
      </c>
      <c r="G2002">
        <v>-273.34870000000001</v>
      </c>
      <c r="H2002">
        <v>0.90695809999999999</v>
      </c>
      <c r="I2002">
        <v>142.5155</v>
      </c>
      <c r="J2002">
        <v>-272.9479</v>
      </c>
      <c r="K2002">
        <v>1.1098629999999901</v>
      </c>
      <c r="L2002">
        <v>142.43979999999999</v>
      </c>
      <c r="M2002">
        <v>-0.99992570000000003</v>
      </c>
      <c r="N2002">
        <v>0</v>
      </c>
      <c r="O2002">
        <v>8.1152080000000005E-3</v>
      </c>
      <c r="P2002">
        <v>-0.98851040000000001</v>
      </c>
      <c r="Q2002">
        <v>0.15094730000000001</v>
      </c>
      <c r="R2002">
        <v>7.9129730000000002E-3</v>
      </c>
      <c r="S2002">
        <v>-3.1629640000000001</v>
      </c>
      <c r="T2002">
        <v>-0.84932289999999899</v>
      </c>
      <c r="U2002">
        <v>0.32777399999999901</v>
      </c>
      <c r="V2002">
        <v>-1.6833730000000001E-4</v>
      </c>
      <c r="W2002">
        <v>0.15994439999999999</v>
      </c>
      <c r="X2002">
        <v>0.98712599999999995</v>
      </c>
      <c r="Y2002">
        <v>9.205911E-2</v>
      </c>
      <c r="Z2002">
        <v>9.9784130000000002E-3</v>
      </c>
      <c r="AA2002">
        <v>0.99570349999999996</v>
      </c>
      <c r="AB2002">
        <v>36</v>
      </c>
      <c r="AC2002">
        <v>-0.40080000000000299</v>
      </c>
      <c r="AD2002">
        <v>-0.202904899999999</v>
      </c>
      <c r="AE2002">
        <v>7.57000000000118E-2</v>
      </c>
      <c r="AF2002">
        <v>5.8073788194739698E-2</v>
      </c>
      <c r="AG2002">
        <v>-0.202904899999999</v>
      </c>
      <c r="AH2002">
        <v>0.32177445653871301</v>
      </c>
      <c r="AI2002">
        <v>121.821895487351</v>
      </c>
      <c r="AJ2002">
        <v>79.769400968052906</v>
      </c>
      <c r="AK2002">
        <v>0.384813934519115</v>
      </c>
      <c r="AL2002">
        <v>80.7963308894509</v>
      </c>
      <c r="AM2002">
        <v>90.009770806088696</v>
      </c>
      <c r="AN2002">
        <v>0.999999989652403</v>
      </c>
    </row>
    <row r="2003" spans="1:40" x14ac:dyDescent="0.3">
      <c r="A2003" t="str">
        <f>"20200111150838678"</f>
        <v>20200111150838678</v>
      </c>
      <c r="B2003" t="str">
        <f>"1578726518675141"</f>
        <v>1578726518675141</v>
      </c>
      <c r="C2003" t="s">
        <v>40</v>
      </c>
      <c r="D2003">
        <v>5.4858859999999998</v>
      </c>
      <c r="E2003">
        <v>0.53849320000000001</v>
      </c>
      <c r="F2003" t="s">
        <v>41</v>
      </c>
      <c r="G2003">
        <v>-273.67680000000001</v>
      </c>
      <c r="H2003">
        <v>0.9105356</v>
      </c>
      <c r="I2003">
        <v>142.51419999999999</v>
      </c>
      <c r="J2003">
        <v>-273.30380000000002</v>
      </c>
      <c r="K2003">
        <v>1.1098479999999999</v>
      </c>
      <c r="L2003">
        <v>142.4426</v>
      </c>
      <c r="M2003">
        <v>-0.99992669999999995</v>
      </c>
      <c r="N2003">
        <v>0</v>
      </c>
      <c r="O2003">
        <v>7.9533620000000003E-3</v>
      </c>
      <c r="P2003">
        <v>-0.9885583</v>
      </c>
      <c r="Q2003">
        <v>0.150636299999999</v>
      </c>
      <c r="R2003">
        <v>7.8337749999999994E-3</v>
      </c>
      <c r="S2003">
        <v>-3.1643979999999998</v>
      </c>
      <c r="T2003">
        <v>-0.86537710000000001</v>
      </c>
      <c r="U2003">
        <v>0.32255549999999999</v>
      </c>
      <c r="V2003" s="1">
        <v>-8.7625580000000002E-5</v>
      </c>
      <c r="W2003">
        <v>0.15966529999999901</v>
      </c>
      <c r="X2003">
        <v>0.98717120000000003</v>
      </c>
      <c r="Y2003">
        <v>9.0491790000000003E-2</v>
      </c>
      <c r="Z2003">
        <v>9.9902500000000009E-3</v>
      </c>
      <c r="AA2003">
        <v>0.99584709999999999</v>
      </c>
      <c r="AB2003">
        <v>36</v>
      </c>
      <c r="AC2003">
        <v>-0.37299999999999001</v>
      </c>
      <c r="AD2003">
        <v>-0.199312399999999</v>
      </c>
      <c r="AE2003">
        <v>7.1599999999989394E-2</v>
      </c>
      <c r="AF2003">
        <v>5.3812104602958197E-2</v>
      </c>
      <c r="AG2003">
        <v>-0.199312399999999</v>
      </c>
      <c r="AH2003">
        <v>0.29289858900098897</v>
      </c>
      <c r="AI2003">
        <v>123.79363967414299</v>
      </c>
      <c r="AJ2003">
        <v>79.589562896142198</v>
      </c>
      <c r="AK2003">
        <v>0.35834446951826998</v>
      </c>
      <c r="AL2003">
        <v>80.812530393985298</v>
      </c>
      <c r="AM2003">
        <v>90.005085820876999</v>
      </c>
      <c r="AN2003">
        <v>0.99999999690588603</v>
      </c>
    </row>
    <row r="2004" spans="1:40" x14ac:dyDescent="0.3">
      <c r="A2004" t="str">
        <f>"20200111150838700"</f>
        <v>20200111150838700</v>
      </c>
      <c r="B2004" t="str">
        <f>"1578726518695637"</f>
        <v>1578726518695637</v>
      </c>
      <c r="C2004" t="s">
        <v>40</v>
      </c>
      <c r="D2004">
        <v>5.4720409999999999</v>
      </c>
      <c r="E2004">
        <v>0.53793639999999998</v>
      </c>
      <c r="F2004" t="s">
        <v>41</v>
      </c>
      <c r="G2004">
        <v>-274.00599999999997</v>
      </c>
      <c r="H2004">
        <v>0.91543790000000003</v>
      </c>
      <c r="I2004">
        <v>142.5138</v>
      </c>
      <c r="J2004">
        <v>-273.67189999999999</v>
      </c>
      <c r="K2004">
        <v>1.1098399999999999</v>
      </c>
      <c r="L2004">
        <v>142.4453</v>
      </c>
      <c r="M2004">
        <v>-0.99992760000000003</v>
      </c>
      <c r="N2004">
        <v>0</v>
      </c>
      <c r="O2004">
        <v>7.7866059999999997E-3</v>
      </c>
      <c r="P2004">
        <v>-0.98868230000000001</v>
      </c>
      <c r="Q2004">
        <v>0.149830399999999</v>
      </c>
      <c r="R2004">
        <v>7.6384399999999998E-3</v>
      </c>
      <c r="S2004">
        <v>-3.1657410000000001</v>
      </c>
      <c r="T2004">
        <v>-0.87645640000000002</v>
      </c>
      <c r="U2004">
        <v>0.32022089999999998</v>
      </c>
      <c r="V2004">
        <v>-1.184637E-4</v>
      </c>
      <c r="W2004">
        <v>0.1588956</v>
      </c>
      <c r="X2004">
        <v>0.98729540000000005</v>
      </c>
      <c r="Y2004">
        <v>8.9832960000000003E-2</v>
      </c>
      <c r="Z2004">
        <v>1.006571E-2</v>
      </c>
      <c r="AA2004">
        <v>0.99590599999999996</v>
      </c>
      <c r="AB2004">
        <v>37</v>
      </c>
      <c r="AC2004">
        <v>-0.33409999999997803</v>
      </c>
      <c r="AD2004">
        <v>-0.194402099999999</v>
      </c>
      <c r="AE2004">
        <v>6.85000000000002E-2</v>
      </c>
      <c r="AF2004">
        <v>4.9736360644250598E-2</v>
      </c>
      <c r="AG2004">
        <v>-0.194402099999999</v>
      </c>
      <c r="AH2004">
        <v>0.25256261325302298</v>
      </c>
      <c r="AI2004">
        <v>127.060615182245</v>
      </c>
      <c r="AJ2004">
        <v>78.859473251519404</v>
      </c>
      <c r="AK2004">
        <v>0.32257364378966302</v>
      </c>
      <c r="AL2004">
        <v>80.857201431700105</v>
      </c>
      <c r="AM2004">
        <v>90.006874811736097</v>
      </c>
      <c r="AN2004">
        <v>1.0000000162970799</v>
      </c>
    </row>
    <row r="2005" spans="1:40" x14ac:dyDescent="0.3">
      <c r="A2005" t="str">
        <f>"20200111150838722"</f>
        <v>20200111150838722</v>
      </c>
      <c r="B2005" t="str">
        <f>"1578726518715157"</f>
        <v>1578726518715157</v>
      </c>
      <c r="C2005" t="s">
        <v>40</v>
      </c>
      <c r="D2005">
        <v>5.5096559999999997</v>
      </c>
      <c r="E2005">
        <v>0.53781440000000003</v>
      </c>
      <c r="F2005" t="s">
        <v>41</v>
      </c>
      <c r="G2005">
        <v>-274.63150000000002</v>
      </c>
      <c r="H2005">
        <v>0.84222019999999997</v>
      </c>
      <c r="I2005">
        <v>142.541</v>
      </c>
      <c r="J2005">
        <v>-274.04000000000002</v>
      </c>
      <c r="K2005">
        <v>1.109839</v>
      </c>
      <c r="L2005">
        <v>142.44799999999901</v>
      </c>
      <c r="M2005">
        <v>-0.9999285</v>
      </c>
      <c r="N2005">
        <v>0</v>
      </c>
      <c r="O2005">
        <v>7.6195380000000004E-3</v>
      </c>
      <c r="P2005">
        <v>-0.98880769999999996</v>
      </c>
      <c r="Q2005">
        <v>0.14900629999999901</v>
      </c>
      <c r="R2005">
        <v>7.5118229999999999E-3</v>
      </c>
      <c r="S2005">
        <v>-3.1657099999999998</v>
      </c>
      <c r="T2005">
        <v>-0.8829534</v>
      </c>
      <c r="U2005">
        <v>0.31460569999999999</v>
      </c>
      <c r="V2005" s="1">
        <v>-8.0455620000000004E-5</v>
      </c>
      <c r="W2005">
        <v>0.15811029999999901</v>
      </c>
      <c r="X2005">
        <v>0.98742149999999995</v>
      </c>
      <c r="Y2005">
        <v>8.8259019999999994E-2</v>
      </c>
      <c r="Z2005">
        <v>9.9692730000000007E-3</v>
      </c>
      <c r="AA2005">
        <v>0.99604769999999998</v>
      </c>
      <c r="AB2005">
        <v>37</v>
      </c>
      <c r="AC2005">
        <v>-0.59149999999999603</v>
      </c>
      <c r="AD2005">
        <v>-0.26761879999999999</v>
      </c>
      <c r="AE2005">
        <v>9.3000000000017694E-2</v>
      </c>
      <c r="AF2005">
        <v>7.3756267271216397E-2</v>
      </c>
      <c r="AG2005">
        <v>-0.26761879999999999</v>
      </c>
      <c r="AH2005">
        <v>0.49358975835107999</v>
      </c>
      <c r="AI2005">
        <v>118.20176810867</v>
      </c>
      <c r="AJ2005">
        <v>81.501273552282299</v>
      </c>
      <c r="AK2005">
        <v>0.56629555765898498</v>
      </c>
      <c r="AL2005">
        <v>80.902772159587499</v>
      </c>
      <c r="AM2005">
        <v>90.004668490056005</v>
      </c>
      <c r="AN2005">
        <v>1.0000000460507199</v>
      </c>
    </row>
    <row r="2006" spans="1:40" x14ac:dyDescent="0.3">
      <c r="A2006" t="str">
        <f>"20200111150838745"</f>
        <v>20200111150838745</v>
      </c>
      <c r="B2006" t="str">
        <f>"1578726518735652"</f>
        <v>1578726518735652</v>
      </c>
      <c r="C2006" t="s">
        <v>40</v>
      </c>
      <c r="D2006">
        <v>5.5692130000000004</v>
      </c>
      <c r="E2006">
        <v>0.51189180000000001</v>
      </c>
      <c r="F2006" t="s">
        <v>41</v>
      </c>
      <c r="G2006">
        <v>-274.96260000000001</v>
      </c>
      <c r="H2006">
        <v>0.84965609999999903</v>
      </c>
      <c r="I2006">
        <v>142.53919999999999</v>
      </c>
      <c r="J2006">
        <v>-274.42039999999997</v>
      </c>
      <c r="K2006">
        <v>1.1098410000000001</v>
      </c>
      <c r="L2006">
        <v>142.45079999999999</v>
      </c>
      <c r="M2006">
        <v>-0.99992950000000003</v>
      </c>
      <c r="N2006">
        <v>0</v>
      </c>
      <c r="O2006">
        <v>7.446856E-3</v>
      </c>
      <c r="P2006">
        <v>-0.98891280000000004</v>
      </c>
      <c r="Q2006">
        <v>0.148314</v>
      </c>
      <c r="R2006">
        <v>7.3748260000000001E-3</v>
      </c>
      <c r="S2006">
        <v>-3.1661069999999998</v>
      </c>
      <c r="T2006">
        <v>-0.89298029999999995</v>
      </c>
      <c r="U2006">
        <v>0.31230160000000001</v>
      </c>
      <c r="V2006" s="1">
        <v>-4.7270500000000001E-5</v>
      </c>
      <c r="W2006">
        <v>0.15745770000000001</v>
      </c>
      <c r="X2006">
        <v>0.98752580000000001</v>
      </c>
      <c r="Y2006">
        <v>8.7649879999999999E-2</v>
      </c>
      <c r="Z2006">
        <v>1.0041E-2</v>
      </c>
      <c r="AA2006">
        <v>0.99610069999999995</v>
      </c>
      <c r="AB2006">
        <v>37</v>
      </c>
      <c r="AC2006">
        <v>-0.54220000000003599</v>
      </c>
      <c r="AD2006">
        <v>-0.2601849</v>
      </c>
      <c r="AE2006">
        <v>8.8400000000007098E-2</v>
      </c>
      <c r="AF2006">
        <v>6.8903779661438194E-2</v>
      </c>
      <c r="AG2006">
        <v>-0.2601849</v>
      </c>
      <c r="AH2006">
        <v>0.44338658080357601</v>
      </c>
      <c r="AI2006">
        <v>120.107419207525</v>
      </c>
      <c r="AJ2006">
        <v>81.166697857234098</v>
      </c>
      <c r="AK2006">
        <v>0.51868639183646303</v>
      </c>
      <c r="AL2006">
        <v>80.940637898112499</v>
      </c>
      <c r="AM2006">
        <v>90.002742612034396</v>
      </c>
      <c r="AN2006">
        <v>1.0000000675947101</v>
      </c>
    </row>
    <row r="2007" spans="1:40" x14ac:dyDescent="0.3">
      <c r="A2007" t="str">
        <f>"20200111150838776"</f>
        <v>20200111150838776</v>
      </c>
      <c r="B2007" t="str">
        <f>"1578726518764932"</f>
        <v>1578726518764932</v>
      </c>
      <c r="C2007" t="s">
        <v>40</v>
      </c>
      <c r="D2007">
        <v>5.4689240000000003</v>
      </c>
      <c r="E2007">
        <v>0.51919190000000004</v>
      </c>
      <c r="F2007" t="s">
        <v>83</v>
      </c>
      <c r="G2007">
        <v>-511.06439999999998</v>
      </c>
      <c r="H2007">
        <v>17.15962</v>
      </c>
      <c r="I2007">
        <v>151.50620000000001</v>
      </c>
      <c r="J2007">
        <v>-274.93669999999997</v>
      </c>
      <c r="K2007">
        <v>1.109845</v>
      </c>
      <c r="L2007">
        <v>142.45439999999999</v>
      </c>
      <c r="M2007">
        <v>-0.9999306</v>
      </c>
      <c r="N2007">
        <v>0</v>
      </c>
      <c r="O2007">
        <v>7.2129169999999897E-3</v>
      </c>
      <c r="P2007">
        <v>-0.98886070000000004</v>
      </c>
      <c r="Q2007">
        <v>0.1486855</v>
      </c>
      <c r="R2007">
        <v>6.8568709999999996E-3</v>
      </c>
      <c r="S2007">
        <v>-3.0022280000000001</v>
      </c>
      <c r="T2007">
        <v>0.20361889999999999</v>
      </c>
      <c r="U2007">
        <v>0.114883399999999</v>
      </c>
      <c r="V2007">
        <v>-3.336643E-4</v>
      </c>
      <c r="W2007">
        <v>0.15788849999999999</v>
      </c>
      <c r="X2007">
        <v>0.98745689999999997</v>
      </c>
      <c r="Y2007">
        <v>3.097463E-2</v>
      </c>
      <c r="Z2007">
        <v>-5.603416E-4</v>
      </c>
      <c r="AA2007">
        <v>0.99951999999999996</v>
      </c>
      <c r="AB2007">
        <v>37</v>
      </c>
      <c r="AC2007">
        <v>-236.1277</v>
      </c>
      <c r="AD2007">
        <v>16.049775</v>
      </c>
      <c r="AE2007">
        <v>9.0518000000000107</v>
      </c>
      <c r="AF2007">
        <v>7.3145771952314202</v>
      </c>
      <c r="AG2007">
        <v>16.049775</v>
      </c>
      <c r="AH2007">
        <v>235.102265921716</v>
      </c>
      <c r="AI2007">
        <v>86.096519456932796</v>
      </c>
      <c r="AJ2007">
        <v>88.217970147864705</v>
      </c>
      <c r="AK2007">
        <v>235.76296095574699</v>
      </c>
      <c r="AL2007">
        <v>80.915641684239802</v>
      </c>
      <c r="AM2007">
        <v>90.019360394804593</v>
      </c>
      <c r="AN2007">
        <v>1.0000000095608601</v>
      </c>
    </row>
    <row r="2008" spans="1:40" x14ac:dyDescent="0.3">
      <c r="A2008" t="str">
        <f>"20200111150838799"</f>
        <v>20200111150838799</v>
      </c>
      <c r="B2008" t="str">
        <f>"1578726518795696"</f>
        <v>1578726518795696</v>
      </c>
      <c r="C2008" t="s">
        <v>40</v>
      </c>
      <c r="D2008">
        <v>5.3915220000000001</v>
      </c>
      <c r="E2008">
        <v>0.51915649999999902</v>
      </c>
      <c r="F2008" t="s">
        <v>41</v>
      </c>
      <c r="G2008">
        <v>-275.65370000000001</v>
      </c>
      <c r="H2008">
        <v>0.92683979999999999</v>
      </c>
      <c r="I2008">
        <v>142.49189999999999</v>
      </c>
      <c r="J2008">
        <v>-275.30040000000002</v>
      </c>
      <c r="K2008">
        <v>1.1098460000000001</v>
      </c>
      <c r="L2008">
        <v>142.45689999999999</v>
      </c>
      <c r="M2008">
        <v>-0.99993129999999997</v>
      </c>
      <c r="N2008">
        <v>0</v>
      </c>
      <c r="O2008">
        <v>7.0482219999999998E-3</v>
      </c>
      <c r="P2008">
        <v>-0.98887179999999997</v>
      </c>
      <c r="Q2008">
        <v>0.14862359999999999</v>
      </c>
      <c r="R2008">
        <v>6.6132710000000004E-3</v>
      </c>
      <c r="S2008">
        <v>-3.1537480000000002</v>
      </c>
      <c r="T2008">
        <v>-0.80510719999999902</v>
      </c>
      <c r="U2008">
        <v>0.16403199999999901</v>
      </c>
      <c r="V2008">
        <v>-4.1465229999999999E-4</v>
      </c>
      <c r="W2008">
        <v>0.1578763</v>
      </c>
      <c r="X2008">
        <v>0.98745879999999997</v>
      </c>
      <c r="Y2008">
        <v>4.3728129999999997E-2</v>
      </c>
      <c r="Z2008">
        <v>3.7201970000000002E-3</v>
      </c>
      <c r="AA2008">
        <v>0.99903660000000005</v>
      </c>
      <c r="AB2008">
        <v>37</v>
      </c>
      <c r="AC2008">
        <v>-0.35329999999999001</v>
      </c>
      <c r="AD2008">
        <v>-0.18300619999999901</v>
      </c>
      <c r="AE2008">
        <v>3.4999999999996499E-2</v>
      </c>
      <c r="AF2008">
        <v>2.56843690817311E-2</v>
      </c>
      <c r="AG2008">
        <v>-0.18300619999999901</v>
      </c>
      <c r="AH2008">
        <v>0.27932051858168999</v>
      </c>
      <c r="AI2008">
        <v>123.121677360814</v>
      </c>
      <c r="AJ2008">
        <v>84.746253450762396</v>
      </c>
      <c r="AK2008">
        <v>0.334919256171261</v>
      </c>
      <c r="AL2008">
        <v>80.916349390716803</v>
      </c>
      <c r="AM2008">
        <v>90.024059561126904</v>
      </c>
      <c r="AN2008">
        <v>0.99999998986782901</v>
      </c>
    </row>
    <row r="2009" spans="1:40" x14ac:dyDescent="0.3">
      <c r="A2009" t="str">
        <f>"20200111150838823"</f>
        <v>20200111150838823</v>
      </c>
      <c r="B2009" t="str">
        <f>"1578726518815216"</f>
        <v>1578726518815216</v>
      </c>
      <c r="C2009" t="s">
        <v>40</v>
      </c>
      <c r="D2009">
        <v>5.2562100000000003</v>
      </c>
      <c r="E2009">
        <v>0.51872149999999995</v>
      </c>
      <c r="F2009" t="s">
        <v>41</v>
      </c>
      <c r="G2009">
        <v>-275.98680000000002</v>
      </c>
      <c r="H2009">
        <v>0.93510959999999999</v>
      </c>
      <c r="I2009">
        <v>142.49279999999999</v>
      </c>
      <c r="J2009">
        <v>-275.69349999999997</v>
      </c>
      <c r="K2009">
        <v>1.1098520000000001</v>
      </c>
      <c r="L2009">
        <v>142.45949999999999</v>
      </c>
      <c r="M2009">
        <v>-0.99993200000000004</v>
      </c>
      <c r="N2009">
        <v>0</v>
      </c>
      <c r="O2009">
        <v>6.8705260000000001E-3</v>
      </c>
      <c r="P2009">
        <v>-0.98891280000000004</v>
      </c>
      <c r="Q2009">
        <v>0.14834749999999999</v>
      </c>
      <c r="R2009">
        <v>6.6806110000000004E-3</v>
      </c>
      <c r="S2009">
        <v>-3.1533199999999999</v>
      </c>
      <c r="T2009">
        <v>-0.80269469999999898</v>
      </c>
      <c r="U2009">
        <v>0.163269</v>
      </c>
      <c r="V2009">
        <v>-1.716961E-4</v>
      </c>
      <c r="W2009">
        <v>0.157664</v>
      </c>
      <c r="X2009">
        <v>0.98749279999999995</v>
      </c>
      <c r="Y2009">
        <v>4.3674249999999998E-2</v>
      </c>
      <c r="Z2009">
        <v>3.7476469999999998E-3</v>
      </c>
      <c r="AA2009">
        <v>0.9990388</v>
      </c>
      <c r="AB2009">
        <v>37</v>
      </c>
      <c r="AC2009">
        <v>-0.29330000000004403</v>
      </c>
      <c r="AD2009">
        <v>-0.17474239999999999</v>
      </c>
      <c r="AE2009">
        <v>3.3299999999996999E-2</v>
      </c>
      <c r="AF2009">
        <v>2.31658327342858E-2</v>
      </c>
      <c r="AG2009">
        <v>-0.17474239999999999</v>
      </c>
      <c r="AH2009">
        <v>0.21735324253174601</v>
      </c>
      <c r="AI2009">
        <v>128.639819908524</v>
      </c>
      <c r="AJ2009">
        <v>83.916297175456194</v>
      </c>
      <c r="AK2009">
        <v>0.279846376076405</v>
      </c>
      <c r="AL2009">
        <v>80.928667635638405</v>
      </c>
      <c r="AM2009">
        <v>90.009962059257205</v>
      </c>
      <c r="AN2009">
        <v>0.99999999821369501</v>
      </c>
    </row>
    <row r="2010" spans="1:40" x14ac:dyDescent="0.3">
      <c r="A2010" t="str">
        <f>"20200111150838846"</f>
        <v>20200111150838846</v>
      </c>
      <c r="B2010" t="str">
        <f>"1578726518835725"</f>
        <v>1578726518835725</v>
      </c>
      <c r="C2010" t="s">
        <v>40</v>
      </c>
      <c r="D2010">
        <v>6.4420729999999997</v>
      </c>
      <c r="E2010">
        <v>0.51836199999999999</v>
      </c>
      <c r="F2010" t="s">
        <v>41</v>
      </c>
      <c r="G2010">
        <v>-276.62049999999999</v>
      </c>
      <c r="H2010">
        <v>0.87724919999999995</v>
      </c>
      <c r="I2010">
        <v>142.50700000000001</v>
      </c>
      <c r="J2010">
        <v>-276.08030000000002</v>
      </c>
      <c r="K2010">
        <v>1.1098600000000001</v>
      </c>
      <c r="L2010">
        <v>142.46199999999999</v>
      </c>
      <c r="M2010">
        <v>-0.99993259999999995</v>
      </c>
      <c r="N2010">
        <v>0</v>
      </c>
      <c r="O2010">
        <v>6.6960780000000003E-3</v>
      </c>
      <c r="P2010">
        <v>-0.98888710000000002</v>
      </c>
      <c r="Q2010">
        <v>0.14850379999999999</v>
      </c>
      <c r="R2010">
        <v>7.002543E-3</v>
      </c>
      <c r="S2010">
        <v>-3.1511840000000002</v>
      </c>
      <c r="T2010">
        <v>-0.79077959999999903</v>
      </c>
      <c r="U2010">
        <v>0.16052249999999901</v>
      </c>
      <c r="V2010">
        <v>3.2269040000000002E-4</v>
      </c>
      <c r="W2010">
        <v>0.1578881</v>
      </c>
      <c r="X2010">
        <v>0.98745700000000003</v>
      </c>
      <c r="Y2010">
        <v>4.3060979999999999E-2</v>
      </c>
      <c r="Z2010">
        <v>3.6635529999999999E-3</v>
      </c>
      <c r="AA2010">
        <v>0.9990658</v>
      </c>
      <c r="AB2010">
        <v>37</v>
      </c>
      <c r="AC2010">
        <v>-0.54019999999997004</v>
      </c>
      <c r="AD2010">
        <v>-0.23261079999999901</v>
      </c>
      <c r="AE2010">
        <v>4.4999999999987397E-2</v>
      </c>
      <c r="AF2010">
        <v>3.4946559931093801E-2</v>
      </c>
      <c r="AG2010">
        <v>-0.23261079999999901</v>
      </c>
      <c r="AH2010">
        <v>0.45644044460758199</v>
      </c>
      <c r="AI2010">
        <v>116.93658213243199</v>
      </c>
      <c r="AJ2010">
        <v>85.621790989873205</v>
      </c>
      <c r="AK2010">
        <v>0.51348507846014901</v>
      </c>
      <c r="AL2010">
        <v>80.915665186726201</v>
      </c>
      <c r="AM2010">
        <v>89.981276351931001</v>
      </c>
      <c r="AN2010">
        <v>1.00000004154985</v>
      </c>
    </row>
    <row r="2011" spans="1:40" x14ac:dyDescent="0.3">
      <c r="A2011" t="str">
        <f>"20200111150838866"</f>
        <v>20200111150838866</v>
      </c>
      <c r="B2011" t="str">
        <f>"1578726518855232"</f>
        <v>1578726518855232</v>
      </c>
      <c r="C2011" t="s">
        <v>40</v>
      </c>
      <c r="D2011">
        <v>5.1497650000000004</v>
      </c>
      <c r="E2011">
        <v>0.47982190000000002</v>
      </c>
      <c r="F2011" t="s">
        <v>41</v>
      </c>
      <c r="G2011">
        <v>-276.95650000000001</v>
      </c>
      <c r="H2011">
        <v>0.89023019999999997</v>
      </c>
      <c r="I2011">
        <v>142.5061</v>
      </c>
      <c r="J2011">
        <v>-276.41750000000002</v>
      </c>
      <c r="K2011">
        <v>1.1098629999999901</v>
      </c>
      <c r="L2011">
        <v>142.46420000000001</v>
      </c>
      <c r="M2011">
        <v>-0.99993299999999996</v>
      </c>
      <c r="N2011">
        <v>0</v>
      </c>
      <c r="O2011">
        <v>6.544083E-3</v>
      </c>
      <c r="P2011">
        <v>-0.98877409999999999</v>
      </c>
      <c r="Q2011">
        <v>0.1492841</v>
      </c>
      <c r="R2011">
        <v>6.33389E-3</v>
      </c>
      <c r="S2011">
        <v>-3.1512449999999999</v>
      </c>
      <c r="T2011">
        <v>-0.78994229999999999</v>
      </c>
      <c r="U2011">
        <v>0.1577606</v>
      </c>
      <c r="V2011">
        <v>-1.9520599999999999E-4</v>
      </c>
      <c r="W2011">
        <v>0.1587266</v>
      </c>
      <c r="X2011">
        <v>0.98732260000000005</v>
      </c>
      <c r="Y2011">
        <v>4.2357800000000001E-2</v>
      </c>
      <c r="Z2011">
        <v>3.6105519999999999E-3</v>
      </c>
      <c r="AA2011">
        <v>0.99909599999999998</v>
      </c>
      <c r="AB2011">
        <v>37</v>
      </c>
      <c r="AC2011">
        <v>-0.53899999999998705</v>
      </c>
      <c r="AD2011">
        <v>-0.21963279999999899</v>
      </c>
      <c r="AE2011">
        <v>4.1899999999998203E-2</v>
      </c>
      <c r="AF2011">
        <v>3.2935815081910701E-2</v>
      </c>
      <c r="AG2011">
        <v>-0.21963279999999899</v>
      </c>
      <c r="AH2011">
        <v>0.46286883801184298</v>
      </c>
      <c r="AI2011">
        <v>115.328503703278</v>
      </c>
      <c r="AJ2011">
        <v>85.929931285389003</v>
      </c>
      <c r="AK2011">
        <v>0.51339156202004699</v>
      </c>
      <c r="AL2011">
        <v>80.867009140555098</v>
      </c>
      <c r="AM2011">
        <v>90.0113280905247</v>
      </c>
      <c r="AN2011">
        <v>1.0000000440618499</v>
      </c>
    </row>
    <row r="2012" spans="1:40" x14ac:dyDescent="0.3">
      <c r="A2012" t="str">
        <f>"20200111150838887"</f>
        <v>20200111150838887</v>
      </c>
      <c r="B2012" t="str">
        <f>"1578726518885017"</f>
        <v>1578726518885017</v>
      </c>
      <c r="C2012" t="s">
        <v>40</v>
      </c>
      <c r="D2012">
        <v>4.2514859999999999</v>
      </c>
      <c r="E2012">
        <v>0.48988179999999998</v>
      </c>
      <c r="F2012" t="s">
        <v>49</v>
      </c>
      <c r="G2012">
        <v>0</v>
      </c>
      <c r="H2012">
        <v>0</v>
      </c>
      <c r="I2012">
        <v>0</v>
      </c>
      <c r="J2012">
        <v>-276.77229999999997</v>
      </c>
      <c r="K2012">
        <v>1.109874</v>
      </c>
      <c r="L2012">
        <v>142.46629999999999</v>
      </c>
      <c r="M2012">
        <v>-0.99993350000000003</v>
      </c>
      <c r="N2012">
        <v>0</v>
      </c>
      <c r="O2012">
        <v>6.3839650000000001E-3</v>
      </c>
      <c r="P2012">
        <v>-0.98883520000000003</v>
      </c>
      <c r="Q2012">
        <v>0.14891599999999999</v>
      </c>
      <c r="R2012">
        <v>5.4167570000000003E-3</v>
      </c>
      <c r="S2012">
        <v>-2.9786679999999999</v>
      </c>
      <c r="T2012">
        <v>0.37281599999999998</v>
      </c>
      <c r="U2012">
        <v>-0.14239499999999999</v>
      </c>
      <c r="V2012">
        <v>-9.5464110000000003E-4</v>
      </c>
      <c r="W2012">
        <v>0.15842149999999999</v>
      </c>
      <c r="X2012">
        <v>0.98737109999999995</v>
      </c>
      <c r="Y2012">
        <v>-5.3658959999999999E-2</v>
      </c>
      <c r="Z2012">
        <v>4.1386330000000001E-3</v>
      </c>
      <c r="AA2012">
        <v>0.99855079999999996</v>
      </c>
      <c r="AB2012">
        <v>37</v>
      </c>
      <c r="AC2012">
        <v>-2.9786679999999999</v>
      </c>
      <c r="AD2012">
        <v>0.37281599999999998</v>
      </c>
      <c r="AE2012">
        <v>-0.14239499999999999</v>
      </c>
      <c r="AF2012">
        <v>-0.15892472514120001</v>
      </c>
      <c r="AG2012">
        <v>0.37281599999999998</v>
      </c>
      <c r="AH2012">
        <v>2.9318736008674802</v>
      </c>
      <c r="AI2012">
        <v>82.763691936870003</v>
      </c>
      <c r="AJ2012">
        <v>93.102730394608997</v>
      </c>
      <c r="AK2012">
        <v>2.9597519574418398</v>
      </c>
      <c r="AL2012">
        <v>80.884713568272701</v>
      </c>
      <c r="AM2012">
        <v>90.055396485613301</v>
      </c>
      <c r="AN2012">
        <v>0.99999998605854401</v>
      </c>
    </row>
    <row r="2013" spans="1:40" x14ac:dyDescent="0.3">
      <c r="A2013" t="str">
        <f>"20200111150838911"</f>
        <v>20200111150838911</v>
      </c>
      <c r="B2013" t="str">
        <f>"1578726518905513"</f>
        <v>1578726518905513</v>
      </c>
      <c r="C2013" t="s">
        <v>40</v>
      </c>
      <c r="D2013">
        <v>5.0817889999999997</v>
      </c>
      <c r="E2013">
        <v>0.52070109999999903</v>
      </c>
      <c r="F2013" t="s">
        <v>49</v>
      </c>
      <c r="G2013">
        <v>0</v>
      </c>
      <c r="H2013">
        <v>0</v>
      </c>
      <c r="I2013">
        <v>0</v>
      </c>
      <c r="J2013">
        <v>-277.15940000000001</v>
      </c>
      <c r="K2013">
        <v>1.109883</v>
      </c>
      <c r="L2013">
        <v>142.46860000000001</v>
      </c>
      <c r="M2013">
        <v>-0.99993379999999998</v>
      </c>
      <c r="N2013">
        <v>0</v>
      </c>
      <c r="O2013">
        <v>6.2091309999999997E-3</v>
      </c>
      <c r="P2013">
        <v>-0.98891549999999995</v>
      </c>
      <c r="Q2013">
        <v>0.1483614</v>
      </c>
      <c r="R2013">
        <v>5.9436250000000001E-3</v>
      </c>
      <c r="S2013">
        <v>-2.9732970000000001</v>
      </c>
      <c r="T2013">
        <v>0.4046226</v>
      </c>
      <c r="U2013">
        <v>-6.4788819999999997E-2</v>
      </c>
      <c r="V2013">
        <v>-2.550292E-4</v>
      </c>
      <c r="W2013">
        <v>0.15794169999999999</v>
      </c>
      <c r="X2013">
        <v>0.9874484</v>
      </c>
      <c r="Y2013">
        <v>-2.7680360000000001E-2</v>
      </c>
      <c r="Z2013">
        <v>2.715636E-3</v>
      </c>
      <c r="AA2013">
        <v>0.99961319999999998</v>
      </c>
      <c r="AB2013">
        <v>37</v>
      </c>
      <c r="AC2013">
        <v>-2.9732970000000001</v>
      </c>
      <c r="AD2013">
        <v>0.4046226</v>
      </c>
      <c r="AE2013">
        <v>-6.4788819999999997E-2</v>
      </c>
      <c r="AF2013">
        <v>-8.1737036587390802E-2</v>
      </c>
      <c r="AG2013">
        <v>0.4046226</v>
      </c>
      <c r="AH2013">
        <v>2.91880884405102</v>
      </c>
      <c r="AI2013">
        <v>82.110672773910693</v>
      </c>
      <c r="AJ2013">
        <v>91.604066544982899</v>
      </c>
      <c r="AK2013">
        <v>2.9478543823756498</v>
      </c>
      <c r="AL2013">
        <v>80.912554675702296</v>
      </c>
      <c r="AM2013">
        <v>90.014797832967901</v>
      </c>
      <c r="AN2013">
        <v>0.99999999415067098</v>
      </c>
    </row>
    <row r="2014" spans="1:40" x14ac:dyDescent="0.3">
      <c r="A2014" t="str">
        <f>"20200111150838934"</f>
        <v>20200111150838934</v>
      </c>
      <c r="B2014" t="str">
        <f>"1578726518925036"</f>
        <v>1578726518925036</v>
      </c>
      <c r="C2014" t="s">
        <v>40</v>
      </c>
      <c r="D2014">
        <v>5.0197339999999997</v>
      </c>
      <c r="E2014">
        <v>0.47886050000000002</v>
      </c>
      <c r="F2014" t="s">
        <v>41</v>
      </c>
      <c r="G2014">
        <v>-277.97269999999997</v>
      </c>
      <c r="H2014">
        <v>0.94299659999999996</v>
      </c>
      <c r="I2014">
        <v>142.5136</v>
      </c>
      <c r="J2014">
        <v>-277.54730000000001</v>
      </c>
      <c r="K2014">
        <v>1.1098889999999999</v>
      </c>
      <c r="L2014">
        <v>142.4709</v>
      </c>
      <c r="M2014">
        <v>-0.9999342</v>
      </c>
      <c r="N2014">
        <v>0</v>
      </c>
      <c r="O2014">
        <v>6.0338149999999997E-3</v>
      </c>
      <c r="P2014">
        <v>-0.98891660000000003</v>
      </c>
      <c r="Q2014">
        <v>0.14833379999999999</v>
      </c>
      <c r="R2014">
        <v>6.3957119999999996E-3</v>
      </c>
      <c r="S2014">
        <v>-3.1289060000000002</v>
      </c>
      <c r="T2014">
        <v>-0.64206730000000001</v>
      </c>
      <c r="U2014">
        <v>0.17192079999999901</v>
      </c>
      <c r="V2014">
        <v>3.7010299999999999E-4</v>
      </c>
      <c r="W2014">
        <v>0.1579874</v>
      </c>
      <c r="X2014">
        <v>0.98744109999999996</v>
      </c>
      <c r="Y2014">
        <v>4.7966120000000001E-2</v>
      </c>
      <c r="Z2014">
        <v>3.64263E-3</v>
      </c>
      <c r="AA2014">
        <v>0.99884229999999996</v>
      </c>
      <c r="AB2014">
        <v>37</v>
      </c>
      <c r="AC2014">
        <v>-0.42539999999996703</v>
      </c>
      <c r="AD2014">
        <v>-0.166892399999999</v>
      </c>
      <c r="AE2014">
        <v>4.2699999999996401E-2</v>
      </c>
      <c r="AF2014">
        <v>3.4825630031928199E-2</v>
      </c>
      <c r="AG2014">
        <v>-0.166892399999999</v>
      </c>
      <c r="AH2014">
        <v>0.36936633580535599</v>
      </c>
      <c r="AI2014">
        <v>114.220089268469</v>
      </c>
      <c r="AJ2014">
        <v>84.613801816775506</v>
      </c>
      <c r="AK2014">
        <v>0.40681370147913598</v>
      </c>
      <c r="AL2014">
        <v>80.909903392972794</v>
      </c>
      <c r="AM2014">
        <v>89.978524958205398</v>
      </c>
      <c r="AN2014">
        <v>1.0000000407520899</v>
      </c>
    </row>
    <row r="2015" spans="1:40" x14ac:dyDescent="0.3">
      <c r="A2015" t="str">
        <f>"20200111150838977"</f>
        <v>20200111150838977</v>
      </c>
      <c r="B2015" t="str">
        <f>"1578726518965050"</f>
        <v>1578726518965050</v>
      </c>
      <c r="C2015" t="s">
        <v>40</v>
      </c>
      <c r="D2015">
        <v>5.5640309999999999</v>
      </c>
      <c r="E2015">
        <v>0.51098129999999997</v>
      </c>
      <c r="F2015" t="s">
        <v>49</v>
      </c>
      <c r="G2015">
        <v>0</v>
      </c>
      <c r="H2015">
        <v>0</v>
      </c>
      <c r="I2015">
        <v>0</v>
      </c>
      <c r="J2015">
        <v>-278.25029999999998</v>
      </c>
      <c r="K2015">
        <v>1.109893</v>
      </c>
      <c r="L2015">
        <v>142.47479999999999</v>
      </c>
      <c r="M2015">
        <v>-0.99993480000000001</v>
      </c>
      <c r="N2015">
        <v>0</v>
      </c>
      <c r="O2015">
        <v>5.714958E-3</v>
      </c>
      <c r="P2015">
        <v>-0.98912829999999996</v>
      </c>
      <c r="Q2015">
        <v>0.14694070000000001</v>
      </c>
      <c r="R2015">
        <v>5.826136E-3</v>
      </c>
      <c r="S2015">
        <v>-2.9535520000000002</v>
      </c>
      <c r="T2015">
        <v>0.54026960000000002</v>
      </c>
      <c r="U2015">
        <v>-0.14848329999999901</v>
      </c>
      <c r="V2015">
        <v>1.148552E-4</v>
      </c>
      <c r="W2015">
        <v>0.15671650000000001</v>
      </c>
      <c r="X2015">
        <v>0.98764359999999995</v>
      </c>
      <c r="Y2015">
        <v>-5.4913040000000003E-2</v>
      </c>
      <c r="Z2015">
        <v>6.0142440000000002E-3</v>
      </c>
      <c r="AA2015">
        <v>0.99847300000000005</v>
      </c>
      <c r="AB2015">
        <v>37</v>
      </c>
      <c r="AC2015">
        <v>-2.9535520000000002</v>
      </c>
      <c r="AD2015">
        <v>0.54026960000000002</v>
      </c>
      <c r="AE2015">
        <v>-0.14848329999999901</v>
      </c>
      <c r="AF2015">
        <v>-0.160020272863659</v>
      </c>
      <c r="AG2015">
        <v>0.54026960000000002</v>
      </c>
      <c r="AH2015">
        <v>2.8572899497331501</v>
      </c>
      <c r="AI2015">
        <v>79.309026925897101</v>
      </c>
      <c r="AJ2015">
        <v>93.205456521794602</v>
      </c>
      <c r="AK2015">
        <v>2.9123192794159101</v>
      </c>
      <c r="AL2015">
        <v>80.983638584084005</v>
      </c>
      <c r="AM2015">
        <v>89.9933369505098</v>
      </c>
      <c r="AN2015">
        <v>0.99999997759246295</v>
      </c>
    </row>
    <row r="2016" spans="1:40" x14ac:dyDescent="0.3">
      <c r="A2016" t="str">
        <f>"20200111150839001"</f>
        <v>20200111150839001</v>
      </c>
      <c r="B2016" t="str">
        <f>"1578726518995814"</f>
        <v>1578726518995814</v>
      </c>
      <c r="C2016" t="s">
        <v>40</v>
      </c>
      <c r="D2016">
        <v>4.9748510000000001</v>
      </c>
      <c r="E2016">
        <v>0.51555720000000005</v>
      </c>
      <c r="F2016" t="s">
        <v>41</v>
      </c>
      <c r="G2016">
        <v>-278.97390000000001</v>
      </c>
      <c r="H2016">
        <v>0.95382319999999998</v>
      </c>
      <c r="I2016">
        <v>142.49719999999999</v>
      </c>
      <c r="J2016">
        <v>-278.64479999999998</v>
      </c>
      <c r="K2016">
        <v>1.1098889999999999</v>
      </c>
      <c r="L2016">
        <v>142.4769</v>
      </c>
      <c r="M2016">
        <v>-0.99993529999999997</v>
      </c>
      <c r="N2016">
        <v>0</v>
      </c>
      <c r="O2016">
        <v>5.5356559999999999E-3</v>
      </c>
      <c r="P2016">
        <v>-0.9892474</v>
      </c>
      <c r="Q2016">
        <v>0.14615020000000001</v>
      </c>
      <c r="R2016">
        <v>5.4797229999999997E-3</v>
      </c>
      <c r="S2016">
        <v>-3.1327820000000002</v>
      </c>
      <c r="T2016">
        <v>-0.6757185</v>
      </c>
      <c r="U2016">
        <v>9.5993040000000002E-2</v>
      </c>
      <c r="V2016" s="1">
        <v>-5.4688770000000002E-5</v>
      </c>
      <c r="W2016">
        <v>0.15598509999999999</v>
      </c>
      <c r="X2016">
        <v>0.98775939999999995</v>
      </c>
      <c r="Y2016">
        <v>2.465405E-2</v>
      </c>
      <c r="Z2016">
        <v>1.4478399999999999E-3</v>
      </c>
      <c r="AA2016">
        <v>0.999695</v>
      </c>
      <c r="AB2016">
        <v>37</v>
      </c>
      <c r="AC2016">
        <v>-0.32910000000003897</v>
      </c>
      <c r="AD2016">
        <v>-0.15606579999999901</v>
      </c>
      <c r="AE2016">
        <v>2.02999999999917E-2</v>
      </c>
      <c r="AF2016">
        <v>1.5095856665109601E-2</v>
      </c>
      <c r="AG2016">
        <v>-0.15606579999999901</v>
      </c>
      <c r="AH2016">
        <v>0.268953167637065</v>
      </c>
      <c r="AI2016">
        <v>120.086261027082</v>
      </c>
      <c r="AJ2016">
        <v>86.787461875548999</v>
      </c>
      <c r="AK2016">
        <v>0.31132013298228001</v>
      </c>
      <c r="AL2016">
        <v>81.026066657963099</v>
      </c>
      <c r="AM2016">
        <v>90.003172266145498</v>
      </c>
      <c r="AN2016">
        <v>0.99999999335061496</v>
      </c>
    </row>
    <row r="2017" spans="1:40" x14ac:dyDescent="0.3">
      <c r="A2017" t="str">
        <f>"20200111150839024"</f>
        <v>20200111150839024</v>
      </c>
      <c r="B2017" t="str">
        <f>"1578726519015333"</f>
        <v>1578726519015333</v>
      </c>
      <c r="C2017" t="s">
        <v>40</v>
      </c>
      <c r="D2017">
        <v>4.8424430000000003</v>
      </c>
      <c r="E2017">
        <v>0.51416439999999997</v>
      </c>
      <c r="F2017" t="s">
        <v>41</v>
      </c>
      <c r="G2017">
        <v>-279.60700000000003</v>
      </c>
      <c r="H2017">
        <v>0.88441259999999999</v>
      </c>
      <c r="I2017">
        <v>142.51669999999999</v>
      </c>
      <c r="J2017">
        <v>-279.02960000000002</v>
      </c>
      <c r="K2017">
        <v>1.1098870000000001</v>
      </c>
      <c r="L2017">
        <v>142.47890000000001</v>
      </c>
      <c r="M2017">
        <v>-0.99993569999999998</v>
      </c>
      <c r="N2017">
        <v>0</v>
      </c>
      <c r="O2017">
        <v>5.3603280000000001E-3</v>
      </c>
      <c r="P2017">
        <v>-0.9892455</v>
      </c>
      <c r="Q2017">
        <v>0.14619089999999901</v>
      </c>
      <c r="R2017">
        <v>4.6926340000000002E-3</v>
      </c>
      <c r="S2017">
        <v>-3.140625</v>
      </c>
      <c r="T2017">
        <v>-0.73597590000000002</v>
      </c>
      <c r="U2017">
        <v>0.1294708</v>
      </c>
      <c r="V2017">
        <v>-6.6863800000000004E-4</v>
      </c>
      <c r="W2017">
        <v>0.15607689999999999</v>
      </c>
      <c r="X2017">
        <v>0.98774470000000003</v>
      </c>
      <c r="Y2017">
        <v>3.5030529999999997E-2</v>
      </c>
      <c r="Z2017">
        <v>2.809158E-3</v>
      </c>
      <c r="AA2017">
        <v>0.99938229999999995</v>
      </c>
      <c r="AB2017">
        <v>37</v>
      </c>
      <c r="AC2017">
        <v>-0.57740000000001102</v>
      </c>
      <c r="AD2017">
        <v>-0.22547439999999999</v>
      </c>
      <c r="AE2017">
        <v>3.7799999999975797E-2</v>
      </c>
      <c r="AF2017">
        <v>3.0129424411155001E-2</v>
      </c>
      <c r="AG2017">
        <v>-0.22547439999999999</v>
      </c>
      <c r="AH2017">
        <v>0.50145401113764998</v>
      </c>
      <c r="AI2017">
        <v>114.172059459613</v>
      </c>
      <c r="AJ2017">
        <v>86.561567066524304</v>
      </c>
      <c r="AK2017">
        <v>0.55063836822069101</v>
      </c>
      <c r="AL2017">
        <v>81.020741918933197</v>
      </c>
      <c r="AM2017">
        <v>90.038785456981202</v>
      </c>
      <c r="AN2017">
        <v>1.00000001908423</v>
      </c>
    </row>
    <row r="2018" spans="1:40" x14ac:dyDescent="0.3">
      <c r="A2018" t="str">
        <f>"20200111150839045"</f>
        <v>20200111150839045</v>
      </c>
      <c r="B2018" t="str">
        <f>"1578726519034853"</f>
        <v>1578726519034853</v>
      </c>
      <c r="C2018" t="s">
        <v>40</v>
      </c>
      <c r="D2018">
        <v>4.9049719999999999</v>
      </c>
      <c r="E2018">
        <v>0.51595999999999997</v>
      </c>
      <c r="F2018" t="s">
        <v>41</v>
      </c>
      <c r="G2018">
        <v>-279.94549999999998</v>
      </c>
      <c r="H2018">
        <v>0.89673210000000003</v>
      </c>
      <c r="I2018">
        <v>142.5128</v>
      </c>
      <c r="J2018">
        <v>-279.39089999999999</v>
      </c>
      <c r="K2018">
        <v>1.1098870000000001</v>
      </c>
      <c r="L2018">
        <v>142.48060000000001</v>
      </c>
      <c r="M2018">
        <v>-0.99993620000000005</v>
      </c>
      <c r="N2018">
        <v>0</v>
      </c>
      <c r="O2018">
        <v>5.1956499999999996E-3</v>
      </c>
      <c r="P2018">
        <v>-0.98921669999999995</v>
      </c>
      <c r="Q2018">
        <v>0.14640889999999901</v>
      </c>
      <c r="R2018">
        <v>3.8569429999999998E-3</v>
      </c>
      <c r="S2018">
        <v>-3.140015</v>
      </c>
      <c r="T2018">
        <v>-0.73074629999999996</v>
      </c>
      <c r="U2018">
        <v>0.1151581</v>
      </c>
      <c r="V2018">
        <v>-1.341631E-3</v>
      </c>
      <c r="W2018">
        <v>0.1563378</v>
      </c>
      <c r="X2018">
        <v>0.98770270000000004</v>
      </c>
      <c r="Y2018">
        <v>3.077425E-2</v>
      </c>
      <c r="Z2018">
        <v>2.339711E-3</v>
      </c>
      <c r="AA2018">
        <v>0.99952359999999896</v>
      </c>
      <c r="AB2018">
        <v>37</v>
      </c>
      <c r="AC2018">
        <v>-0.55459999999999299</v>
      </c>
      <c r="AD2018">
        <v>-0.21315490000000001</v>
      </c>
      <c r="AE2018">
        <v>3.2199999999988897E-2</v>
      </c>
      <c r="AF2018">
        <v>2.55555957741859E-2</v>
      </c>
      <c r="AG2018">
        <v>-0.21315490000000001</v>
      </c>
      <c r="AH2018">
        <v>0.48356845218732097</v>
      </c>
      <c r="AI2018">
        <v>113.758203858765</v>
      </c>
      <c r="AJ2018">
        <v>86.974850397231606</v>
      </c>
      <c r="AK2018">
        <v>0.52908085187447995</v>
      </c>
      <c r="AL2018">
        <v>81.005607181807207</v>
      </c>
      <c r="AM2018">
        <v>90.077826806271901</v>
      </c>
      <c r="AN2018">
        <v>0.99999996563493398</v>
      </c>
    </row>
    <row r="2019" spans="1:40" x14ac:dyDescent="0.3">
      <c r="A2019" t="str">
        <f>"20200111150839068"</f>
        <v>20200111150839068</v>
      </c>
      <c r="B2019" t="str">
        <f>"1578726519065110"</f>
        <v>1578726519065110</v>
      </c>
      <c r="C2019" t="s">
        <v>40</v>
      </c>
      <c r="D2019">
        <v>5.1087259999999999</v>
      </c>
      <c r="E2019">
        <v>0.49581069999999999</v>
      </c>
      <c r="F2019" t="s">
        <v>41</v>
      </c>
      <c r="G2019">
        <v>-280.28039999999999</v>
      </c>
      <c r="H2019">
        <v>0.90102979999999999</v>
      </c>
      <c r="I2019">
        <v>142.51669999999999</v>
      </c>
      <c r="J2019">
        <v>-279.75619999999998</v>
      </c>
      <c r="K2019">
        <v>1.10989</v>
      </c>
      <c r="L2019">
        <v>142.48240000000001</v>
      </c>
      <c r="M2019">
        <v>-0.99993659999999995</v>
      </c>
      <c r="N2019">
        <v>0</v>
      </c>
      <c r="O2019">
        <v>5.0293229999999996E-3</v>
      </c>
      <c r="P2019">
        <v>-0.98929299999999998</v>
      </c>
      <c r="Q2019">
        <v>0.14589669999999999</v>
      </c>
      <c r="R2019">
        <v>3.7007640000000001E-3</v>
      </c>
      <c r="S2019">
        <v>-3.1413880000000001</v>
      </c>
      <c r="T2019">
        <v>-0.73764099999999999</v>
      </c>
      <c r="U2019">
        <v>0.12680050000000001</v>
      </c>
      <c r="V2019">
        <v>-1.3332540000000001E-3</v>
      </c>
      <c r="W2019">
        <v>0.15586539999999999</v>
      </c>
      <c r="X2019">
        <v>0.98777740000000003</v>
      </c>
      <c r="Y2019">
        <v>3.4505279999999999E-2</v>
      </c>
      <c r="Z2019">
        <v>2.8305600000000002E-3</v>
      </c>
      <c r="AA2019">
        <v>0.99940050000000002</v>
      </c>
      <c r="AB2019">
        <v>37</v>
      </c>
      <c r="AC2019">
        <v>-0.52420000000000699</v>
      </c>
      <c r="AD2019">
        <v>-0.208860199999999</v>
      </c>
      <c r="AE2019">
        <v>3.4299999999973303E-2</v>
      </c>
      <c r="AF2019">
        <v>2.7341125720986799E-2</v>
      </c>
      <c r="AG2019">
        <v>-0.208860199999999</v>
      </c>
      <c r="AH2019">
        <v>0.45279113913243502</v>
      </c>
      <c r="AI2019">
        <v>114.722953852264</v>
      </c>
      <c r="AJ2019">
        <v>86.544474518622707</v>
      </c>
      <c r="AK2019">
        <v>0.49938956334366702</v>
      </c>
      <c r="AL2019">
        <v>81.033009912352398</v>
      </c>
      <c r="AM2019">
        <v>90.077335015793295</v>
      </c>
      <c r="AN2019">
        <v>0.99999999621707403</v>
      </c>
    </row>
    <row r="2020" spans="1:40" x14ac:dyDescent="0.3">
      <c r="A2020" t="str">
        <f>"20200111150839089"</f>
        <v>20200111150839089</v>
      </c>
      <c r="B2020" t="str">
        <f>"1578726519085605"</f>
        <v>1578726519085605</v>
      </c>
      <c r="C2020" t="s">
        <v>40</v>
      </c>
      <c r="D2020">
        <v>4.829453</v>
      </c>
      <c r="E2020">
        <v>0.501363</v>
      </c>
      <c r="F2020" t="s">
        <v>41</v>
      </c>
      <c r="G2020">
        <v>-280.66219999999998</v>
      </c>
      <c r="H2020">
        <v>1.001671</v>
      </c>
      <c r="I2020">
        <v>142.47370000000001</v>
      </c>
      <c r="J2020">
        <v>-280.11799999999999</v>
      </c>
      <c r="K2020">
        <v>1.109891</v>
      </c>
      <c r="L2020">
        <v>142.48400000000001</v>
      </c>
      <c r="M2020">
        <v>-0.99993710000000002</v>
      </c>
      <c r="N2020">
        <v>0</v>
      </c>
      <c r="O2020">
        <v>4.8640330000000002E-3</v>
      </c>
      <c r="P2020">
        <v>-0.98927889999999996</v>
      </c>
      <c r="Q2020">
        <v>0.14598149999999999</v>
      </c>
      <c r="R2020">
        <v>4.13351E-3</v>
      </c>
      <c r="S2020">
        <v>-3.0870359999999999</v>
      </c>
      <c r="T2020">
        <v>-0.36885390000000001</v>
      </c>
      <c r="U2020">
        <v>-3.0593869999999999E-2</v>
      </c>
      <c r="V2020">
        <v>-7.3694289999999996E-4</v>
      </c>
      <c r="W2020">
        <v>0.15598509999999999</v>
      </c>
      <c r="X2020">
        <v>0.9877591</v>
      </c>
      <c r="Y2020">
        <v>-1.4635189999999999E-2</v>
      </c>
      <c r="Z2020">
        <v>-1.450357E-3</v>
      </c>
      <c r="AA2020">
        <v>0.99989189999999994</v>
      </c>
      <c r="AB2020">
        <v>37</v>
      </c>
      <c r="AC2020">
        <v>-0.54419999999998903</v>
      </c>
      <c r="AD2020">
        <v>-0.108219999999999</v>
      </c>
      <c r="AE2020">
        <v>-1.03000000000008E-2</v>
      </c>
      <c r="AF2020">
        <v>-1.24546693040636E-2</v>
      </c>
      <c r="AG2020">
        <v>-0.108219999999999</v>
      </c>
      <c r="AH2020">
        <v>0.52345070879074496</v>
      </c>
      <c r="AI2020">
        <v>101.677742094325</v>
      </c>
      <c r="AJ2020">
        <v>91.363003923160804</v>
      </c>
      <c r="AK2020">
        <v>0.53466562608887302</v>
      </c>
      <c r="AL2020">
        <v>81.026066420173393</v>
      </c>
      <c r="AM2020">
        <v>90.042746971480994</v>
      </c>
      <c r="AN2020">
        <v>0.99999996706982797</v>
      </c>
    </row>
    <row r="2021" spans="1:40" x14ac:dyDescent="0.3">
      <c r="A2021" t="str">
        <f>"20200111150839113"</f>
        <v>20200111150839113</v>
      </c>
      <c r="B2021" t="str">
        <f>"1578726519105125"</f>
        <v>1578726519105125</v>
      </c>
      <c r="C2021" t="s">
        <v>40</v>
      </c>
      <c r="D2021">
        <v>5.0112050000000004</v>
      </c>
      <c r="E2021">
        <v>0.51013339999999996</v>
      </c>
      <c r="F2021" t="s">
        <v>41</v>
      </c>
      <c r="G2021">
        <v>-280.99689999999998</v>
      </c>
      <c r="H2021">
        <v>1.004578</v>
      </c>
      <c r="I2021">
        <v>142.48849999999999</v>
      </c>
      <c r="J2021">
        <v>-280.51389999999998</v>
      </c>
      <c r="K2021">
        <v>1.1098920000000001</v>
      </c>
      <c r="L2021">
        <v>142.48580000000001</v>
      </c>
      <c r="M2021">
        <v>-0.99993750000000003</v>
      </c>
      <c r="N2021">
        <v>0</v>
      </c>
      <c r="O2021">
        <v>4.6833689999999997E-3</v>
      </c>
      <c r="P2021">
        <v>-0.98928519999999998</v>
      </c>
      <c r="Q2021">
        <v>0.14594190000000001</v>
      </c>
      <c r="R2021">
        <v>4.013389E-3</v>
      </c>
      <c r="S2021">
        <v>-3.0870359999999999</v>
      </c>
      <c r="T2021">
        <v>-0.36990309999999998</v>
      </c>
      <c r="U2021">
        <v>1.4953610000000001E-2</v>
      </c>
      <c r="V2021">
        <v>-6.7853939999999995E-4</v>
      </c>
      <c r="W2021">
        <v>0.1559799</v>
      </c>
      <c r="X2021">
        <v>0.98775999999999997</v>
      </c>
      <c r="Y2021">
        <v>1.9246399999999999E-4</v>
      </c>
      <c r="Z2021">
        <v>-5.477158E-4</v>
      </c>
      <c r="AA2021">
        <v>0.99999979999999999</v>
      </c>
      <c r="AB2021">
        <v>37</v>
      </c>
      <c r="AC2021">
        <v>-0.48300000000000398</v>
      </c>
      <c r="AD2021">
        <v>-0.105314</v>
      </c>
      <c r="AE2021">
        <v>2.69999999997594E-3</v>
      </c>
      <c r="AF2021">
        <v>4.17918499507035E-4</v>
      </c>
      <c r="AG2021">
        <v>-0.105314</v>
      </c>
      <c r="AH2021">
        <v>0.461087008920255</v>
      </c>
      <c r="AI2021">
        <v>102.86586562749901</v>
      </c>
      <c r="AJ2021">
        <v>89.948068457402002</v>
      </c>
      <c r="AK2021">
        <v>0.47296135470765399</v>
      </c>
      <c r="AL2021">
        <v>81.026368380848098</v>
      </c>
      <c r="AM2021">
        <v>90.039359194275903</v>
      </c>
      <c r="AN2021">
        <v>1.00000000360986</v>
      </c>
    </row>
    <row r="2022" spans="1:40" x14ac:dyDescent="0.3">
      <c r="A2022" t="str">
        <f>"20200111150839135"</f>
        <v>20200111150839135</v>
      </c>
      <c r="B2022" t="str">
        <f>"1578726519125622"</f>
        <v>1578726519125622</v>
      </c>
      <c r="C2022" t="s">
        <v>40</v>
      </c>
      <c r="D2022">
        <v>4.9606490000000001</v>
      </c>
      <c r="E2022">
        <v>0.50793279999999996</v>
      </c>
      <c r="F2022" t="s">
        <v>41</v>
      </c>
      <c r="G2022">
        <v>-281.28179999999998</v>
      </c>
      <c r="H2022">
        <v>0.89964690000000003</v>
      </c>
      <c r="I2022">
        <v>142.50540000000001</v>
      </c>
      <c r="J2022">
        <v>-280.8877</v>
      </c>
      <c r="K2022">
        <v>1.109899</v>
      </c>
      <c r="L2022">
        <v>142.48740000000001</v>
      </c>
      <c r="M2022">
        <v>-0.99993799999999999</v>
      </c>
      <c r="N2022">
        <v>0</v>
      </c>
      <c r="O2022">
        <v>4.5129849999999997E-3</v>
      </c>
      <c r="P2022">
        <v>-0.98919480000000004</v>
      </c>
      <c r="Q2022">
        <v>0.14655609999999999</v>
      </c>
      <c r="R2022">
        <v>3.8777030000000001E-3</v>
      </c>
      <c r="S2022">
        <v>-3.1597599999999999</v>
      </c>
      <c r="T2022">
        <v>-0.86512579999999994</v>
      </c>
      <c r="U2022">
        <v>8.0154420000000004E-2</v>
      </c>
      <c r="V2022">
        <v>-6.4597400000000001E-4</v>
      </c>
      <c r="W2022">
        <v>0.15662179999999901</v>
      </c>
      <c r="X2022">
        <v>0.98765840000000005</v>
      </c>
      <c r="Y2022">
        <v>2.026762E-2</v>
      </c>
      <c r="Z2022">
        <v>1.5108719999999999E-3</v>
      </c>
      <c r="AA2022">
        <v>0.9997935</v>
      </c>
      <c r="AB2022">
        <v>37</v>
      </c>
      <c r="AC2022">
        <v>-0.39409999999998002</v>
      </c>
      <c r="AD2022">
        <v>-0.210252099999999</v>
      </c>
      <c r="AE2022">
        <v>1.8000000000000599E-2</v>
      </c>
      <c r="AF2022">
        <v>1.26330139853744E-2</v>
      </c>
      <c r="AG2022">
        <v>-0.210252099999999</v>
      </c>
      <c r="AH2022">
        <v>0.30698465881745601</v>
      </c>
      <c r="AI2022">
        <v>124.384433144303</v>
      </c>
      <c r="AJ2022">
        <v>87.643497202156794</v>
      </c>
      <c r="AK2022">
        <v>0.372297084793897</v>
      </c>
      <c r="AL2022">
        <v>80.989132179016394</v>
      </c>
      <c r="AM2022">
        <v>90.037474068562105</v>
      </c>
      <c r="AN2022">
        <v>0.99999996030410299</v>
      </c>
    </row>
    <row r="2023" spans="1:40" x14ac:dyDescent="0.3">
      <c r="A2023" t="str">
        <f>"20200111150839158"</f>
        <v>20200111150839158</v>
      </c>
      <c r="B2023" t="str">
        <f>"1578726519154902"</f>
        <v>1578726519154902</v>
      </c>
      <c r="C2023" t="s">
        <v>40</v>
      </c>
      <c r="D2023">
        <v>5.0830349999999997</v>
      </c>
      <c r="E2023">
        <v>0.52492950000000005</v>
      </c>
      <c r="F2023" t="s">
        <v>41</v>
      </c>
      <c r="G2023">
        <v>-281.6189</v>
      </c>
      <c r="H2023">
        <v>0.90567739999999997</v>
      </c>
      <c r="I2023">
        <v>142.50200000000001</v>
      </c>
      <c r="J2023">
        <v>-281.26229999999998</v>
      </c>
      <c r="K2023">
        <v>1.1099049999999999</v>
      </c>
      <c r="L2023">
        <v>142.4889</v>
      </c>
      <c r="M2023">
        <v>-0.99993849999999995</v>
      </c>
      <c r="N2023">
        <v>0</v>
      </c>
      <c r="O2023">
        <v>4.3421400000000004E-3</v>
      </c>
      <c r="P2023">
        <v>-0.98917390000000005</v>
      </c>
      <c r="Q2023">
        <v>0.1466896</v>
      </c>
      <c r="R2023">
        <v>4.1770870000000003E-3</v>
      </c>
      <c r="S2023">
        <v>-3.1634220000000002</v>
      </c>
      <c r="T2023">
        <v>-0.88342989999999999</v>
      </c>
      <c r="U2023">
        <v>6.2789919999999999E-2</v>
      </c>
      <c r="V2023">
        <v>-1.77372E-4</v>
      </c>
      <c r="W2023">
        <v>0.156781</v>
      </c>
      <c r="X2023">
        <v>0.98763339999999999</v>
      </c>
      <c r="Y2023">
        <v>1.509199E-2</v>
      </c>
      <c r="Z2023">
        <v>8.7779769999999995E-4</v>
      </c>
      <c r="AA2023">
        <v>0.99988569999999999</v>
      </c>
      <c r="AB2023">
        <v>37</v>
      </c>
      <c r="AC2023">
        <v>-0.35660000000001402</v>
      </c>
      <c r="AD2023">
        <v>-0.20422759999999901</v>
      </c>
      <c r="AE2023">
        <v>1.3100000000008501E-2</v>
      </c>
      <c r="AF2023">
        <v>8.7012690747491593E-3</v>
      </c>
      <c r="AG2023">
        <v>-0.20422759999999901</v>
      </c>
      <c r="AH2023">
        <v>0.268654993859619</v>
      </c>
      <c r="AI2023">
        <v>127.22709671471701</v>
      </c>
      <c r="AJ2023">
        <v>88.144937594483196</v>
      </c>
      <c r="AK2023">
        <v>0.33757981339378501</v>
      </c>
      <c r="AL2023">
        <v>80.979897165587502</v>
      </c>
      <c r="AM2023">
        <v>90.010289918196904</v>
      </c>
      <c r="AN2023">
        <v>1.0000000231086901</v>
      </c>
    </row>
    <row r="2024" spans="1:40" x14ac:dyDescent="0.3">
      <c r="A2024" t="str">
        <f>"20200111150839180"</f>
        <v>20200111150839180</v>
      </c>
      <c r="B2024" t="str">
        <f>"1578726519175397"</f>
        <v>1578726519175397</v>
      </c>
      <c r="C2024" t="s">
        <v>40</v>
      </c>
      <c r="D2024">
        <v>4.9579550000000001</v>
      </c>
      <c r="E2024">
        <v>0.52207389999999998</v>
      </c>
      <c r="F2024" t="s">
        <v>41</v>
      </c>
      <c r="G2024">
        <v>-281.97160000000002</v>
      </c>
      <c r="H2024">
        <v>0.94854499999999997</v>
      </c>
      <c r="I2024">
        <v>142.5342</v>
      </c>
      <c r="J2024">
        <v>-281.62259999999998</v>
      </c>
      <c r="K2024">
        <v>1.1099079999999999</v>
      </c>
      <c r="L2024">
        <v>142.49039999999999</v>
      </c>
      <c r="M2024">
        <v>-0.99993900000000002</v>
      </c>
      <c r="N2024">
        <v>0</v>
      </c>
      <c r="O2024">
        <v>4.177989E-3</v>
      </c>
      <c r="P2024">
        <v>-0.98921919999999997</v>
      </c>
      <c r="Q2024">
        <v>0.14638080000000001</v>
      </c>
      <c r="R2024">
        <v>4.2215859999999899E-3</v>
      </c>
      <c r="S2024">
        <v>-3.1378780000000002</v>
      </c>
      <c r="T2024">
        <v>-0.71391059999999995</v>
      </c>
      <c r="U2024">
        <v>0.19869999999999999</v>
      </c>
      <c r="V2024" s="1">
        <v>2.9204880000000001E-5</v>
      </c>
      <c r="W2024">
        <v>0.1564951</v>
      </c>
      <c r="X2024">
        <v>0.98767870000000002</v>
      </c>
      <c r="Y2024">
        <v>5.7664689999999998E-2</v>
      </c>
      <c r="Z2024">
        <v>5.5330880000000002E-3</v>
      </c>
      <c r="AA2024">
        <v>0.99832069999999995</v>
      </c>
      <c r="AB2024">
        <v>37</v>
      </c>
      <c r="AC2024">
        <v>-0.349000000000046</v>
      </c>
      <c r="AD2024">
        <v>-0.16136299999999901</v>
      </c>
      <c r="AE2024">
        <v>4.3800000000004502E-2</v>
      </c>
      <c r="AF2024">
        <v>3.4979608075753198E-2</v>
      </c>
      <c r="AG2024">
        <v>-0.16136299999999901</v>
      </c>
      <c r="AH2024">
        <v>0.28846876575660502</v>
      </c>
      <c r="AI2024">
        <v>119.043852242409</v>
      </c>
      <c r="AJ2024">
        <v>83.0860917699015</v>
      </c>
      <c r="AK2024">
        <v>0.332379029975226</v>
      </c>
      <c r="AL2024">
        <v>80.996482239745703</v>
      </c>
      <c r="AM2024">
        <v>89.998305808999703</v>
      </c>
      <c r="AN2024">
        <v>0.99999996580531103</v>
      </c>
    </row>
    <row r="2025" spans="1:40" x14ac:dyDescent="0.3">
      <c r="A2025" t="str">
        <f>"20200111150839202"</f>
        <v>20200111150839202</v>
      </c>
      <c r="B2025" t="str">
        <f>"1578726519194918"</f>
        <v>1578726519194918</v>
      </c>
      <c r="C2025" t="s">
        <v>40</v>
      </c>
      <c r="D2025">
        <v>5.0644439999999999</v>
      </c>
      <c r="E2025">
        <v>0.51958720000000003</v>
      </c>
      <c r="F2025" t="s">
        <v>41</v>
      </c>
      <c r="G2025">
        <v>-282.3048</v>
      </c>
      <c r="H2025">
        <v>0.94454979999999999</v>
      </c>
      <c r="I2025">
        <v>142.52869999999999</v>
      </c>
      <c r="J2025">
        <v>-282.0018</v>
      </c>
      <c r="K2025">
        <v>1.109909</v>
      </c>
      <c r="L2025">
        <v>142.49180000000001</v>
      </c>
      <c r="M2025">
        <v>-0.99993940000000003</v>
      </c>
      <c r="N2025">
        <v>0</v>
      </c>
      <c r="O2025">
        <v>4.0051089999999998E-3</v>
      </c>
      <c r="P2025">
        <v>-0.98916490000000001</v>
      </c>
      <c r="Q2025">
        <v>0.1467551</v>
      </c>
      <c r="R2025">
        <v>3.9190850000000001E-3</v>
      </c>
      <c r="S2025">
        <v>-3.1447449999999999</v>
      </c>
      <c r="T2025">
        <v>-0.76222999999999996</v>
      </c>
      <c r="U2025">
        <v>0.1760254</v>
      </c>
      <c r="V2025">
        <v>-1.024906E-4</v>
      </c>
      <c r="W2025">
        <v>0.15688460000000001</v>
      </c>
      <c r="X2025">
        <v>0.98761699999999997</v>
      </c>
      <c r="Y2025">
        <v>5.0544150000000003E-2</v>
      </c>
      <c r="Z2025">
        <v>5.0773399999999996E-3</v>
      </c>
      <c r="AA2025">
        <v>0.99870890000000001</v>
      </c>
      <c r="AB2025">
        <v>37</v>
      </c>
      <c r="AC2025">
        <v>-0.30299999999999699</v>
      </c>
      <c r="AD2025">
        <v>-0.16535920000000001</v>
      </c>
      <c r="AE2025">
        <v>3.6899999999974398E-2</v>
      </c>
      <c r="AF2025">
        <v>2.7589221076305698E-2</v>
      </c>
      <c r="AG2025">
        <v>-0.16535920000000001</v>
      </c>
      <c r="AH2025">
        <v>0.23436425807181999</v>
      </c>
      <c r="AI2025">
        <v>125.019941263278</v>
      </c>
      <c r="AJ2025">
        <v>83.286074669662099</v>
      </c>
      <c r="AK2025">
        <v>0.28815175794326198</v>
      </c>
      <c r="AL2025">
        <v>80.973887314745298</v>
      </c>
      <c r="AM2025">
        <v>90.005945906964598</v>
      </c>
      <c r="AN2025">
        <v>1.00000006345523</v>
      </c>
    </row>
    <row r="2026" spans="1:40" x14ac:dyDescent="0.3">
      <c r="A2026" t="str">
        <f>"20200111150839225"</f>
        <v>20200111150839225</v>
      </c>
      <c r="B2026" t="str">
        <f>"1578726519215416"</f>
        <v>1578726519215416</v>
      </c>
      <c r="C2026" t="s">
        <v>40</v>
      </c>
      <c r="D2026">
        <v>5.1442880000000004</v>
      </c>
      <c r="E2026">
        <v>0.51785349999999997</v>
      </c>
      <c r="F2026" t="s">
        <v>41</v>
      </c>
      <c r="G2026">
        <v>-282.94380000000001</v>
      </c>
      <c r="H2026">
        <v>0.87439719999999999</v>
      </c>
      <c r="I2026">
        <v>142.5385</v>
      </c>
      <c r="J2026">
        <v>-282.38249999999999</v>
      </c>
      <c r="K2026">
        <v>1.1099030000000001</v>
      </c>
      <c r="L2026">
        <v>142.4932</v>
      </c>
      <c r="M2026">
        <v>-0.99994000000000005</v>
      </c>
      <c r="N2026">
        <v>0</v>
      </c>
      <c r="O2026">
        <v>3.8302240000000001E-3</v>
      </c>
      <c r="P2026">
        <v>-0.98914899999999994</v>
      </c>
      <c r="Q2026">
        <v>0.14686440000000001</v>
      </c>
      <c r="R2026">
        <v>3.8784879999999998E-3</v>
      </c>
      <c r="S2026">
        <v>-3.1490779999999998</v>
      </c>
      <c r="T2026">
        <v>-0.78741810000000001</v>
      </c>
      <c r="U2026">
        <v>0.155838</v>
      </c>
      <c r="V2026" s="1">
        <v>2.975715E-5</v>
      </c>
      <c r="W2026">
        <v>0.15700420000000001</v>
      </c>
      <c r="X2026">
        <v>0.98759790000000003</v>
      </c>
      <c r="Y2026">
        <v>4.4355650000000003E-2</v>
      </c>
      <c r="Z2026">
        <v>4.5155459999999996E-3</v>
      </c>
      <c r="AA2026">
        <v>0.99900560000000005</v>
      </c>
      <c r="AB2026">
        <v>37</v>
      </c>
      <c r="AC2026">
        <v>-0.56130000000001701</v>
      </c>
      <c r="AD2026">
        <v>-0.23550579999999999</v>
      </c>
      <c r="AE2026">
        <v>4.5299999999997398E-2</v>
      </c>
      <c r="AF2026">
        <v>3.6726184331176102E-2</v>
      </c>
      <c r="AG2026">
        <v>-0.23550579999999999</v>
      </c>
      <c r="AH2026">
        <v>0.477886352190597</v>
      </c>
      <c r="AI2026">
        <v>116.16757502089</v>
      </c>
      <c r="AJ2026">
        <v>85.605383358864898</v>
      </c>
      <c r="AK2026">
        <v>0.534029175288394</v>
      </c>
      <c r="AL2026">
        <v>80.9669478647658</v>
      </c>
      <c r="AM2026">
        <v>89.998273630285297</v>
      </c>
      <c r="AN2026">
        <v>0.99999996589376805</v>
      </c>
    </row>
    <row r="2027" spans="1:40" x14ac:dyDescent="0.3">
      <c r="A2027" t="str">
        <f>"20200111150839247"</f>
        <v>20200111150839247</v>
      </c>
      <c r="B2027" t="str">
        <f>"1578726519245669"</f>
        <v>1578726519245669</v>
      </c>
      <c r="C2027" t="s">
        <v>40</v>
      </c>
      <c r="D2027">
        <v>5.2991210000000004</v>
      </c>
      <c r="E2027">
        <v>0.51824199999999998</v>
      </c>
      <c r="F2027" t="s">
        <v>41</v>
      </c>
      <c r="G2027">
        <v>-283.28930000000003</v>
      </c>
      <c r="H2027">
        <v>0.89684920000000001</v>
      </c>
      <c r="I2027">
        <v>142.53450000000001</v>
      </c>
      <c r="J2027">
        <v>-282.76139999999998</v>
      </c>
      <c r="K2027">
        <v>1.1099019999999999</v>
      </c>
      <c r="L2027">
        <v>142.49440000000001</v>
      </c>
      <c r="M2027">
        <v>-0.99994070000000002</v>
      </c>
      <c r="N2027">
        <v>0</v>
      </c>
      <c r="O2027">
        <v>3.6547020000000001E-3</v>
      </c>
      <c r="P2027">
        <v>-0.98920269999999999</v>
      </c>
      <c r="Q2027">
        <v>0.14650299999999999</v>
      </c>
      <c r="R2027">
        <v>3.818583E-3</v>
      </c>
      <c r="S2027">
        <v>-3.1419980000000001</v>
      </c>
      <c r="T2027">
        <v>-0.73821680000000001</v>
      </c>
      <c r="U2027">
        <v>0.14263919999999999</v>
      </c>
      <c r="V2027">
        <v>1.429011E-4</v>
      </c>
      <c r="W2027">
        <v>0.1566496</v>
      </c>
      <c r="X2027">
        <v>0.98765420000000004</v>
      </c>
      <c r="Y2027">
        <v>4.0692989999999998E-2</v>
      </c>
      <c r="Z2027">
        <v>3.867143E-3</v>
      </c>
      <c r="AA2027">
        <v>0.99916419999999995</v>
      </c>
      <c r="AB2027">
        <v>38</v>
      </c>
      <c r="AC2027">
        <v>-0.527900000000045</v>
      </c>
      <c r="AD2027">
        <v>-0.21305279999999999</v>
      </c>
      <c r="AE2027">
        <v>4.0099999999995299E-2</v>
      </c>
      <c r="AF2027">
        <v>3.28503100630251E-2</v>
      </c>
      <c r="AG2027">
        <v>-0.21305279999999999</v>
      </c>
      <c r="AH2027">
        <v>0.45444681661705</v>
      </c>
      <c r="AI2027">
        <v>115.0606877675</v>
      </c>
      <c r="AJ2027">
        <v>85.865487542038807</v>
      </c>
      <c r="AK2027">
        <v>0.50298364545226204</v>
      </c>
      <c r="AL2027">
        <v>80.987519521125293</v>
      </c>
      <c r="AM2027">
        <v>89.9917100237505</v>
      </c>
      <c r="AN2027">
        <v>0.99999996818926096</v>
      </c>
    </row>
    <row r="2028" spans="1:40" x14ac:dyDescent="0.3">
      <c r="A2028" t="str">
        <f>"20200111150839268"</f>
        <v>20200111150839268</v>
      </c>
      <c r="B2028" t="str">
        <f>"1578726519265189"</f>
        <v>1578726519265189</v>
      </c>
      <c r="C2028" t="s">
        <v>40</v>
      </c>
      <c r="D2028">
        <v>5.1596120000000001</v>
      </c>
      <c r="E2028">
        <v>0.51812400000000003</v>
      </c>
      <c r="F2028" t="s">
        <v>41</v>
      </c>
      <c r="G2028">
        <v>-283.62729999999999</v>
      </c>
      <c r="H2028">
        <v>0.90112840000000005</v>
      </c>
      <c r="I2028">
        <v>142.53450000000001</v>
      </c>
      <c r="J2028">
        <v>-283.1046</v>
      </c>
      <c r="K2028">
        <v>1.1099019999999999</v>
      </c>
      <c r="L2028">
        <v>142.49549999999999</v>
      </c>
      <c r="M2028">
        <v>-0.99994119999999997</v>
      </c>
      <c r="N2028">
        <v>0</v>
      </c>
      <c r="O2028">
        <v>3.4944680000000001E-3</v>
      </c>
      <c r="P2028">
        <v>-0.98924000000000001</v>
      </c>
      <c r="Q2028">
        <v>0.146258</v>
      </c>
      <c r="R2028">
        <v>3.613682E-3</v>
      </c>
      <c r="S2028">
        <v>-3.144501</v>
      </c>
      <c r="T2028">
        <v>-0.75813059999999999</v>
      </c>
      <c r="U2028">
        <v>0.14480589999999999</v>
      </c>
      <c r="V2028" s="1">
        <v>9.6074649999999993E-5</v>
      </c>
      <c r="W2028">
        <v>0.15640560000000001</v>
      </c>
      <c r="X2028">
        <v>0.98769289999999998</v>
      </c>
      <c r="Y2028">
        <v>4.1425990000000003E-2</v>
      </c>
      <c r="Z2028">
        <v>4.0906010000000001E-3</v>
      </c>
      <c r="AA2028">
        <v>0.99913320000000005</v>
      </c>
      <c r="AB2028">
        <v>38</v>
      </c>
      <c r="AC2028">
        <v>-0.52269999999998595</v>
      </c>
      <c r="AD2028">
        <v>-0.208773599999999</v>
      </c>
      <c r="AE2028">
        <v>3.9000000000015599E-2</v>
      </c>
      <c r="AF2028">
        <v>3.2083170188864599E-2</v>
      </c>
      <c r="AG2028">
        <v>-0.208773599999999</v>
      </c>
      <c r="AH2028">
        <v>0.45124404686610498</v>
      </c>
      <c r="AI2028">
        <v>114.773195792804</v>
      </c>
      <c r="AJ2028">
        <v>85.933149419209798</v>
      </c>
      <c r="AK2028">
        <v>0.49823381629354202</v>
      </c>
      <c r="AL2028">
        <v>81.001674391401806</v>
      </c>
      <c r="AM2028">
        <v>89.994426737353393</v>
      </c>
      <c r="AN2028">
        <v>0.99999999282605401</v>
      </c>
    </row>
    <row r="2029" spans="1:40" x14ac:dyDescent="0.3">
      <c r="A2029" t="str">
        <f>"20200111150839290"</f>
        <v>20200111150839290</v>
      </c>
      <c r="B2029" t="str">
        <f>"1578726519284710"</f>
        <v>1578726519284710</v>
      </c>
      <c r="C2029" t="s">
        <v>40</v>
      </c>
      <c r="D2029">
        <v>5.517023</v>
      </c>
      <c r="E2029">
        <v>0.5176598</v>
      </c>
      <c r="F2029" t="s">
        <v>41</v>
      </c>
      <c r="G2029">
        <v>-283.96339999999998</v>
      </c>
      <c r="H2029">
        <v>0.90059829999999996</v>
      </c>
      <c r="I2029">
        <v>142.53469999999999</v>
      </c>
      <c r="J2029">
        <v>-283.4828</v>
      </c>
      <c r="K2029">
        <v>1.1098969999999999</v>
      </c>
      <c r="L2029">
        <v>142.4967</v>
      </c>
      <c r="M2029">
        <v>-0.99994179999999999</v>
      </c>
      <c r="N2029">
        <v>0</v>
      </c>
      <c r="O2029">
        <v>3.3156010000000001E-3</v>
      </c>
      <c r="P2029">
        <v>-0.98931009999999997</v>
      </c>
      <c r="Q2029">
        <v>0.14578820000000001</v>
      </c>
      <c r="R2029">
        <v>3.3156990000000001E-3</v>
      </c>
      <c r="S2029">
        <v>-3.1454770000000001</v>
      </c>
      <c r="T2029">
        <v>-0.76664390000000004</v>
      </c>
      <c r="U2029">
        <v>0.14279169999999999</v>
      </c>
      <c r="V2029" s="1">
        <v>-2.590253E-5</v>
      </c>
      <c r="W2029">
        <v>0.15593129999999999</v>
      </c>
      <c r="X2029">
        <v>0.98776790000000003</v>
      </c>
      <c r="Y2029">
        <v>4.0937540000000001E-2</v>
      </c>
      <c r="Z2029">
        <v>4.1183590000000003E-3</v>
      </c>
      <c r="AA2029">
        <v>0.99915319999999996</v>
      </c>
      <c r="AB2029">
        <v>38</v>
      </c>
      <c r="AC2029">
        <v>-0.48059999999998099</v>
      </c>
      <c r="AD2029">
        <v>-0.209298699999999</v>
      </c>
      <c r="AE2029">
        <v>3.7999999999982402E-2</v>
      </c>
      <c r="AF2029">
        <v>3.0632668711144201E-2</v>
      </c>
      <c r="AG2029">
        <v>-0.209298699999999</v>
      </c>
      <c r="AH2029">
        <v>0.404486804701229</v>
      </c>
      <c r="AI2029">
        <v>117.292154054299</v>
      </c>
      <c r="AJ2029">
        <v>85.669132615604894</v>
      </c>
      <c r="AK2029">
        <v>0.45645797330254501</v>
      </c>
      <c r="AL2029">
        <v>81.0291873955791</v>
      </c>
      <c r="AM2029">
        <v>90.001502484184101</v>
      </c>
      <c r="AN2029">
        <v>0.99999999763052005</v>
      </c>
    </row>
    <row r="2030" spans="1:40" x14ac:dyDescent="0.3">
      <c r="A2030" t="str">
        <f>"20200111150839314"</f>
        <v>20200111150839314</v>
      </c>
      <c r="B2030" t="str">
        <f>"1578726519305208"</f>
        <v>1578726519305208</v>
      </c>
      <c r="C2030" t="s">
        <v>40</v>
      </c>
      <c r="D2030">
        <v>5.1866969999999997</v>
      </c>
      <c r="E2030">
        <v>0.5042934</v>
      </c>
      <c r="F2030" t="s">
        <v>41</v>
      </c>
      <c r="G2030">
        <v>-284.30540000000002</v>
      </c>
      <c r="H2030">
        <v>0.91252080000000002</v>
      </c>
      <c r="I2030">
        <v>142.53309999999999</v>
      </c>
      <c r="J2030">
        <v>-283.89890000000003</v>
      </c>
      <c r="K2030">
        <v>1.1098939999999999</v>
      </c>
      <c r="L2030">
        <v>142.49789999999999</v>
      </c>
      <c r="M2030">
        <v>-0.99994249999999996</v>
      </c>
      <c r="N2030">
        <v>0</v>
      </c>
      <c r="O2030">
        <v>3.1148170000000002E-3</v>
      </c>
      <c r="P2030">
        <v>-0.98936919999999995</v>
      </c>
      <c r="Q2030">
        <v>0.145387299999999</v>
      </c>
      <c r="R2030">
        <v>3.3497010000000001E-3</v>
      </c>
      <c r="S2030">
        <v>-3.143097</v>
      </c>
      <c r="T2030">
        <v>-0.75417719999999999</v>
      </c>
      <c r="U2030">
        <v>0.13851930000000001</v>
      </c>
      <c r="V2030">
        <v>2.0573520000000001E-4</v>
      </c>
      <c r="W2030">
        <v>0.15552009999999999</v>
      </c>
      <c r="X2030">
        <v>0.98783270000000001</v>
      </c>
      <c r="Y2030">
        <v>3.9874670000000001E-2</v>
      </c>
      <c r="Z2030">
        <v>3.9781540000000002E-3</v>
      </c>
      <c r="AA2030">
        <v>0.9991968</v>
      </c>
      <c r="AB2030">
        <v>38</v>
      </c>
      <c r="AC2030">
        <v>-0.40649999999999398</v>
      </c>
      <c r="AD2030">
        <v>-0.1973732</v>
      </c>
      <c r="AE2030">
        <v>3.5200000000003201E-2</v>
      </c>
      <c r="AF2030">
        <v>2.7498916062258998E-2</v>
      </c>
      <c r="AG2030">
        <v>-0.1973732</v>
      </c>
      <c r="AH2030">
        <v>0.32950449720987002</v>
      </c>
      <c r="AI2030">
        <v>120.83402890417101</v>
      </c>
      <c r="AJ2030">
        <v>85.229415049043993</v>
      </c>
      <c r="AK2030">
        <v>0.38507867266880402</v>
      </c>
      <c r="AL2030">
        <v>81.053038357329399</v>
      </c>
      <c r="AM2030">
        <v>89.988067049727206</v>
      </c>
      <c r="AN2030">
        <v>0.99999999351013602</v>
      </c>
    </row>
    <row r="2031" spans="1:40" x14ac:dyDescent="0.3">
      <c r="A2031" t="str">
        <f>"20200111150839336"</f>
        <v>20200111150839336</v>
      </c>
      <c r="B2031" t="str">
        <f>"1578726519324725"</f>
        <v>1578726519324725</v>
      </c>
      <c r="C2031" t="s">
        <v>40</v>
      </c>
      <c r="D2031">
        <v>5.3009709999999997</v>
      </c>
      <c r="E2031">
        <v>0.51879529999999996</v>
      </c>
      <c r="F2031" t="s">
        <v>41</v>
      </c>
      <c r="G2031">
        <v>-284.702</v>
      </c>
      <c r="H2031">
        <v>1.0357689999999999</v>
      </c>
      <c r="I2031">
        <v>142.5076</v>
      </c>
      <c r="J2031">
        <v>-284.25229999999999</v>
      </c>
      <c r="K2031">
        <v>1.10989</v>
      </c>
      <c r="L2031">
        <v>142.49889999999999</v>
      </c>
      <c r="M2031">
        <v>-0.99994340000000004</v>
      </c>
      <c r="N2031">
        <v>0</v>
      </c>
      <c r="O2031">
        <v>2.9382560000000002E-3</v>
      </c>
      <c r="P2031">
        <v>-0.98945159999999999</v>
      </c>
      <c r="Q2031">
        <v>0.14482349999999999</v>
      </c>
      <c r="R2031">
        <v>3.4196999999999899E-3</v>
      </c>
      <c r="S2031">
        <v>-3.0737920000000001</v>
      </c>
      <c r="T2031">
        <v>-0.28375119999999998</v>
      </c>
      <c r="U2031">
        <v>3.6621090000000002E-2</v>
      </c>
      <c r="V2031">
        <v>4.4868529999999998E-4</v>
      </c>
      <c r="W2031">
        <v>0.15493979999999999</v>
      </c>
      <c r="X2031">
        <v>0.98792380000000002</v>
      </c>
      <c r="Y2031">
        <v>8.9493279999999995E-3</v>
      </c>
      <c r="Z2031">
        <v>1.415121E-4</v>
      </c>
      <c r="AA2031">
        <v>0.99995990000000001</v>
      </c>
      <c r="AB2031">
        <v>38</v>
      </c>
      <c r="AC2031">
        <v>-0.44970000000000698</v>
      </c>
      <c r="AD2031">
        <v>-7.4120999999999798E-2</v>
      </c>
      <c r="AE2031">
        <v>8.7000000000045895E-3</v>
      </c>
      <c r="AF2031">
        <v>7.1834812196326196E-3</v>
      </c>
      <c r="AG2031">
        <v>-7.4120999999999798E-2</v>
      </c>
      <c r="AH2031">
        <v>0.43783358266727901</v>
      </c>
      <c r="AI2031">
        <v>99.607253872103897</v>
      </c>
      <c r="AJ2031">
        <v>89.060039595858498</v>
      </c>
      <c r="AK2031">
        <v>0.44412134733054398</v>
      </c>
      <c r="AL2031">
        <v>81.086695030812393</v>
      </c>
      <c r="AM2031">
        <v>89.973977980637798</v>
      </c>
      <c r="AN2031">
        <v>0.99999998877448903</v>
      </c>
    </row>
    <row r="2032" spans="1:40" x14ac:dyDescent="0.3">
      <c r="A2032" t="str">
        <f>"20200111150839353"</f>
        <v>20200111150839353</v>
      </c>
      <c r="B2032" t="str">
        <f>"1578726519345222"</f>
        <v>1578726519345222</v>
      </c>
      <c r="C2032" t="s">
        <v>40</v>
      </c>
      <c r="D2032">
        <v>5.2907339999999996</v>
      </c>
      <c r="E2032">
        <v>0.51733260000000003</v>
      </c>
      <c r="F2032" t="s">
        <v>41</v>
      </c>
      <c r="G2032">
        <v>-284.98050000000001</v>
      </c>
      <c r="H2032">
        <v>0.91374770000000005</v>
      </c>
      <c r="I2032">
        <v>142.53280000000001</v>
      </c>
      <c r="J2032">
        <v>-284.53030000000001</v>
      </c>
      <c r="K2032">
        <v>1.109888</v>
      </c>
      <c r="L2032">
        <v>142.49959999999999</v>
      </c>
      <c r="M2032">
        <v>-0.99994400000000006</v>
      </c>
      <c r="N2032">
        <v>0</v>
      </c>
      <c r="O2032">
        <v>2.7945539999999999E-3</v>
      </c>
      <c r="P2032">
        <v>-0.98949469999999995</v>
      </c>
      <c r="Q2032">
        <v>0.14452699999999999</v>
      </c>
      <c r="R2032">
        <v>3.480917E-3</v>
      </c>
      <c r="S2032">
        <v>-3.1559140000000001</v>
      </c>
      <c r="T2032">
        <v>-0.85010229999999998</v>
      </c>
      <c r="U2032">
        <v>0.14680480000000001</v>
      </c>
      <c r="V2032">
        <v>6.5055709999999999E-4</v>
      </c>
      <c r="W2032">
        <v>0.15462229999999999</v>
      </c>
      <c r="X2032">
        <v>0.98797349999999995</v>
      </c>
      <c r="Y2032">
        <v>4.2271169999999997E-2</v>
      </c>
      <c r="Z2032">
        <v>4.8514639999999998E-3</v>
      </c>
      <c r="AA2032">
        <v>0.99909440000000005</v>
      </c>
      <c r="AB2032">
        <v>38</v>
      </c>
      <c r="AC2032">
        <v>-0.45019999999999499</v>
      </c>
      <c r="AD2032">
        <v>-0.19614029999999999</v>
      </c>
      <c r="AE2032">
        <v>3.3200000000022101E-2</v>
      </c>
      <c r="AF2032">
        <v>2.6869197784675499E-2</v>
      </c>
      <c r="AG2032">
        <v>-0.19614029999999999</v>
      </c>
      <c r="AH2032">
        <v>0.37878259224149002</v>
      </c>
      <c r="AI2032">
        <v>117.31724543086101</v>
      </c>
      <c r="AJ2032">
        <v>85.942481894036504</v>
      </c>
      <c r="AK2032">
        <v>0.42739820221763303</v>
      </c>
      <c r="AL2032">
        <v>81.1051089625457</v>
      </c>
      <c r="AM2032">
        <v>89.962272094570295</v>
      </c>
      <c r="AN2032">
        <v>1.0000000577920301</v>
      </c>
    </row>
    <row r="2033" spans="1:40" x14ac:dyDescent="0.3">
      <c r="A2033" t="str">
        <f>"20200111150839369"</f>
        <v>20200111150839369</v>
      </c>
      <c r="B2033" t="str">
        <f>"1578726519364741"</f>
        <v>1578726519364741</v>
      </c>
      <c r="C2033" t="s">
        <v>40</v>
      </c>
      <c r="D2033">
        <v>5.2666019999999998</v>
      </c>
      <c r="E2033">
        <v>0.51782479999999997</v>
      </c>
      <c r="F2033" t="s">
        <v>41</v>
      </c>
      <c r="G2033">
        <v>-285.31130000000002</v>
      </c>
      <c r="H2033">
        <v>0.89815679999999998</v>
      </c>
      <c r="I2033">
        <v>142.53319999999999</v>
      </c>
      <c r="J2033">
        <v>-284.80829999999997</v>
      </c>
      <c r="K2033">
        <v>1.1098920000000001</v>
      </c>
      <c r="L2033">
        <v>142.50020000000001</v>
      </c>
      <c r="M2033">
        <v>-0.99994470000000002</v>
      </c>
      <c r="N2033">
        <v>0</v>
      </c>
      <c r="O2033">
        <v>2.6465220000000001E-3</v>
      </c>
      <c r="P2033">
        <v>-0.98947510000000005</v>
      </c>
      <c r="Q2033">
        <v>0.1446588</v>
      </c>
      <c r="R2033">
        <v>3.6065239999999998E-3</v>
      </c>
      <c r="S2033">
        <v>-3.156342</v>
      </c>
      <c r="T2033">
        <v>-0.85564660000000003</v>
      </c>
      <c r="U2033">
        <v>0.13529969999999999</v>
      </c>
      <c r="V2033">
        <v>9.2101209999999995E-4</v>
      </c>
      <c r="W2033">
        <v>0.15472739999999999</v>
      </c>
      <c r="X2033">
        <v>0.98795679999999997</v>
      </c>
      <c r="Y2033">
        <v>3.8877009999999997E-2</v>
      </c>
      <c r="Z2033">
        <v>4.4694419999999997E-3</v>
      </c>
      <c r="AA2033">
        <v>0.99923399999999996</v>
      </c>
      <c r="AB2033">
        <v>38</v>
      </c>
      <c r="AC2033">
        <v>-0.50300000000004197</v>
      </c>
      <c r="AD2033">
        <v>-0.21173520000000001</v>
      </c>
      <c r="AE2033">
        <v>3.2999999999986998E-2</v>
      </c>
      <c r="AF2033">
        <v>2.6919135680200199E-2</v>
      </c>
      <c r="AG2033">
        <v>-0.21173520000000001</v>
      </c>
      <c r="AH2033">
        <v>0.42763565687085298</v>
      </c>
      <c r="AI2033">
        <v>116.296363694555</v>
      </c>
      <c r="AJ2033">
        <v>86.398054155186003</v>
      </c>
      <c r="AK2033">
        <v>0.477942140653212</v>
      </c>
      <c r="AL2033">
        <v>81.099013553360706</v>
      </c>
      <c r="AM2033">
        <v>89.946586641315093</v>
      </c>
      <c r="AN2033">
        <v>1.00000002762014</v>
      </c>
    </row>
    <row r="2034" spans="1:40" x14ac:dyDescent="0.3">
      <c r="A2034" t="str">
        <f>"20200111150839392"</f>
        <v>20200111150839392</v>
      </c>
      <c r="B2034" t="str">
        <f>"1578726519385238"</f>
        <v>1578726519385238</v>
      </c>
      <c r="C2034" t="s">
        <v>40</v>
      </c>
      <c r="D2034">
        <v>5.2782850000000003</v>
      </c>
      <c r="E2034">
        <v>0.51715440000000001</v>
      </c>
      <c r="F2034" t="s">
        <v>41</v>
      </c>
      <c r="G2034">
        <v>-285.64249999999998</v>
      </c>
      <c r="H2034">
        <v>0.88237089999999996</v>
      </c>
      <c r="I2034">
        <v>142.53710000000001</v>
      </c>
      <c r="J2034">
        <v>-285.1934</v>
      </c>
      <c r="K2034">
        <v>1.1098920000000001</v>
      </c>
      <c r="L2034">
        <v>142.501</v>
      </c>
      <c r="M2034">
        <v>-0.99994570000000005</v>
      </c>
      <c r="N2034">
        <v>0</v>
      </c>
      <c r="O2034">
        <v>2.4346609999999999E-3</v>
      </c>
      <c r="P2034">
        <v>-0.98946109999999998</v>
      </c>
      <c r="Q2034">
        <v>0.14474989999999999</v>
      </c>
      <c r="R2034">
        <v>3.7942919999999999E-3</v>
      </c>
      <c r="S2034">
        <v>-3.1573180000000001</v>
      </c>
      <c r="T2034">
        <v>-0.86124789999999996</v>
      </c>
      <c r="U2034">
        <v>0.13972470000000001</v>
      </c>
      <c r="V2034">
        <v>1.3155679999999901E-3</v>
      </c>
      <c r="W2034">
        <v>0.15477299999999999</v>
      </c>
      <c r="X2034">
        <v>0.98794919999999997</v>
      </c>
      <c r="Y2034">
        <v>4.0394239999999998E-2</v>
      </c>
      <c r="Z2034">
        <v>4.7560570000000002E-3</v>
      </c>
      <c r="AA2034">
        <v>0.99917250000000002</v>
      </c>
      <c r="AB2034">
        <v>38</v>
      </c>
      <c r="AC2034">
        <v>-0.44909999999998701</v>
      </c>
      <c r="AD2034">
        <v>-0.2275211</v>
      </c>
      <c r="AE2034">
        <v>3.6100000000004601E-2</v>
      </c>
      <c r="AF2034">
        <v>2.7893310074309199E-2</v>
      </c>
      <c r="AG2034">
        <v>-0.2275211</v>
      </c>
      <c r="AH2034">
        <v>0.35791424347803102</v>
      </c>
      <c r="AI2034">
        <v>122.36506726463099</v>
      </c>
      <c r="AJ2034">
        <v>85.543778442757301</v>
      </c>
      <c r="AK2034">
        <v>0.42502528557317998</v>
      </c>
      <c r="AL2034">
        <v>81.096368913529005</v>
      </c>
      <c r="AM2034">
        <v>89.923704124149197</v>
      </c>
      <c r="AN2034">
        <v>1.0000000170144001</v>
      </c>
    </row>
    <row r="2035" spans="1:40" x14ac:dyDescent="0.3">
      <c r="A2035" t="str">
        <f>"20200111150839414"</f>
        <v>20200111150839414</v>
      </c>
      <c r="B2035" t="str">
        <f>"1578726519404765"</f>
        <v>1578726519404765</v>
      </c>
      <c r="C2035" t="s">
        <v>40</v>
      </c>
      <c r="D2035">
        <v>5.3493709999999997</v>
      </c>
      <c r="E2035">
        <v>0.51621740000000005</v>
      </c>
      <c r="F2035" t="s">
        <v>41</v>
      </c>
      <c r="G2035">
        <v>-285.98599999999999</v>
      </c>
      <c r="H2035">
        <v>0.89379580000000003</v>
      </c>
      <c r="I2035">
        <v>142.5351</v>
      </c>
      <c r="J2035">
        <v>-285.58100000000002</v>
      </c>
      <c r="K2035">
        <v>1.1098920000000001</v>
      </c>
      <c r="L2035">
        <v>142.5018</v>
      </c>
      <c r="M2035">
        <v>-0.99994680000000002</v>
      </c>
      <c r="N2035">
        <v>0</v>
      </c>
      <c r="O2035">
        <v>2.2136080000000002E-3</v>
      </c>
      <c r="P2035">
        <v>-0.98948449999999999</v>
      </c>
      <c r="Q2035">
        <v>0.14459029999999901</v>
      </c>
      <c r="R2035">
        <v>3.7687179999999999E-3</v>
      </c>
      <c r="S2035">
        <v>-3.15741</v>
      </c>
      <c r="T2035">
        <v>-0.86091790000000001</v>
      </c>
      <c r="U2035">
        <v>0.13497919999999999</v>
      </c>
      <c r="V2035">
        <v>1.5060609999999999E-3</v>
      </c>
      <c r="W2035">
        <v>0.15456059999999999</v>
      </c>
      <c r="X2035">
        <v>0.98798220000000003</v>
      </c>
      <c r="Y2035">
        <v>3.9153090000000002E-2</v>
      </c>
      <c r="Z2035">
        <v>4.6473779999999998E-3</v>
      </c>
      <c r="AA2035">
        <v>0.99922239999999996</v>
      </c>
      <c r="AB2035">
        <v>38</v>
      </c>
      <c r="AC2035">
        <v>-0.405000000000029</v>
      </c>
      <c r="AD2035">
        <v>-0.21609619999999999</v>
      </c>
      <c r="AE2035">
        <v>3.3299999999996999E-2</v>
      </c>
      <c r="AF2035">
        <v>2.5260144173814902E-2</v>
      </c>
      <c r="AG2035">
        <v>-0.21609619999999999</v>
      </c>
      <c r="AH2035">
        <v>0.31577573734382097</v>
      </c>
      <c r="AI2035">
        <v>124.3000612229</v>
      </c>
      <c r="AJ2035">
        <v>85.426423963303705</v>
      </c>
      <c r="AK2035">
        <v>0.38347093609966798</v>
      </c>
      <c r="AL2035">
        <v>81.108686944153703</v>
      </c>
      <c r="AM2035">
        <v>89.912659487032997</v>
      </c>
      <c r="AN2035">
        <v>1.00000003740446</v>
      </c>
    </row>
    <row r="2036" spans="1:40" x14ac:dyDescent="0.3">
      <c r="A2036" t="str">
        <f>"20200111150839436"</f>
        <v>20200111150839436</v>
      </c>
      <c r="B2036" t="str">
        <f>"1578726519425269"</f>
        <v>1578726519425269</v>
      </c>
      <c r="C2036" t="s">
        <v>40</v>
      </c>
      <c r="D2036">
        <v>5.438987</v>
      </c>
      <c r="E2036">
        <v>0.5160226</v>
      </c>
      <c r="F2036" t="s">
        <v>41</v>
      </c>
      <c r="G2036">
        <v>-286.33120000000002</v>
      </c>
      <c r="H2036">
        <v>0.90804410000000002</v>
      </c>
      <c r="I2036">
        <v>142.53229999999999</v>
      </c>
      <c r="J2036">
        <v>-285.95440000000002</v>
      </c>
      <c r="K2036">
        <v>1.1098840000000001</v>
      </c>
      <c r="L2036">
        <v>142.50239999999999</v>
      </c>
      <c r="M2036">
        <v>-0.99994780000000005</v>
      </c>
      <c r="N2036">
        <v>0</v>
      </c>
      <c r="O2036">
        <v>1.9939189999999998E-3</v>
      </c>
      <c r="P2036">
        <v>-0.98945159999999999</v>
      </c>
      <c r="Q2036">
        <v>0.1448257</v>
      </c>
      <c r="R2036">
        <v>3.3240190000000001E-3</v>
      </c>
      <c r="S2036">
        <v>-3.1554570000000002</v>
      </c>
      <c r="T2036">
        <v>-0.84893410000000002</v>
      </c>
      <c r="U2036">
        <v>0.12808230000000001</v>
      </c>
      <c r="V2036">
        <v>1.276269E-3</v>
      </c>
      <c r="W2036">
        <v>0.15473439999999999</v>
      </c>
      <c r="X2036">
        <v>0.98795529999999998</v>
      </c>
      <c r="Y2036">
        <v>3.7311120000000003E-2</v>
      </c>
      <c r="Z2036">
        <v>4.4025509999999898E-3</v>
      </c>
      <c r="AA2036">
        <v>0.99929400000000002</v>
      </c>
      <c r="AB2036">
        <v>38</v>
      </c>
      <c r="AC2036">
        <v>-0.37680000000000202</v>
      </c>
      <c r="AD2036">
        <v>-0.20183989999999999</v>
      </c>
      <c r="AE2036">
        <v>2.98999999999978E-2</v>
      </c>
      <c r="AF2036">
        <v>2.2681166869989101E-2</v>
      </c>
      <c r="AG2036">
        <v>-0.20183989999999999</v>
      </c>
      <c r="AH2036">
        <v>0.29324223732865801</v>
      </c>
      <c r="AI2036">
        <v>124.46004268390099</v>
      </c>
      <c r="AJ2036">
        <v>85.577196006045597</v>
      </c>
      <c r="AK2036">
        <v>0.356713877380894</v>
      </c>
      <c r="AL2036">
        <v>81.0986075173644</v>
      </c>
      <c r="AM2036">
        <v>89.925983709438995</v>
      </c>
      <c r="AN2036">
        <v>1.000000019102</v>
      </c>
    </row>
    <row r="2037" spans="1:40" x14ac:dyDescent="0.3">
      <c r="A2037" t="str">
        <f>"20200111150839459"</f>
        <v>20200111150839459</v>
      </c>
      <c r="B2037" t="str">
        <f>"1578726519455509"</f>
        <v>1578726519455509</v>
      </c>
      <c r="C2037" t="s">
        <v>40</v>
      </c>
      <c r="D2037">
        <v>5.3793230000000003</v>
      </c>
      <c r="E2037">
        <v>0.51547739999999997</v>
      </c>
      <c r="F2037" t="s">
        <v>41</v>
      </c>
      <c r="G2037">
        <v>-286.67399999999998</v>
      </c>
      <c r="H2037">
        <v>0.91577220000000004</v>
      </c>
      <c r="I2037">
        <v>142.53129999999999</v>
      </c>
      <c r="J2037">
        <v>-286.32889999999998</v>
      </c>
      <c r="K2037">
        <v>1.1098650000000001</v>
      </c>
      <c r="L2037">
        <v>142.50299999999999</v>
      </c>
      <c r="M2037">
        <v>-0.99994910000000004</v>
      </c>
      <c r="N2037">
        <v>0</v>
      </c>
      <c r="O2037">
        <v>1.76844E-3</v>
      </c>
      <c r="P2037">
        <v>-0.98941170000000001</v>
      </c>
      <c r="Q2037">
        <v>0.14509759999999999</v>
      </c>
      <c r="R2037">
        <v>3.3365819999999998E-3</v>
      </c>
      <c r="S2037">
        <v>-3.1561889999999999</v>
      </c>
      <c r="T2037">
        <v>-0.85138950000000002</v>
      </c>
      <c r="U2037">
        <v>0.12530519999999901</v>
      </c>
      <c r="V2037">
        <v>1.5098879999999901E-3</v>
      </c>
      <c r="W2037">
        <v>0.1549257</v>
      </c>
      <c r="X2037">
        <v>0.98792500000000005</v>
      </c>
      <c r="Y2037">
        <v>3.6657820000000001E-2</v>
      </c>
      <c r="Z2037">
        <v>4.3871300000000004E-3</v>
      </c>
      <c r="AA2037">
        <v>0.99931820000000005</v>
      </c>
      <c r="AB2037">
        <v>38</v>
      </c>
      <c r="AC2037">
        <v>-0.34510000000005803</v>
      </c>
      <c r="AD2037">
        <v>-0.19409279999999901</v>
      </c>
      <c r="AE2037">
        <v>2.8300000000001501E-2</v>
      </c>
      <c r="AF2037">
        <v>2.1069437435547501E-2</v>
      </c>
      <c r="AG2037">
        <v>-0.19409279999999901</v>
      </c>
      <c r="AH2037">
        <v>0.26262915625412597</v>
      </c>
      <c r="AI2037">
        <v>126.377986028927</v>
      </c>
      <c r="AJ2037">
        <v>85.413266500992506</v>
      </c>
      <c r="AK2037">
        <v>0.32724609993160297</v>
      </c>
      <c r="AL2037">
        <v>81.087513136577797</v>
      </c>
      <c r="AM2037">
        <v>89.912432479611496</v>
      </c>
      <c r="AN2037">
        <v>1.0000000289536299</v>
      </c>
    </row>
    <row r="2038" spans="1:40" x14ac:dyDescent="0.3">
      <c r="A2038" t="str">
        <f>"20200111150839482"</f>
        <v>20200111150839482</v>
      </c>
      <c r="B2038" t="str">
        <f>"1578726519475030"</f>
        <v>1578726519475030</v>
      </c>
      <c r="C2038" t="s">
        <v>40</v>
      </c>
      <c r="D2038">
        <v>5.3794719999999998</v>
      </c>
      <c r="E2038">
        <v>0.51527579999999995</v>
      </c>
      <c r="F2038" t="s">
        <v>41</v>
      </c>
      <c r="G2038">
        <v>-287.01769999999999</v>
      </c>
      <c r="H2038">
        <v>0.92420179999999996</v>
      </c>
      <c r="I2038">
        <v>142.52930000000001</v>
      </c>
      <c r="J2038">
        <v>-286.7294</v>
      </c>
      <c r="K2038">
        <v>1.109842</v>
      </c>
      <c r="L2038">
        <v>142.5035</v>
      </c>
      <c r="M2038">
        <v>-0.99995060000000002</v>
      </c>
      <c r="N2038">
        <v>0</v>
      </c>
      <c r="O2038">
        <v>1.5220570000000001E-3</v>
      </c>
      <c r="P2038">
        <v>-0.98947589999999996</v>
      </c>
      <c r="Q2038">
        <v>0.14467189999999999</v>
      </c>
      <c r="R2038">
        <v>2.7645289999999999E-3</v>
      </c>
      <c r="S2038">
        <v>-3.1564640000000002</v>
      </c>
      <c r="T2038">
        <v>-0.85069309999999998</v>
      </c>
      <c r="U2038">
        <v>0.120620699999999</v>
      </c>
      <c r="V2038">
        <v>1.180197E-3</v>
      </c>
      <c r="W2038">
        <v>0.1543844</v>
      </c>
      <c r="X2038">
        <v>0.98801019999999995</v>
      </c>
      <c r="Y2038">
        <v>3.5455920000000002E-2</v>
      </c>
      <c r="Z2038">
        <v>4.2895679999999997E-3</v>
      </c>
      <c r="AA2038">
        <v>0.99936210000000003</v>
      </c>
      <c r="AB2038">
        <v>38</v>
      </c>
      <c r="AC2038">
        <v>-0.28829999999999201</v>
      </c>
      <c r="AD2038">
        <v>-0.18564020000000001</v>
      </c>
      <c r="AE2038">
        <v>2.5800000000003799E-2</v>
      </c>
      <c r="AF2038">
        <v>1.7969671531364299E-2</v>
      </c>
      <c r="AG2038">
        <v>-0.18564020000000001</v>
      </c>
      <c r="AH2038">
        <v>0.20430296137680801</v>
      </c>
      <c r="AI2038">
        <v>132.150040614337</v>
      </c>
      <c r="AJ2038">
        <v>84.973427996914296</v>
      </c>
      <c r="AK2038">
        <v>0.27663133043514498</v>
      </c>
      <c r="AL2038">
        <v>81.118905180917693</v>
      </c>
      <c r="AM2038">
        <v>89.931559132757798</v>
      </c>
      <c r="AN2038">
        <v>1.0000000455661699</v>
      </c>
    </row>
    <row r="2039" spans="1:40" x14ac:dyDescent="0.3">
      <c r="A2039" t="str">
        <f>"20200111150839505"</f>
        <v>20200111150839505</v>
      </c>
      <c r="B2039" t="str">
        <f>"1578726519495525"</f>
        <v>1578726519495525</v>
      </c>
      <c r="C2039" t="s">
        <v>40</v>
      </c>
      <c r="D2039">
        <v>5.3412989999999896</v>
      </c>
      <c r="E2039">
        <v>0.51478889999999999</v>
      </c>
      <c r="F2039" t="s">
        <v>41</v>
      </c>
      <c r="G2039">
        <v>-287.66989999999998</v>
      </c>
      <c r="H2039">
        <v>0.857074</v>
      </c>
      <c r="I2039">
        <v>142.53829999999999</v>
      </c>
      <c r="J2039">
        <v>-287.11649999999997</v>
      </c>
      <c r="K2039">
        <v>1.10982</v>
      </c>
      <c r="L2039">
        <v>142.50380000000001</v>
      </c>
      <c r="M2039">
        <v>-0.99995219999999996</v>
      </c>
      <c r="N2039">
        <v>0</v>
      </c>
      <c r="O2039">
        <v>1.2819540000000001E-3</v>
      </c>
      <c r="P2039">
        <v>-0.9894676</v>
      </c>
      <c r="Q2039">
        <v>0.1447445</v>
      </c>
      <c r="R2039">
        <v>1.7282829999999999E-3</v>
      </c>
      <c r="S2039">
        <v>-3.155548</v>
      </c>
      <c r="T2039">
        <v>-0.84809419999999902</v>
      </c>
      <c r="U2039">
        <v>0.1167603</v>
      </c>
      <c r="V2039">
        <v>3.802578E-4</v>
      </c>
      <c r="W2039">
        <v>0.15432599999999999</v>
      </c>
      <c r="X2039">
        <v>0.98801989999999995</v>
      </c>
      <c r="Y2039">
        <v>3.4517279999999997E-2</v>
      </c>
      <c r="Z2039">
        <v>4.2176959999999999E-3</v>
      </c>
      <c r="AA2039">
        <v>0.99939520000000004</v>
      </c>
      <c r="AB2039">
        <v>38</v>
      </c>
      <c r="AC2039">
        <v>-0.55340000000001</v>
      </c>
      <c r="AD2039">
        <v>-0.25274600000000003</v>
      </c>
      <c r="AE2039">
        <v>3.4499999999979901E-2</v>
      </c>
      <c r="AF2039">
        <v>2.7977346356952398E-2</v>
      </c>
      <c r="AG2039">
        <v>-0.25274600000000003</v>
      </c>
      <c r="AH2039">
        <v>0.45823192596923501</v>
      </c>
      <c r="AI2039">
        <v>118.834660098111</v>
      </c>
      <c r="AJ2039">
        <v>86.506143723515393</v>
      </c>
      <c r="AK2039">
        <v>0.52406084608817305</v>
      </c>
      <c r="AL2039">
        <v>81.122291352170194</v>
      </c>
      <c r="AM2039">
        <v>89.977948656711007</v>
      </c>
      <c r="AN2039">
        <v>0.99999999083400204</v>
      </c>
    </row>
    <row r="2040" spans="1:40" x14ac:dyDescent="0.3">
      <c r="A2040" t="str">
        <f>"20200111150839526"</f>
        <v>20200111150839526</v>
      </c>
      <c r="B2040" t="str">
        <f>"1578726519515045"</f>
        <v>1578726519515045</v>
      </c>
      <c r="C2040" t="s">
        <v>40</v>
      </c>
      <c r="D2040">
        <v>5.3997000000000002</v>
      </c>
      <c r="E2040">
        <v>0.51470109999999902</v>
      </c>
      <c r="F2040" t="s">
        <v>41</v>
      </c>
      <c r="G2040">
        <v>-288.0172</v>
      </c>
      <c r="H2040">
        <v>0.87098469999999995</v>
      </c>
      <c r="I2040">
        <v>142.536</v>
      </c>
      <c r="J2040">
        <v>-287.48790000000002</v>
      </c>
      <c r="K2040">
        <v>1.1098030000000001</v>
      </c>
      <c r="L2040">
        <v>142.5042</v>
      </c>
      <c r="M2040">
        <v>-0.99995389999999995</v>
      </c>
      <c r="N2040">
        <v>0</v>
      </c>
      <c r="O2040">
        <v>1.0504329999999999E-3</v>
      </c>
      <c r="P2040">
        <v>-0.98942169999999896</v>
      </c>
      <c r="Q2040">
        <v>0.14506459999999999</v>
      </c>
      <c r="R2040">
        <v>1.106466E-3</v>
      </c>
      <c r="S2040">
        <v>-3.154083</v>
      </c>
      <c r="T2040">
        <v>-0.83642399999999995</v>
      </c>
      <c r="U2040">
        <v>0.1113434</v>
      </c>
      <c r="V2040" s="1">
        <v>-1.35219899999999E-5</v>
      </c>
      <c r="W2040">
        <v>0.154516299999999</v>
      </c>
      <c r="X2040">
        <v>0.98799029999999999</v>
      </c>
      <c r="Y2040">
        <v>3.312234E-2</v>
      </c>
      <c r="Z2040">
        <v>4.042169E-3</v>
      </c>
      <c r="AA2040">
        <v>0.99944310000000003</v>
      </c>
      <c r="AB2040">
        <v>38</v>
      </c>
      <c r="AC2040">
        <v>-0.52929999999997701</v>
      </c>
      <c r="AD2040">
        <v>-0.23881830000000001</v>
      </c>
      <c r="AE2040">
        <v>3.1800000000003999E-2</v>
      </c>
      <c r="AF2040">
        <v>2.5975029719888201E-2</v>
      </c>
      <c r="AG2040">
        <v>-0.23881830000000001</v>
      </c>
      <c r="AH2040">
        <v>0.44006720191116599</v>
      </c>
      <c r="AI2040">
        <v>118.446314006157</v>
      </c>
      <c r="AJ2040">
        <v>86.622027672588501</v>
      </c>
      <c r="AK2040">
        <v>0.50136615839300702</v>
      </c>
      <c r="AL2040">
        <v>81.111256212517404</v>
      </c>
      <c r="AM2040">
        <v>90.000784170611297</v>
      </c>
      <c r="AN2040">
        <v>1.0000000600213099</v>
      </c>
    </row>
    <row r="2041" spans="1:40" x14ac:dyDescent="0.3">
      <c r="A2041" t="str">
        <f>"20200111150839547"</f>
        <v>20200111150839547</v>
      </c>
      <c r="B2041" t="str">
        <f>"1578726519545302"</f>
        <v>1578726519545302</v>
      </c>
      <c r="C2041" t="s">
        <v>40</v>
      </c>
      <c r="D2041">
        <v>5.3896480000000002</v>
      </c>
      <c r="E2041">
        <v>0.51478159999999995</v>
      </c>
      <c r="F2041" t="s">
        <v>41</v>
      </c>
      <c r="G2041">
        <v>-288.36329999999998</v>
      </c>
      <c r="H2041">
        <v>0.87979959999999902</v>
      </c>
      <c r="I2041">
        <v>142.53399999999999</v>
      </c>
      <c r="J2041">
        <v>-287.84469999999999</v>
      </c>
      <c r="K2041">
        <v>1.109785</v>
      </c>
      <c r="L2041">
        <v>142.5044</v>
      </c>
      <c r="M2041">
        <v>-0.99995520000000004</v>
      </c>
      <c r="N2041">
        <v>0</v>
      </c>
      <c r="O2041">
        <v>8.2776899999999903E-4</v>
      </c>
      <c r="P2041">
        <v>-0.98941730000000006</v>
      </c>
      <c r="Q2041">
        <v>0.14508950000000001</v>
      </c>
      <c r="R2041">
        <v>1.563507E-3</v>
      </c>
      <c r="S2041">
        <v>-3.1534420000000001</v>
      </c>
      <c r="T2041">
        <v>-0.82856390000000002</v>
      </c>
      <c r="U2041">
        <v>0.10748290000000001</v>
      </c>
      <c r="V2041">
        <v>6.6295669999999896E-4</v>
      </c>
      <c r="W2041">
        <v>0.154415</v>
      </c>
      <c r="X2041">
        <v>0.98800589999999999</v>
      </c>
      <c r="Y2041">
        <v>3.2174429999999997E-2</v>
      </c>
      <c r="Z2041">
        <v>3.9413989999999999E-3</v>
      </c>
      <c r="AA2041">
        <v>0.99947450000000004</v>
      </c>
      <c r="AB2041">
        <v>38</v>
      </c>
      <c r="AC2041">
        <v>-0.51859999999999196</v>
      </c>
      <c r="AD2041">
        <v>-0.22998540000000001</v>
      </c>
      <c r="AE2041">
        <v>2.9599999999987799E-2</v>
      </c>
      <c r="AF2041">
        <v>2.4389592974537799E-2</v>
      </c>
      <c r="AG2041">
        <v>-0.22998540000000001</v>
      </c>
      <c r="AH2041">
        <v>0.43362142967499501</v>
      </c>
      <c r="AI2041">
        <v>117.903275124655</v>
      </c>
      <c r="AJ2041">
        <v>86.780717488637904</v>
      </c>
      <c r="AK2041">
        <v>0.49144244905381301</v>
      </c>
      <c r="AL2041">
        <v>81.117130646509096</v>
      </c>
      <c r="AM2041">
        <v>89.961554262774001</v>
      </c>
      <c r="AN2041">
        <v>1.0000000450856901</v>
      </c>
    </row>
    <row r="2042" spans="1:40" x14ac:dyDescent="0.3">
      <c r="A2042" t="str">
        <f>"20200111150839562"</f>
        <v>20200111150839562</v>
      </c>
      <c r="B2042" t="str">
        <f>"1578726519555061"</f>
        <v>1578726519555061</v>
      </c>
      <c r="C2042" t="s">
        <v>40</v>
      </c>
      <c r="D2042">
        <v>5.3916279999999999</v>
      </c>
      <c r="E2042">
        <v>0.51485959999999997</v>
      </c>
      <c r="F2042" t="s">
        <v>41</v>
      </c>
      <c r="G2042">
        <v>-288.70780000000002</v>
      </c>
      <c r="H2042">
        <v>0.88392709999999997</v>
      </c>
      <c r="I2042">
        <v>142.5341</v>
      </c>
      <c r="J2042">
        <v>-288.11009999999999</v>
      </c>
      <c r="K2042">
        <v>1.1097680000000001</v>
      </c>
      <c r="L2042">
        <v>142.50450000000001</v>
      </c>
      <c r="M2042">
        <v>-0.99995619999999996</v>
      </c>
      <c r="N2042">
        <v>0</v>
      </c>
      <c r="O2042">
        <v>6.6221509999999999E-4</v>
      </c>
      <c r="P2042">
        <v>-0.98943979999999998</v>
      </c>
      <c r="Q2042">
        <v>0.14493529999999999</v>
      </c>
      <c r="R2042">
        <v>1.7106329999999901E-3</v>
      </c>
      <c r="S2042">
        <v>-3.1529240000000001</v>
      </c>
      <c r="T2042">
        <v>-0.82509429999999995</v>
      </c>
      <c r="U2042">
        <v>0.1073303</v>
      </c>
      <c r="V2042">
        <v>9.7344710000000004E-4</v>
      </c>
      <c r="W2042">
        <v>0.15416949999999999</v>
      </c>
      <c r="X2042">
        <v>0.98804389999999997</v>
      </c>
      <c r="Y2042">
        <v>3.229593E-2</v>
      </c>
      <c r="Z2042">
        <v>3.9842870000000004E-3</v>
      </c>
      <c r="AA2042">
        <v>0.99947039999999998</v>
      </c>
      <c r="AB2042">
        <v>38</v>
      </c>
      <c r="AC2042">
        <v>-0.59770000000003098</v>
      </c>
      <c r="AD2042">
        <v>-0.22584090000000001</v>
      </c>
      <c r="AE2042">
        <v>2.9599999999987799E-2</v>
      </c>
      <c r="AF2042">
        <v>2.55633985752503E-2</v>
      </c>
      <c r="AG2042">
        <v>-0.22584090000000001</v>
      </c>
      <c r="AH2042">
        <v>0.52320408108854399</v>
      </c>
      <c r="AI2042">
        <v>113.322585627509</v>
      </c>
      <c r="AJ2042">
        <v>87.202791299266195</v>
      </c>
      <c r="AK2042">
        <v>0.570438524231345</v>
      </c>
      <c r="AL2042">
        <v>81.131366526316597</v>
      </c>
      <c r="AM2042">
        <v>89.943550694090504</v>
      </c>
      <c r="AN2042">
        <v>0.999999965328357</v>
      </c>
    </row>
    <row r="2043" spans="1:40" x14ac:dyDescent="0.3">
      <c r="A2043" t="str">
        <f>"20200111150839581"</f>
        <v>20200111150839581</v>
      </c>
      <c r="B2043" t="str">
        <f>"1578726519575557"</f>
        <v>1578726519575557</v>
      </c>
      <c r="C2043" t="s">
        <v>40</v>
      </c>
      <c r="D2043">
        <v>5.4010829999999999</v>
      </c>
      <c r="E2043">
        <v>0.51472399999999996</v>
      </c>
      <c r="F2043" t="s">
        <v>41</v>
      </c>
      <c r="G2043">
        <v>-289.04349999999999</v>
      </c>
      <c r="H2043">
        <v>0.86631369999999897</v>
      </c>
      <c r="I2043">
        <v>142.5367</v>
      </c>
      <c r="J2043">
        <v>-288.42439999999999</v>
      </c>
      <c r="K2043">
        <v>1.1097570000000001</v>
      </c>
      <c r="L2043">
        <v>142.50450000000001</v>
      </c>
      <c r="M2043">
        <v>-0.9999574</v>
      </c>
      <c r="N2043">
        <v>0</v>
      </c>
      <c r="O2043">
        <v>4.6619339999999997E-4</v>
      </c>
      <c r="P2043">
        <v>-0.98943840000000005</v>
      </c>
      <c r="Q2043">
        <v>0.14494499999999999</v>
      </c>
      <c r="R2043">
        <v>1.6584480000000001E-3</v>
      </c>
      <c r="S2043">
        <v>-3.1522830000000002</v>
      </c>
      <c r="T2043">
        <v>-0.82221330000000004</v>
      </c>
      <c r="U2043">
        <v>0.1084442</v>
      </c>
      <c r="V2043">
        <v>1.1144950000000001E-3</v>
      </c>
      <c r="W2043">
        <v>0.1540763</v>
      </c>
      <c r="X2043">
        <v>0.98805829999999994</v>
      </c>
      <c r="Y2043">
        <v>3.2833870000000001E-2</v>
      </c>
      <c r="Z2043">
        <v>4.0908400000000001E-3</v>
      </c>
      <c r="AA2043">
        <v>0.99945249999999997</v>
      </c>
      <c r="AB2043">
        <v>38</v>
      </c>
      <c r="AC2043">
        <v>-0.61910000000000298</v>
      </c>
      <c r="AD2043">
        <v>-0.2434433</v>
      </c>
      <c r="AE2043">
        <v>3.2199999999988897E-2</v>
      </c>
      <c r="AF2043">
        <v>2.76478969175513E-2</v>
      </c>
      <c r="AG2043">
        <v>-0.2434433</v>
      </c>
      <c r="AH2043">
        <v>0.536399077955792</v>
      </c>
      <c r="AI2043">
        <v>114.382204602991</v>
      </c>
      <c r="AJ2043">
        <v>87.0493849607399</v>
      </c>
      <c r="AK2043">
        <v>0.58970587359350302</v>
      </c>
      <c r="AL2043">
        <v>81.136771165999406</v>
      </c>
      <c r="AM2043">
        <v>89.935372403928895</v>
      </c>
      <c r="AN2043">
        <v>0.99999997625984205</v>
      </c>
    </row>
    <row r="2044" spans="1:40" x14ac:dyDescent="0.3">
      <c r="A2044" t="str">
        <f>"20200111150839604"</f>
        <v>20200111150839604</v>
      </c>
      <c r="B2044" t="str">
        <f>"1578726519595077"</f>
        <v>1578726519595077</v>
      </c>
      <c r="C2044" t="s">
        <v>40</v>
      </c>
      <c r="D2044">
        <v>5.524076</v>
      </c>
      <c r="E2044">
        <v>0.51488259999999997</v>
      </c>
      <c r="F2044" t="s">
        <v>41</v>
      </c>
      <c r="G2044">
        <v>-289.3852</v>
      </c>
      <c r="H2044">
        <v>0.86081890000000005</v>
      </c>
      <c r="I2044">
        <v>142.53809999999999</v>
      </c>
      <c r="J2044">
        <v>-288.82889999999998</v>
      </c>
      <c r="K2044">
        <v>1.1097459999999999</v>
      </c>
      <c r="L2044">
        <v>142.50450000000001</v>
      </c>
      <c r="M2044">
        <v>-0.99995849999999997</v>
      </c>
      <c r="N2044">
        <v>0</v>
      </c>
      <c r="O2044">
        <v>2.1437299999999999E-4</v>
      </c>
      <c r="P2044">
        <v>-0.989479</v>
      </c>
      <c r="Q2044">
        <v>0.14466709999999999</v>
      </c>
      <c r="R2044">
        <v>1.663545E-3</v>
      </c>
      <c r="S2044">
        <v>-3.151459</v>
      </c>
      <c r="T2044">
        <v>-0.81659630000000005</v>
      </c>
      <c r="U2044">
        <v>0.10943600000000001</v>
      </c>
      <c r="V2044">
        <v>1.3679670000000001E-3</v>
      </c>
      <c r="W2044">
        <v>0.15368280000000001</v>
      </c>
      <c r="X2044">
        <v>0.98811930000000003</v>
      </c>
      <c r="Y2044">
        <v>3.339582E-2</v>
      </c>
      <c r="Z2044">
        <v>4.200573E-3</v>
      </c>
      <c r="AA2044">
        <v>0.99943340000000003</v>
      </c>
      <c r="AB2044">
        <v>38</v>
      </c>
      <c r="AC2044">
        <v>-0.556300000000021</v>
      </c>
      <c r="AD2044">
        <v>-0.24892709999999901</v>
      </c>
      <c r="AE2044">
        <v>3.3599999999978501E-2</v>
      </c>
      <c r="AF2044">
        <v>2.7912225325637301E-2</v>
      </c>
      <c r="AG2044">
        <v>-0.24892709999999901</v>
      </c>
      <c r="AH2044">
        <v>0.46378223145561098</v>
      </c>
      <c r="AI2044">
        <v>118.18077238151101</v>
      </c>
      <c r="AJ2044">
        <v>86.555870623126495</v>
      </c>
      <c r="AK2044">
        <v>0.52710316983583505</v>
      </c>
      <c r="AL2044">
        <v>81.159589147709994</v>
      </c>
      <c r="AM2044">
        <v>89.920678924559397</v>
      </c>
      <c r="AN2044">
        <v>1.00000001269102</v>
      </c>
    </row>
    <row r="2045" spans="1:40" x14ac:dyDescent="0.3">
      <c r="A2045" t="str">
        <f>"20200111150839626"</f>
        <v>20200111150839626</v>
      </c>
      <c r="B2045" t="str">
        <f>"1578726519615573"</f>
        <v>1578726519615573</v>
      </c>
      <c r="C2045" t="s">
        <v>40</v>
      </c>
      <c r="D2045">
        <v>5.3943699999999897</v>
      </c>
      <c r="E2045">
        <v>0.51084839999999998</v>
      </c>
      <c r="F2045" t="s">
        <v>41</v>
      </c>
      <c r="G2045">
        <v>-289.73559999999998</v>
      </c>
      <c r="H2045">
        <v>0.87473639999999997</v>
      </c>
      <c r="I2045">
        <v>142.53649999999999</v>
      </c>
      <c r="J2045">
        <v>-289.19439999999997</v>
      </c>
      <c r="K2045">
        <v>1.1097429999999999</v>
      </c>
      <c r="L2045">
        <v>142.5044</v>
      </c>
      <c r="M2045">
        <v>-0.99995919999999905</v>
      </c>
      <c r="N2045">
        <v>0</v>
      </c>
      <c r="O2045" s="1">
        <v>-1.2447479999999999E-5</v>
      </c>
      <c r="P2045">
        <v>-0.98950669999999996</v>
      </c>
      <c r="Q2045">
        <v>0.14447869999999999</v>
      </c>
      <c r="R2045">
        <v>1.4667289999999999E-3</v>
      </c>
      <c r="S2045">
        <v>-3.1511230000000001</v>
      </c>
      <c r="T2045">
        <v>-0.81681440000000005</v>
      </c>
      <c r="U2045">
        <v>0.11087039999999999</v>
      </c>
      <c r="V2045">
        <v>1.3950589999999999E-3</v>
      </c>
      <c r="W2045">
        <v>0.15341050000000001</v>
      </c>
      <c r="X2045">
        <v>0.98816159999999997</v>
      </c>
      <c r="Y2045">
        <v>3.4050669999999998E-2</v>
      </c>
      <c r="Z2045">
        <v>4.3433539999999998E-3</v>
      </c>
      <c r="AA2045">
        <v>0.99941069999999999</v>
      </c>
      <c r="AB2045">
        <v>38</v>
      </c>
      <c r="AC2045">
        <v>-0.54120000000000301</v>
      </c>
      <c r="AD2045">
        <v>-0.23500659999999901</v>
      </c>
      <c r="AE2045">
        <v>3.2099999999985501E-2</v>
      </c>
      <c r="AF2045">
        <v>2.7028220705311301E-2</v>
      </c>
      <c r="AG2045">
        <v>-0.23500659999999901</v>
      </c>
      <c r="AH2045">
        <v>0.45559479661976299</v>
      </c>
      <c r="AI2045">
        <v>117.244771568868</v>
      </c>
      <c r="AJ2045">
        <v>86.604899665312303</v>
      </c>
      <c r="AK2045">
        <v>0.51334710037659603</v>
      </c>
      <c r="AL2045">
        <v>81.175378244791105</v>
      </c>
      <c r="AM2045">
        <v>89.919111469451593</v>
      </c>
      <c r="AN2045">
        <v>1.00000003770721</v>
      </c>
    </row>
    <row r="2046" spans="1:40" x14ac:dyDescent="0.3">
      <c r="A2046" t="str">
        <f>"20200111150839642"</f>
        <v>20200111150839642</v>
      </c>
      <c r="B2046" t="str">
        <f>"1578726519635094"</f>
        <v>1578726519635094</v>
      </c>
      <c r="C2046" t="s">
        <v>40</v>
      </c>
      <c r="D2046">
        <v>5.4540899999999999</v>
      </c>
      <c r="E2046">
        <v>0.514405</v>
      </c>
      <c r="F2046" t="s">
        <v>41</v>
      </c>
      <c r="G2046">
        <v>-290.1164</v>
      </c>
      <c r="H2046">
        <v>0.95449519999999999</v>
      </c>
      <c r="I2046">
        <v>142.5284</v>
      </c>
      <c r="J2046">
        <v>-289.47949999999997</v>
      </c>
      <c r="K2046">
        <v>1.1097429999999999</v>
      </c>
      <c r="L2046">
        <v>142.5042</v>
      </c>
      <c r="M2046">
        <v>-0.99995970000000001</v>
      </c>
      <c r="N2046">
        <v>0</v>
      </c>
      <c r="O2046">
        <v>-1.8960219999999999E-4</v>
      </c>
      <c r="P2046">
        <v>-0.98953089999999999</v>
      </c>
      <c r="Q2046">
        <v>0.14431830000000001</v>
      </c>
      <c r="R2046">
        <v>9.5718400000000003E-4</v>
      </c>
      <c r="S2046">
        <v>-3.1080930000000002</v>
      </c>
      <c r="T2046">
        <v>-0.52341779999999904</v>
      </c>
      <c r="U2046">
        <v>8.0322270000000001E-2</v>
      </c>
      <c r="V2046">
        <v>1.060358E-3</v>
      </c>
      <c r="W2046">
        <v>0.15319940000000001</v>
      </c>
      <c r="X2046">
        <v>0.98819469999999998</v>
      </c>
      <c r="Y2046">
        <v>2.566011E-2</v>
      </c>
      <c r="Z2046">
        <v>2.1768899999999999E-3</v>
      </c>
      <c r="AA2046">
        <v>0.99966840000000001</v>
      </c>
      <c r="AB2046">
        <v>39</v>
      </c>
      <c r="AC2046">
        <v>-0.636900000000025</v>
      </c>
      <c r="AD2046">
        <v>-0.15524779999999999</v>
      </c>
      <c r="AE2046">
        <v>2.42000000000075E-2</v>
      </c>
      <c r="AF2046">
        <v>2.29586045164086E-2</v>
      </c>
      <c r="AG2046">
        <v>-0.15524779999999999</v>
      </c>
      <c r="AH2046">
        <v>0.60122415425295594</v>
      </c>
      <c r="AI2046">
        <v>104.468517106581</v>
      </c>
      <c r="AJ2046">
        <v>87.8131412334793</v>
      </c>
      <c r="AK2046">
        <v>0.62136902126141003</v>
      </c>
      <c r="AL2046">
        <v>81.187617494864796</v>
      </c>
      <c r="AM2046">
        <v>89.938520197633196</v>
      </c>
      <c r="AN2046">
        <v>0.99999997281376796</v>
      </c>
    </row>
    <row r="2047" spans="1:40" x14ac:dyDescent="0.3">
      <c r="A2047" t="str">
        <f>"20200111150839659"</f>
        <v>20200111150839659</v>
      </c>
      <c r="B2047" t="str">
        <f>"1578726519655589"</f>
        <v>1578726519655589</v>
      </c>
      <c r="C2047" t="s">
        <v>40</v>
      </c>
      <c r="D2047">
        <v>5.4035589999999996</v>
      </c>
      <c r="E2047">
        <v>0.51328490000000004</v>
      </c>
      <c r="F2047" t="s">
        <v>41</v>
      </c>
      <c r="G2047">
        <v>-290.42570000000001</v>
      </c>
      <c r="H2047">
        <v>0.87366010000000005</v>
      </c>
      <c r="I2047">
        <v>142.53579999999999</v>
      </c>
      <c r="J2047">
        <v>-289.76819999999998</v>
      </c>
      <c r="K2047">
        <v>1.109745</v>
      </c>
      <c r="L2047">
        <v>142.50409999999999</v>
      </c>
      <c r="M2047">
        <v>-0.99995990000000001</v>
      </c>
      <c r="N2047">
        <v>0</v>
      </c>
      <c r="O2047">
        <v>-3.6851130000000002E-4</v>
      </c>
      <c r="P2047">
        <v>-0.98938579999999998</v>
      </c>
      <c r="Q2047">
        <v>0.14531089999999999</v>
      </c>
      <c r="R2047">
        <v>-5.1758350000000002E-4</v>
      </c>
      <c r="S2047">
        <v>-3.146118</v>
      </c>
      <c r="T2047">
        <v>-0.78496969999999899</v>
      </c>
      <c r="U2047">
        <v>0.1042786</v>
      </c>
      <c r="V2047">
        <v>-2.3822289999999999E-4</v>
      </c>
      <c r="W2047">
        <v>0.1541573</v>
      </c>
      <c r="X2047">
        <v>0.98804630000000004</v>
      </c>
      <c r="Y2047">
        <v>3.2489079999999997E-2</v>
      </c>
      <c r="Z2047">
        <v>4.0813809999999898E-3</v>
      </c>
      <c r="AA2047">
        <v>0.99946369999999896</v>
      </c>
      <c r="AB2047">
        <v>39</v>
      </c>
      <c r="AC2047">
        <v>-0.65750000000002695</v>
      </c>
      <c r="AD2047">
        <v>-0.23608489999999999</v>
      </c>
      <c r="AE2047">
        <v>3.17000000000007E-2</v>
      </c>
      <c r="AF2047">
        <v>2.8301880628238199E-2</v>
      </c>
      <c r="AG2047">
        <v>-0.23608489999999999</v>
      </c>
      <c r="AH2047">
        <v>0.58255518380942395</v>
      </c>
      <c r="AI2047">
        <v>112.037125899709</v>
      </c>
      <c r="AJ2047">
        <v>87.218625138367599</v>
      </c>
      <c r="AK2047">
        <v>0.62921190281044104</v>
      </c>
      <c r="AL2047">
        <v>81.1320743954291</v>
      </c>
      <c r="AM2047">
        <v>90.013814298468404</v>
      </c>
      <c r="AN2047">
        <v>1.00000001041856</v>
      </c>
    </row>
    <row r="2048" spans="1:40" x14ac:dyDescent="0.3">
      <c r="A2048" t="str">
        <f>"20200111150839683"</f>
        <v>20200111150839683</v>
      </c>
      <c r="B2048" t="str">
        <f>"1578726519675110"</f>
        <v>1578726519675110</v>
      </c>
      <c r="C2048" t="s">
        <v>40</v>
      </c>
      <c r="D2048">
        <v>5.4127660000000004</v>
      </c>
      <c r="E2048">
        <v>0.51328430000000003</v>
      </c>
      <c r="F2048" t="s">
        <v>41</v>
      </c>
      <c r="G2048">
        <v>-290.4554</v>
      </c>
      <c r="H2048">
        <v>0.94031169999999997</v>
      </c>
      <c r="I2048">
        <v>142.524</v>
      </c>
      <c r="J2048">
        <v>-290.17869999999999</v>
      </c>
      <c r="K2048">
        <v>1.1097600000000001</v>
      </c>
      <c r="L2048">
        <v>142.50370000000001</v>
      </c>
      <c r="M2048">
        <v>-0.99995990000000001</v>
      </c>
      <c r="N2048">
        <v>0</v>
      </c>
      <c r="O2048">
        <v>-6.2277830000000004E-4</v>
      </c>
      <c r="P2048">
        <v>-0.98931219999999997</v>
      </c>
      <c r="Q2048">
        <v>0.14579690000000001</v>
      </c>
      <c r="R2048">
        <v>-2.2101579999999998E-3</v>
      </c>
      <c r="S2048">
        <v>-3.1461489999999999</v>
      </c>
      <c r="T2048">
        <v>-0.77573619999999899</v>
      </c>
      <c r="U2048">
        <v>9.0652469999999999E-2</v>
      </c>
      <c r="V2048">
        <v>-1.680717E-3</v>
      </c>
      <c r="W2048">
        <v>0.15463689999999999</v>
      </c>
      <c r="X2048">
        <v>0.98796989999999996</v>
      </c>
      <c r="Y2048">
        <v>2.855135E-2</v>
      </c>
      <c r="Z2048">
        <v>3.6185570000000001E-3</v>
      </c>
      <c r="AA2048">
        <v>0.99958570000000002</v>
      </c>
      <c r="AB2048">
        <v>39</v>
      </c>
      <c r="AC2048">
        <v>-0.276700000000005</v>
      </c>
      <c r="AD2048">
        <v>-0.1694483</v>
      </c>
      <c r="AE2048">
        <v>2.02999999999917E-2</v>
      </c>
      <c r="AF2048">
        <v>1.4910502981403499E-2</v>
      </c>
      <c r="AG2048">
        <v>-0.1694483</v>
      </c>
      <c r="AH2048">
        <v>0.20151823120097201</v>
      </c>
      <c r="AI2048">
        <v>129.98205728787801</v>
      </c>
      <c r="AJ2048">
        <v>85.768348229167898</v>
      </c>
      <c r="AK2048">
        <v>0.26371319075544303</v>
      </c>
      <c r="AL2048">
        <v>81.104261378850694</v>
      </c>
      <c r="AM2048">
        <v>90.097470477349404</v>
      </c>
      <c r="AN2048">
        <v>0.99999995947862597</v>
      </c>
    </row>
    <row r="2049" spans="1:40" x14ac:dyDescent="0.3">
      <c r="A2049" t="str">
        <f>"20200111150839705"</f>
        <v>20200111150839705</v>
      </c>
      <c r="B2049" t="str">
        <f>"1578726519695605"</f>
        <v>1578726519695605</v>
      </c>
      <c r="C2049" t="s">
        <v>40</v>
      </c>
      <c r="D2049">
        <v>5.440518</v>
      </c>
      <c r="E2049">
        <v>0.51322789999999996</v>
      </c>
      <c r="F2049" t="s">
        <v>41</v>
      </c>
      <c r="G2049">
        <v>-291.12009999999998</v>
      </c>
      <c r="H2049">
        <v>0.87743139999999997</v>
      </c>
      <c r="I2049">
        <v>142.52940000000001</v>
      </c>
      <c r="J2049">
        <v>-290.56099999999998</v>
      </c>
      <c r="K2049">
        <v>1.109785</v>
      </c>
      <c r="L2049">
        <v>142.5033</v>
      </c>
      <c r="M2049">
        <v>-0.9999593</v>
      </c>
      <c r="N2049">
        <v>0</v>
      </c>
      <c r="O2049">
        <v>-8.5911199999999998E-4</v>
      </c>
      <c r="P2049">
        <v>-0.9892185</v>
      </c>
      <c r="Q2049">
        <v>0.14640699999999901</v>
      </c>
      <c r="R2049">
        <v>-3.3710900000000002E-3</v>
      </c>
      <c r="S2049">
        <v>-3.1470340000000001</v>
      </c>
      <c r="T2049">
        <v>-0.77667149999999996</v>
      </c>
      <c r="U2049">
        <v>8.5433960000000003E-2</v>
      </c>
      <c r="V2049">
        <v>-2.6094600000000001E-3</v>
      </c>
      <c r="W2049">
        <v>0.15527939999999901</v>
      </c>
      <c r="X2049">
        <v>0.9878671</v>
      </c>
      <c r="Y2049">
        <v>2.7156320000000001E-2</v>
      </c>
      <c r="Z2049">
        <v>3.5097710000000001E-3</v>
      </c>
      <c r="AA2049">
        <v>0.99962499999999999</v>
      </c>
      <c r="AB2049">
        <v>39</v>
      </c>
      <c r="AC2049">
        <v>-0.55910000000000004</v>
      </c>
      <c r="AD2049">
        <v>-0.23235359999999899</v>
      </c>
      <c r="AE2049">
        <v>2.6100000000013699E-2</v>
      </c>
      <c r="AF2049">
        <v>2.2672982362130199E-2</v>
      </c>
      <c r="AG2049">
        <v>-0.23235359999999899</v>
      </c>
      <c r="AH2049">
        <v>0.47689200742222798</v>
      </c>
      <c r="AI2049">
        <v>115.951031285575</v>
      </c>
      <c r="AJ2049">
        <v>87.278023706478507</v>
      </c>
      <c r="AK2049">
        <v>0.53096915758389995</v>
      </c>
      <c r="AL2049">
        <v>81.066998697633807</v>
      </c>
      <c r="AM2049">
        <v>90.151346974778605</v>
      </c>
      <c r="AN2049">
        <v>0.99999995430412902</v>
      </c>
    </row>
    <row r="2050" spans="1:40" x14ac:dyDescent="0.3">
      <c r="A2050" t="str">
        <f>"20200111150839726"</f>
        <v>20200111150839726</v>
      </c>
      <c r="B2050" t="str">
        <f>"1578726519715129"</f>
        <v>1578726519715129</v>
      </c>
      <c r="C2050" t="s">
        <v>40</v>
      </c>
      <c r="D2050">
        <v>5.2121649999999997</v>
      </c>
      <c r="E2050">
        <v>0.51320169999999998</v>
      </c>
      <c r="F2050" t="s">
        <v>41</v>
      </c>
      <c r="G2050">
        <v>-291.47089999999997</v>
      </c>
      <c r="H2050">
        <v>0.88644369999999995</v>
      </c>
      <c r="I2050">
        <v>142.5266</v>
      </c>
      <c r="J2050">
        <v>-290.93189999999998</v>
      </c>
      <c r="K2050">
        <v>1.109809</v>
      </c>
      <c r="L2050">
        <v>142.5027</v>
      </c>
      <c r="M2050">
        <v>-0.99995880000000004</v>
      </c>
      <c r="N2050">
        <v>0</v>
      </c>
      <c r="O2050">
        <v>-1.088276E-3</v>
      </c>
      <c r="P2050">
        <v>-0.98904780000000003</v>
      </c>
      <c r="Q2050">
        <v>0.1475272</v>
      </c>
      <c r="R2050">
        <v>-4.5253519999999998E-3</v>
      </c>
      <c r="S2050">
        <v>-3.1473390000000001</v>
      </c>
      <c r="T2050">
        <v>-0.77254400000000001</v>
      </c>
      <c r="U2050">
        <v>8.0444340000000003E-2</v>
      </c>
      <c r="V2050">
        <v>-3.5377099999999999E-3</v>
      </c>
      <c r="W2050">
        <v>0.1564527</v>
      </c>
      <c r="X2050">
        <v>0.98767910000000003</v>
      </c>
      <c r="Y2050">
        <v>2.5840229999999999E-2</v>
      </c>
      <c r="Z2050">
        <v>3.3876850000000001E-3</v>
      </c>
      <c r="AA2050">
        <v>0.9996604</v>
      </c>
      <c r="AB2050">
        <v>39</v>
      </c>
      <c r="AC2050">
        <v>-0.53899999999998705</v>
      </c>
      <c r="AD2050">
        <v>-0.22336529999999999</v>
      </c>
      <c r="AE2050">
        <v>2.38999999999975E-2</v>
      </c>
      <c r="AF2050">
        <v>2.0903767148646699E-2</v>
      </c>
      <c r="AG2050">
        <v>-0.22336529999999999</v>
      </c>
      <c r="AH2050">
        <v>0.46011224501001202</v>
      </c>
      <c r="AI2050">
        <v>115.871439332276</v>
      </c>
      <c r="AJ2050">
        <v>87.398733402348697</v>
      </c>
      <c r="AK2050">
        <v>0.51189090901602097</v>
      </c>
      <c r="AL2050">
        <v>80.998942040464897</v>
      </c>
      <c r="AM2050">
        <v>90.205223523827797</v>
      </c>
      <c r="AN2050">
        <v>0.99999998365307097</v>
      </c>
    </row>
    <row r="2051" spans="1:40" x14ac:dyDescent="0.3">
      <c r="A2051" t="str">
        <f>"20200111150839742"</f>
        <v>20200111150839742</v>
      </c>
      <c r="B2051" t="str">
        <f>"1578726519735622"</f>
        <v>1578726519735622</v>
      </c>
      <c r="C2051" t="s">
        <v>40</v>
      </c>
      <c r="D2051">
        <v>5.4918809999999896</v>
      </c>
      <c r="E2051">
        <v>0.51344670000000003</v>
      </c>
      <c r="F2051" t="s">
        <v>41</v>
      </c>
      <c r="G2051">
        <v>-291.82080000000002</v>
      </c>
      <c r="H2051">
        <v>0.89265969999999994</v>
      </c>
      <c r="I2051">
        <v>142.52459999999999</v>
      </c>
      <c r="J2051">
        <v>-291.20350000000002</v>
      </c>
      <c r="K2051">
        <v>1.109828</v>
      </c>
      <c r="L2051">
        <v>142.50229999999999</v>
      </c>
      <c r="M2051">
        <v>-0.99995800000000001</v>
      </c>
      <c r="N2051">
        <v>0</v>
      </c>
      <c r="O2051">
        <v>-1.2561269999999999E-3</v>
      </c>
      <c r="P2051">
        <v>-0.98904099999999995</v>
      </c>
      <c r="Q2051">
        <v>0.14755090000000001</v>
      </c>
      <c r="R2051">
        <v>-5.1534969999999999E-3</v>
      </c>
      <c r="S2051">
        <v>-3.1483150000000002</v>
      </c>
      <c r="T2051">
        <v>-0.76914859999999996</v>
      </c>
      <c r="U2051">
        <v>7.7346799999999993E-2</v>
      </c>
      <c r="V2051">
        <v>-4.0006199999999999E-3</v>
      </c>
      <c r="W2051">
        <v>0.15652389999999999</v>
      </c>
      <c r="X2051">
        <v>0.98766609999999999</v>
      </c>
      <c r="Y2051">
        <v>2.5043039999999999E-2</v>
      </c>
      <c r="Z2051">
        <v>3.3167019999999999E-3</v>
      </c>
      <c r="AA2051">
        <v>0.99968089999999998</v>
      </c>
      <c r="AB2051">
        <v>39</v>
      </c>
      <c r="AC2051">
        <v>-0.61729999999999996</v>
      </c>
      <c r="AD2051">
        <v>-0.21716830000000001</v>
      </c>
      <c r="AE2051">
        <v>2.2300000000001301E-2</v>
      </c>
      <c r="AF2051">
        <v>2.05369626943274E-2</v>
      </c>
      <c r="AG2051">
        <v>-0.21716830000000001</v>
      </c>
      <c r="AH2051">
        <v>0.54936728842395699</v>
      </c>
      <c r="AI2051">
        <v>111.555520708556</v>
      </c>
      <c r="AJ2051">
        <v>87.859112402121298</v>
      </c>
      <c r="AK2051">
        <v>0.59109073326511297</v>
      </c>
      <c r="AL2051">
        <v>80.994812121084607</v>
      </c>
      <c r="AM2051">
        <v>90.232079837342198</v>
      </c>
      <c r="AN2051">
        <v>1.0000000306604</v>
      </c>
    </row>
    <row r="2052" spans="1:40" x14ac:dyDescent="0.3">
      <c r="A2052" t="str">
        <f>"20200111150839759"</f>
        <v>20200111150839759</v>
      </c>
      <c r="B2052" t="str">
        <f>"1578726519755141"</f>
        <v>1578726519755141</v>
      </c>
      <c r="C2052" t="s">
        <v>40</v>
      </c>
      <c r="D2052">
        <v>5.1686579999999998</v>
      </c>
      <c r="E2052">
        <v>0.47569270000000002</v>
      </c>
      <c r="F2052" t="s">
        <v>41</v>
      </c>
      <c r="G2052">
        <v>-292.16039999999998</v>
      </c>
      <c r="H2052">
        <v>0.874399699999999</v>
      </c>
      <c r="I2052">
        <v>142.52629999999999</v>
      </c>
      <c r="J2052">
        <v>-291.50639999999999</v>
      </c>
      <c r="K2052">
        <v>1.1098509999999999</v>
      </c>
      <c r="L2052">
        <v>142.5018</v>
      </c>
      <c r="M2052">
        <v>-0.99995719999999999</v>
      </c>
      <c r="N2052">
        <v>0</v>
      </c>
      <c r="O2052">
        <v>-1.4445339999999999E-3</v>
      </c>
      <c r="P2052">
        <v>-0.98881140000000001</v>
      </c>
      <c r="Q2052">
        <v>0.14906529999999901</v>
      </c>
      <c r="R2052">
        <v>-5.6013060000000003E-3</v>
      </c>
      <c r="S2052">
        <v>-3.1492309999999999</v>
      </c>
      <c r="T2052">
        <v>-0.77483550000000001</v>
      </c>
      <c r="U2052">
        <v>7.8033450000000004E-2</v>
      </c>
      <c r="V2052">
        <v>-4.2637459999999997E-3</v>
      </c>
      <c r="W2052">
        <v>0.15809329999999999</v>
      </c>
      <c r="X2052">
        <v>0.98741500000000004</v>
      </c>
      <c r="Y2052">
        <v>2.5414550000000001E-2</v>
      </c>
      <c r="Z2052">
        <v>3.430261E-3</v>
      </c>
      <c r="AA2052">
        <v>0.99967110000000003</v>
      </c>
      <c r="AB2052">
        <v>39</v>
      </c>
      <c r="AC2052">
        <v>-0.65399999999999603</v>
      </c>
      <c r="AD2052">
        <v>-0.2354513</v>
      </c>
      <c r="AE2052">
        <v>2.4499999999988999E-2</v>
      </c>
      <c r="AF2052">
        <v>2.2528816403550599E-2</v>
      </c>
      <c r="AG2052">
        <v>-0.2354513</v>
      </c>
      <c r="AH2052">
        <v>0.57902079997615996</v>
      </c>
      <c r="AI2052">
        <v>112.11336212323199</v>
      </c>
      <c r="AJ2052">
        <v>87.7718325183085</v>
      </c>
      <c r="AK2052">
        <v>0.62546778417858295</v>
      </c>
      <c r="AL2052">
        <v>80.903758416207694</v>
      </c>
      <c r="AM2052">
        <v>90.247406746270499</v>
      </c>
      <c r="AN2052">
        <v>1.00000002662992</v>
      </c>
    </row>
    <row r="2053" spans="1:40" x14ac:dyDescent="0.3">
      <c r="A2053" t="str">
        <f>"20200111150839782"</f>
        <v>20200111150839782</v>
      </c>
      <c r="B2053" t="str">
        <f>"1578726519775638"</f>
        <v>1578726519775638</v>
      </c>
      <c r="C2053" t="s">
        <v>40</v>
      </c>
      <c r="D2053">
        <v>5.4797089999999997</v>
      </c>
      <c r="E2053">
        <v>0.47569270000000002</v>
      </c>
      <c r="F2053" t="s">
        <v>49</v>
      </c>
      <c r="G2053">
        <v>0</v>
      </c>
      <c r="H2053">
        <v>0</v>
      </c>
      <c r="I2053">
        <v>0</v>
      </c>
      <c r="J2053">
        <v>-291.8999</v>
      </c>
      <c r="K2053">
        <v>1.1098779999999999</v>
      </c>
      <c r="L2053">
        <v>142.501</v>
      </c>
      <c r="M2053">
        <v>-0.99995599999999996</v>
      </c>
      <c r="N2053">
        <v>0</v>
      </c>
      <c r="O2053">
        <v>-1.696026E-3</v>
      </c>
      <c r="P2053">
        <v>-0.98872640000000001</v>
      </c>
      <c r="Q2053">
        <v>0.149633399999999</v>
      </c>
      <c r="R2053">
        <v>-5.4696010000000002E-3</v>
      </c>
      <c r="S2053">
        <v>-2.9561160000000002</v>
      </c>
      <c r="T2053">
        <v>0.50836040000000005</v>
      </c>
      <c r="U2053">
        <v>-0.21002199999999999</v>
      </c>
      <c r="V2053">
        <v>-3.8857280000000002E-3</v>
      </c>
      <c r="W2053">
        <v>0.158739299999999</v>
      </c>
      <c r="X2053">
        <v>0.98731290000000005</v>
      </c>
      <c r="Y2053">
        <v>-6.820466E-2</v>
      </c>
      <c r="Z2053">
        <v>5.5254550000000003E-3</v>
      </c>
      <c r="AA2053">
        <v>0.99765599999999999</v>
      </c>
      <c r="AB2053">
        <v>39</v>
      </c>
      <c r="AC2053">
        <v>-2.9561160000000002</v>
      </c>
      <c r="AD2053">
        <v>0.50836040000000005</v>
      </c>
      <c r="AE2053">
        <v>-0.21002199999999999</v>
      </c>
      <c r="AF2053">
        <v>-0.19914794219721799</v>
      </c>
      <c r="AG2053">
        <v>0.50836040000000005</v>
      </c>
      <c r="AH2053">
        <v>2.8719610244551301</v>
      </c>
      <c r="AI2053">
        <v>79.985713886758703</v>
      </c>
      <c r="AJ2053">
        <v>93.966662791343893</v>
      </c>
      <c r="AK2053">
        <v>2.9233970522593902</v>
      </c>
      <c r="AL2053">
        <v>80.866271857498205</v>
      </c>
      <c r="AM2053">
        <v>90.225495549836893</v>
      </c>
      <c r="AN2053">
        <v>1.0000000133764899</v>
      </c>
    </row>
    <row r="2054" spans="1:40" x14ac:dyDescent="0.3">
      <c r="A2054" t="str">
        <f>"20200111150839804"</f>
        <v>20200111150839804</v>
      </c>
      <c r="B2054" t="str">
        <f>"1578726519795160"</f>
        <v>1578726519795160</v>
      </c>
      <c r="C2054" t="s">
        <v>40</v>
      </c>
      <c r="D2054">
        <v>5.1522880000000004</v>
      </c>
      <c r="E2054">
        <v>0.47241270000000002</v>
      </c>
      <c r="F2054" t="s">
        <v>49</v>
      </c>
      <c r="G2054">
        <v>0</v>
      </c>
      <c r="H2054">
        <v>0</v>
      </c>
      <c r="I2054">
        <v>0</v>
      </c>
      <c r="J2054">
        <v>-292.29880000000003</v>
      </c>
      <c r="K2054">
        <v>1.109901</v>
      </c>
      <c r="L2054">
        <v>142.5001</v>
      </c>
      <c r="M2054">
        <v>-0.99995489999999998</v>
      </c>
      <c r="N2054">
        <v>0</v>
      </c>
      <c r="O2054">
        <v>-1.9653449999999999E-3</v>
      </c>
      <c r="P2054">
        <v>-0.98871790000000004</v>
      </c>
      <c r="Q2054">
        <v>0.14969499999999999</v>
      </c>
      <c r="R2054">
        <v>-5.3412690000000001E-3</v>
      </c>
      <c r="S2054">
        <v>-2.9558409999999999</v>
      </c>
      <c r="T2054">
        <v>0.51026389999999999</v>
      </c>
      <c r="U2054">
        <v>-0.20956420000000001</v>
      </c>
      <c r="V2054">
        <v>-3.4944220000000001E-3</v>
      </c>
      <c r="W2054">
        <v>0.158882</v>
      </c>
      <c r="X2054">
        <v>0.98729140000000004</v>
      </c>
      <c r="Y2054">
        <v>-6.7791420000000005E-2</v>
      </c>
      <c r="Z2054">
        <v>5.464923E-3</v>
      </c>
      <c r="AA2054">
        <v>0.99768449999999997</v>
      </c>
      <c r="AB2054">
        <v>39</v>
      </c>
      <c r="AC2054">
        <v>-2.9558409999999999</v>
      </c>
      <c r="AD2054">
        <v>0.51026389999999999</v>
      </c>
      <c r="AE2054">
        <v>-0.20956420000000001</v>
      </c>
      <c r="AF2054">
        <v>-0.19788661700419999</v>
      </c>
      <c r="AG2054">
        <v>0.51026389999999999</v>
      </c>
      <c r="AH2054">
        <v>2.8711136927965701</v>
      </c>
      <c r="AI2054">
        <v>79.945790054081698</v>
      </c>
      <c r="AJ2054">
        <v>93.942778536861297</v>
      </c>
      <c r="AK2054">
        <v>2.9228106674563401</v>
      </c>
      <c r="AL2054">
        <v>80.857990573699496</v>
      </c>
      <c r="AM2054">
        <v>90.202791998780995</v>
      </c>
      <c r="AN2054">
        <v>1.0000000047115301</v>
      </c>
    </row>
    <row r="2055" spans="1:40" x14ac:dyDescent="0.3">
      <c r="A2055" t="str">
        <f>"20200111150839826"</f>
        <v>20200111150839826</v>
      </c>
      <c r="B2055" t="str">
        <f>"1578726519815655"</f>
        <v>1578726519815655</v>
      </c>
      <c r="C2055" t="s">
        <v>40</v>
      </c>
      <c r="D2055">
        <v>5.456086</v>
      </c>
      <c r="E2055">
        <v>0.47241270000000002</v>
      </c>
      <c r="F2055" t="s">
        <v>49</v>
      </c>
      <c r="G2055">
        <v>0</v>
      </c>
      <c r="H2055">
        <v>0</v>
      </c>
      <c r="I2055">
        <v>0</v>
      </c>
      <c r="J2055">
        <v>-292.67520000000002</v>
      </c>
      <c r="K2055">
        <v>1.109909</v>
      </c>
      <c r="L2055">
        <v>142.4991</v>
      </c>
      <c r="M2055">
        <v>-0.9999536</v>
      </c>
      <c r="N2055">
        <v>0</v>
      </c>
      <c r="O2055">
        <v>-2.2321630000000001E-3</v>
      </c>
      <c r="P2055">
        <v>-0.98864830000000004</v>
      </c>
      <c r="Q2055">
        <v>0.150145899999999</v>
      </c>
      <c r="R2055">
        <v>-5.5404E-3</v>
      </c>
      <c r="S2055">
        <v>-2.9818120000000001</v>
      </c>
      <c r="T2055">
        <v>0.337630599999999</v>
      </c>
      <c r="U2055">
        <v>-0.23735049999999999</v>
      </c>
      <c r="V2055">
        <v>-3.434809E-3</v>
      </c>
      <c r="W2055">
        <v>0.15940689999999999</v>
      </c>
      <c r="X2055">
        <v>0.98720699999999995</v>
      </c>
      <c r="Y2055">
        <v>-7.6650490000000002E-2</v>
      </c>
      <c r="Z2055">
        <v>4.0674279999999997E-3</v>
      </c>
      <c r="AA2055">
        <v>0.99704970000000004</v>
      </c>
      <c r="AB2055">
        <v>39</v>
      </c>
      <c r="AC2055">
        <v>-2.9818120000000001</v>
      </c>
      <c r="AD2055">
        <v>0.337630599999999</v>
      </c>
      <c r="AE2055">
        <v>-0.23735049999999999</v>
      </c>
      <c r="AF2055">
        <v>-0.22779159014384301</v>
      </c>
      <c r="AG2055">
        <v>0.337630599999999</v>
      </c>
      <c r="AH2055">
        <v>2.9448165193325302</v>
      </c>
      <c r="AI2055">
        <v>83.478766731432401</v>
      </c>
      <c r="AJ2055">
        <v>94.423215596344306</v>
      </c>
      <c r="AK2055">
        <v>2.97284842585867</v>
      </c>
      <c r="AL2055">
        <v>80.827527822009898</v>
      </c>
      <c r="AM2055">
        <v>90.199349543720103</v>
      </c>
      <c r="AN2055">
        <v>1.0000000092647301</v>
      </c>
    </row>
    <row r="2056" spans="1:40" x14ac:dyDescent="0.3">
      <c r="A2056" t="str">
        <f>"20200111150839848"</f>
        <v>20200111150839848</v>
      </c>
      <c r="B2056" t="str">
        <f>"1578726519844933"</f>
        <v>1578726519844933</v>
      </c>
      <c r="C2056" t="s">
        <v>40</v>
      </c>
      <c r="D2056">
        <v>5.4464360000000003</v>
      </c>
      <c r="E2056">
        <v>0.47462480000000001</v>
      </c>
      <c r="F2056" t="s">
        <v>49</v>
      </c>
      <c r="G2056">
        <v>0</v>
      </c>
      <c r="H2056">
        <v>0</v>
      </c>
      <c r="I2056">
        <v>0</v>
      </c>
      <c r="J2056">
        <v>-293.05509999999998</v>
      </c>
      <c r="K2056">
        <v>1.1099289999999999</v>
      </c>
      <c r="L2056">
        <v>142.49799999999999</v>
      </c>
      <c r="M2056">
        <v>-0.99995219999999996</v>
      </c>
      <c r="N2056">
        <v>0</v>
      </c>
      <c r="O2056">
        <v>-2.5179709999999999E-3</v>
      </c>
      <c r="P2056">
        <v>-0.98858550000000001</v>
      </c>
      <c r="Q2056">
        <v>0.15055660000000001</v>
      </c>
      <c r="R2056">
        <v>-5.5864369999999997E-3</v>
      </c>
      <c r="S2056">
        <v>-2.981598</v>
      </c>
      <c r="T2056">
        <v>0.33890890000000001</v>
      </c>
      <c r="U2056">
        <v>-0.23789979999999999</v>
      </c>
      <c r="V2056">
        <v>-3.2043639999999999E-3</v>
      </c>
      <c r="W2056">
        <v>0.15989120000000001</v>
      </c>
      <c r="X2056">
        <v>0.98712940000000005</v>
      </c>
      <c r="Y2056">
        <v>-7.6552519999999999E-2</v>
      </c>
      <c r="Z2056">
        <v>4.0451159999999996E-3</v>
      </c>
      <c r="AA2056">
        <v>0.99705730000000004</v>
      </c>
      <c r="AB2056">
        <v>39</v>
      </c>
      <c r="AC2056">
        <v>-2.981598</v>
      </c>
      <c r="AD2056">
        <v>0.33890890000000001</v>
      </c>
      <c r="AE2056">
        <v>-0.23789979999999999</v>
      </c>
      <c r="AF2056">
        <v>-0.227470767548793</v>
      </c>
      <c r="AG2056">
        <v>0.33890890000000001</v>
      </c>
      <c r="AH2056">
        <v>2.9443863228048599</v>
      </c>
      <c r="AI2056">
        <v>83.453293846394502</v>
      </c>
      <c r="AJ2056">
        <v>94.417653395221294</v>
      </c>
      <c r="AK2056">
        <v>2.9725431890064802</v>
      </c>
      <c r="AL2056">
        <v>80.799418471733304</v>
      </c>
      <c r="AM2056">
        <v>90.185989687216207</v>
      </c>
      <c r="AN2056">
        <v>0.99999995806522102</v>
      </c>
    </row>
    <row r="2057" spans="1:40" x14ac:dyDescent="0.3">
      <c r="A2057" t="str">
        <f>"20200111150839872"</f>
        <v>20200111150839872</v>
      </c>
      <c r="B2057" t="str">
        <f>"1578726519865429"</f>
        <v>1578726519865429</v>
      </c>
      <c r="C2057" t="s">
        <v>40</v>
      </c>
      <c r="D2057">
        <v>5.6194259999999998</v>
      </c>
      <c r="E2057">
        <v>0.47420499999999999</v>
      </c>
      <c r="F2057" t="s">
        <v>86</v>
      </c>
      <c r="G2057">
        <v>-308.98</v>
      </c>
      <c r="H2057" s="1">
        <v>-9.8530560000000002E-6</v>
      </c>
      <c r="I2057">
        <v>141.32060000000001</v>
      </c>
      <c r="J2057">
        <v>-293.47129999999999</v>
      </c>
      <c r="K2057">
        <v>1.1099600000000001</v>
      </c>
      <c r="L2057">
        <v>142.4967</v>
      </c>
      <c r="M2057">
        <v>-0.99995060000000002</v>
      </c>
      <c r="N2057">
        <v>0</v>
      </c>
      <c r="O2057">
        <v>-2.8514249999999999E-3</v>
      </c>
      <c r="P2057">
        <v>-0.98853930000000001</v>
      </c>
      <c r="Q2057">
        <v>0.15085489999999999</v>
      </c>
      <c r="R2057">
        <v>-5.7395040000000003E-3</v>
      </c>
      <c r="S2057">
        <v>-3.065887</v>
      </c>
      <c r="T2057">
        <v>-0.21368709999999999</v>
      </c>
      <c r="U2057">
        <v>-0.22666929999999999</v>
      </c>
      <c r="V2057">
        <v>-3.034723E-3</v>
      </c>
      <c r="W2057">
        <v>0.1602701</v>
      </c>
      <c r="X2057">
        <v>0.98706850000000002</v>
      </c>
      <c r="Y2057">
        <v>-7.0723620000000001E-2</v>
      </c>
      <c r="Z2057">
        <v>-2.2600960000000001E-3</v>
      </c>
      <c r="AA2057">
        <v>0.99749339999999997</v>
      </c>
      <c r="AB2057">
        <v>39</v>
      </c>
      <c r="AC2057">
        <v>-15.508699999999999</v>
      </c>
      <c r="AD2057">
        <v>-1.109969853056</v>
      </c>
      <c r="AE2057">
        <v>-1.1760999999999899</v>
      </c>
      <c r="AF2057">
        <v>-1.1261358103772501</v>
      </c>
      <c r="AG2057">
        <v>-1.109969853056</v>
      </c>
      <c r="AH2057">
        <v>15.4333870689262</v>
      </c>
      <c r="AI2057">
        <v>94.102761889059494</v>
      </c>
      <c r="AJ2057">
        <v>94.173334160898506</v>
      </c>
      <c r="AK2057">
        <v>15.514175819469299</v>
      </c>
      <c r="AL2057">
        <v>80.777425579393693</v>
      </c>
      <c r="AM2057">
        <v>90.176154210210797</v>
      </c>
      <c r="AN2057">
        <v>0.99999996909497202</v>
      </c>
    </row>
    <row r="2058" spans="1:40" x14ac:dyDescent="0.3">
      <c r="A2058" t="str">
        <f>"20200111150839894"</f>
        <v>20200111150839894</v>
      </c>
      <c r="B2058" t="str">
        <f>"1578726519884951"</f>
        <v>1578726519884951</v>
      </c>
      <c r="C2058" t="s">
        <v>40</v>
      </c>
      <c r="D2058">
        <v>5.4223540000000003</v>
      </c>
      <c r="E2058">
        <v>0.47395860000000001</v>
      </c>
      <c r="F2058" t="s">
        <v>86</v>
      </c>
      <c r="G2058">
        <v>-309.26049999999998</v>
      </c>
      <c r="H2058" s="1">
        <v>-9.8899959999999992E-6</v>
      </c>
      <c r="I2058">
        <v>141.30940000000001</v>
      </c>
      <c r="J2058">
        <v>-293.85899999999998</v>
      </c>
      <c r="K2058">
        <v>1.109982</v>
      </c>
      <c r="L2058">
        <v>142.49529999999999</v>
      </c>
      <c r="M2058">
        <v>-0.99994890000000003</v>
      </c>
      <c r="N2058">
        <v>0</v>
      </c>
      <c r="O2058">
        <v>-3.1804390000000002E-3</v>
      </c>
      <c r="P2058">
        <v>-0.98847309999999999</v>
      </c>
      <c r="Q2058">
        <v>0.1512703</v>
      </c>
      <c r="R2058">
        <v>-6.1959529999999997E-3</v>
      </c>
      <c r="S2058">
        <v>-3.0663450000000001</v>
      </c>
      <c r="T2058">
        <v>-0.2155619</v>
      </c>
      <c r="U2058">
        <v>-0.23057559999999999</v>
      </c>
      <c r="V2058">
        <v>-3.1728440000000002E-3</v>
      </c>
      <c r="W2058">
        <v>0.1607606</v>
      </c>
      <c r="X2058">
        <v>0.98698839999999999</v>
      </c>
      <c r="Y2058">
        <v>-7.1643849999999995E-2</v>
      </c>
      <c r="Z2058">
        <v>-2.288623E-3</v>
      </c>
      <c r="AA2058">
        <v>0.99742759999999997</v>
      </c>
      <c r="AB2058">
        <v>39</v>
      </c>
      <c r="AC2058">
        <v>-15.401499999999899</v>
      </c>
      <c r="AD2058">
        <v>-1.109991889996</v>
      </c>
      <c r="AE2058">
        <v>-1.18589999999997</v>
      </c>
      <c r="AF2058">
        <v>-1.1310679171535001</v>
      </c>
      <c r="AG2058">
        <v>-1.109991889996</v>
      </c>
      <c r="AH2058">
        <v>15.3260574688525</v>
      </c>
      <c r="AI2058">
        <v>94.131226187648195</v>
      </c>
      <c r="AJ2058">
        <v>94.220795019419896</v>
      </c>
      <c r="AK2058">
        <v>15.407771875506199</v>
      </c>
      <c r="AL2058">
        <v>80.748953739503804</v>
      </c>
      <c r="AM2058">
        <v>90.184186505173003</v>
      </c>
      <c r="AN2058">
        <v>1.00000006959298</v>
      </c>
    </row>
    <row r="2059" spans="1:40" x14ac:dyDescent="0.3">
      <c r="A2059" t="str">
        <f>"20200111150839916"</f>
        <v>20200111150839916</v>
      </c>
      <c r="B2059" t="str">
        <f>"1578726519905448"</f>
        <v>1578726519905448</v>
      </c>
      <c r="C2059" t="s">
        <v>40</v>
      </c>
      <c r="D2059">
        <v>5.4375640000000001</v>
      </c>
      <c r="E2059">
        <v>0.47428110000000001</v>
      </c>
      <c r="F2059" t="s">
        <v>86</v>
      </c>
      <c r="G2059">
        <v>-309.05149999999998</v>
      </c>
      <c r="H2059" s="1">
        <v>-9.8687310000000007E-6</v>
      </c>
      <c r="I2059">
        <v>141.33879999999999</v>
      </c>
      <c r="J2059">
        <v>-294.24009999999998</v>
      </c>
      <c r="K2059">
        <v>1.1100030000000001</v>
      </c>
      <c r="L2059">
        <v>142.49379999999999</v>
      </c>
      <c r="M2059">
        <v>-0.99994700000000003</v>
      </c>
      <c r="N2059">
        <v>0</v>
      </c>
      <c r="O2059">
        <v>-3.5175330000000002E-3</v>
      </c>
      <c r="P2059">
        <v>-0.98840309999999998</v>
      </c>
      <c r="Q2059">
        <v>0.15169549999999901</v>
      </c>
      <c r="R2059">
        <v>-6.9170029999999997E-3</v>
      </c>
      <c r="S2059">
        <v>-3.0678100000000001</v>
      </c>
      <c r="T2059">
        <v>-0.22414029999999999</v>
      </c>
      <c r="U2059">
        <v>-0.23352049999999999</v>
      </c>
      <c r="V2059">
        <v>-3.56647E-3</v>
      </c>
      <c r="W2059">
        <v>0.16125989999999901</v>
      </c>
      <c r="X2059">
        <v>0.98690549999999999</v>
      </c>
      <c r="Y2059">
        <v>-7.2209999999999996E-2</v>
      </c>
      <c r="Z2059">
        <v>-2.3743129999999999E-3</v>
      </c>
      <c r="AA2059">
        <v>0.99738660000000001</v>
      </c>
      <c r="AB2059">
        <v>39</v>
      </c>
      <c r="AC2059">
        <v>-14.8113999999999</v>
      </c>
      <c r="AD2059">
        <v>-1.110012868731</v>
      </c>
      <c r="AE2059">
        <v>-1.155</v>
      </c>
      <c r="AF2059">
        <v>-1.09676808842608</v>
      </c>
      <c r="AG2059">
        <v>-1.110012868731</v>
      </c>
      <c r="AH2059">
        <v>14.733123233969801</v>
      </c>
      <c r="AI2059">
        <v>94.296754895692104</v>
      </c>
      <c r="AJ2059">
        <v>94.257378856613002</v>
      </c>
      <c r="AK2059">
        <v>14.8155306700731</v>
      </c>
      <c r="AL2059">
        <v>80.719966843092195</v>
      </c>
      <c r="AM2059">
        <v>90.207054058596299</v>
      </c>
      <c r="AN2059">
        <v>0.99999997049325995</v>
      </c>
    </row>
    <row r="2060" spans="1:40" x14ac:dyDescent="0.3">
      <c r="A2060" t="str">
        <f>"20200111150839938"</f>
        <v>20200111150839938</v>
      </c>
      <c r="B2060" t="str">
        <f>"1578726519935701"</f>
        <v>1578726519935701</v>
      </c>
      <c r="C2060" t="s">
        <v>40</v>
      </c>
      <c r="D2060">
        <v>5.474437</v>
      </c>
      <c r="E2060">
        <v>0.47473650000000001</v>
      </c>
      <c r="F2060" t="s">
        <v>86</v>
      </c>
      <c r="G2060">
        <v>-308.7432</v>
      </c>
      <c r="H2060" s="1">
        <v>-9.8401180000000001E-6</v>
      </c>
      <c r="I2060">
        <v>141.39150000000001</v>
      </c>
      <c r="J2060">
        <v>-294.62869999999998</v>
      </c>
      <c r="K2060">
        <v>1.1100190000000001</v>
      </c>
      <c r="L2060">
        <v>142.49209999999999</v>
      </c>
      <c r="M2060">
        <v>-0.99994499999999997</v>
      </c>
      <c r="N2060">
        <v>0</v>
      </c>
      <c r="O2060">
        <v>-3.8721150000000002E-3</v>
      </c>
      <c r="P2060">
        <v>-0.98846540000000005</v>
      </c>
      <c r="Q2060">
        <v>0.1512609</v>
      </c>
      <c r="R2060">
        <v>-7.51426E-3</v>
      </c>
      <c r="S2060">
        <v>-3.0695800000000002</v>
      </c>
      <c r="T2060">
        <v>-0.2349328</v>
      </c>
      <c r="U2060">
        <v>-0.23330690000000001</v>
      </c>
      <c r="V2060">
        <v>-3.8170529999999999E-3</v>
      </c>
      <c r="W2060">
        <v>0.16089890000000001</v>
      </c>
      <c r="X2060">
        <v>0.98696349999999999</v>
      </c>
      <c r="Y2060">
        <v>-7.1728509999999995E-2</v>
      </c>
      <c r="Z2060">
        <v>-2.4414599999999999E-3</v>
      </c>
      <c r="AA2060">
        <v>0.99742120000000001</v>
      </c>
      <c r="AB2060">
        <v>39</v>
      </c>
      <c r="AC2060">
        <v>-14.1145</v>
      </c>
      <c r="AD2060">
        <v>-1.1100288401180001</v>
      </c>
      <c r="AE2060">
        <v>-1.10059999999998</v>
      </c>
      <c r="AF2060">
        <v>-1.0395454859237201</v>
      </c>
      <c r="AG2060">
        <v>-1.1100288401180001</v>
      </c>
      <c r="AH2060">
        <v>14.032390651986701</v>
      </c>
      <c r="AI2060">
        <v>94.510640823230801</v>
      </c>
      <c r="AJ2060">
        <v>94.236838002905202</v>
      </c>
      <c r="AK2060">
        <v>14.114560080043599</v>
      </c>
      <c r="AL2060">
        <v>80.740924458833703</v>
      </c>
      <c r="AM2060">
        <v>90.221588677486807</v>
      </c>
      <c r="AN2060">
        <v>0.99999998812353197</v>
      </c>
    </row>
    <row r="2061" spans="1:40" x14ac:dyDescent="0.3">
      <c r="A2061" t="str">
        <f>"20200111150839962"</f>
        <v>20200111150839962</v>
      </c>
      <c r="B2061" t="str">
        <f>"1578726519955222"</f>
        <v>1578726519955222</v>
      </c>
      <c r="C2061" t="s">
        <v>40</v>
      </c>
      <c r="D2061">
        <v>5.4894379999999998</v>
      </c>
      <c r="E2061">
        <v>0.47480349999999999</v>
      </c>
      <c r="F2061" t="s">
        <v>86</v>
      </c>
      <c r="G2061">
        <v>-308.4984</v>
      </c>
      <c r="H2061" s="1">
        <v>-9.8206939999999993E-6</v>
      </c>
      <c r="I2061">
        <v>141.4444</v>
      </c>
      <c r="J2061">
        <v>-295.03379999999999</v>
      </c>
      <c r="K2061">
        <v>1.1100410000000001</v>
      </c>
      <c r="L2061">
        <v>142.49019999999999</v>
      </c>
      <c r="M2061">
        <v>-0.99994269999999996</v>
      </c>
      <c r="N2061">
        <v>0</v>
      </c>
      <c r="O2061">
        <v>-4.2496790000000001E-3</v>
      </c>
      <c r="P2061">
        <v>-0.98845039999999995</v>
      </c>
      <c r="Q2061">
        <v>0.15133099999999999</v>
      </c>
      <c r="R2061">
        <v>-8.0573190000000003E-3</v>
      </c>
      <c r="S2061">
        <v>-3.0708310000000001</v>
      </c>
      <c r="T2061">
        <v>-0.2457674</v>
      </c>
      <c r="U2061">
        <v>-0.2319794</v>
      </c>
      <c r="V2061">
        <v>-3.9910880000000003E-3</v>
      </c>
      <c r="W2061">
        <v>0.16104250000000001</v>
      </c>
      <c r="X2061">
        <v>0.98693940000000002</v>
      </c>
      <c r="Y2061">
        <v>-7.0877930000000006E-2</v>
      </c>
      <c r="Z2061">
        <v>-2.488653E-3</v>
      </c>
      <c r="AA2061">
        <v>0.99748190000000003</v>
      </c>
      <c r="AB2061">
        <v>39</v>
      </c>
      <c r="AC2061">
        <v>-13.464600000000001</v>
      </c>
      <c r="AD2061">
        <v>-1.1100508206940001</v>
      </c>
      <c r="AE2061">
        <v>-1.0457999999999801</v>
      </c>
      <c r="AF2061">
        <v>-0.981933666313061</v>
      </c>
      <c r="AG2061">
        <v>-1.1100508206940001</v>
      </c>
      <c r="AH2061">
        <v>13.378538136322399</v>
      </c>
      <c r="AI2061">
        <v>94.730443350053804</v>
      </c>
      <c r="AJ2061">
        <v>94.197764671223098</v>
      </c>
      <c r="AK2061">
        <v>13.4603747798713</v>
      </c>
      <c r="AL2061">
        <v>80.732588158522802</v>
      </c>
      <c r="AM2061">
        <v>90.231697358086706</v>
      </c>
      <c r="AN2061">
        <v>0.99999999743101597</v>
      </c>
    </row>
    <row r="2062" spans="1:40" x14ac:dyDescent="0.3">
      <c r="A2062" t="str">
        <f>"20200111150839984"</f>
        <v>20200111150839984</v>
      </c>
      <c r="B2062" t="str">
        <f>"1578726519975717"</f>
        <v>1578726519975717</v>
      </c>
      <c r="C2062" t="s">
        <v>40</v>
      </c>
      <c r="D2062">
        <v>5.4716040000000001</v>
      </c>
      <c r="E2062">
        <v>0.47467379999999998</v>
      </c>
      <c r="F2062" t="s">
        <v>86</v>
      </c>
      <c r="G2062">
        <v>-308.59230000000002</v>
      </c>
      <c r="H2062" s="1">
        <v>-9.8388550000000002E-6</v>
      </c>
      <c r="I2062">
        <v>141.46</v>
      </c>
      <c r="J2062">
        <v>-295.43630000000002</v>
      </c>
      <c r="K2062">
        <v>1.1100559999999999</v>
      </c>
      <c r="L2062">
        <v>142.48820000000001</v>
      </c>
      <c r="M2062">
        <v>-0.9999403</v>
      </c>
      <c r="N2062">
        <v>0</v>
      </c>
      <c r="O2062">
        <v>-4.629701E-3</v>
      </c>
      <c r="P2062">
        <v>-0.98839310000000002</v>
      </c>
      <c r="Q2062">
        <v>0.1516855</v>
      </c>
      <c r="R2062">
        <v>-8.3984160000000006E-3</v>
      </c>
      <c r="S2062">
        <v>-3.0716860000000001</v>
      </c>
      <c r="T2062">
        <v>-0.25148120000000002</v>
      </c>
      <c r="U2062">
        <v>-0.23338320000000001</v>
      </c>
      <c r="V2062">
        <v>-3.9597490000000003E-3</v>
      </c>
      <c r="W2062">
        <v>0.16146650000000001</v>
      </c>
      <c r="X2062">
        <v>0.98687020000000003</v>
      </c>
      <c r="Y2062">
        <v>-7.0922559999999996E-2</v>
      </c>
      <c r="Z2062">
        <v>-2.5163799999999999E-3</v>
      </c>
      <c r="AA2062">
        <v>0.99747870000000005</v>
      </c>
      <c r="AB2062">
        <v>39</v>
      </c>
      <c r="AC2062">
        <v>-13.156000000000001</v>
      </c>
      <c r="AD2062">
        <v>-1.110065838855</v>
      </c>
      <c r="AE2062">
        <v>-1.02819999999999</v>
      </c>
      <c r="AF2062">
        <v>-0.96048101572887801</v>
      </c>
      <c r="AG2062">
        <v>-1.110065838855</v>
      </c>
      <c r="AH2062">
        <v>13.068145608270299</v>
      </c>
      <c r="AI2062">
        <v>94.8423013961999</v>
      </c>
      <c r="AJ2062">
        <v>94.203560154168699</v>
      </c>
      <c r="AK2062">
        <v>13.1503307786201</v>
      </c>
      <c r="AL2062">
        <v>80.707972164588696</v>
      </c>
      <c r="AM2062">
        <v>90.229894152341402</v>
      </c>
      <c r="AN2062">
        <v>0.99999995094121497</v>
      </c>
    </row>
    <row r="2063" spans="1:40" x14ac:dyDescent="0.3">
      <c r="A2063" t="str">
        <f>"20200111150840004"</f>
        <v>20200111150840004</v>
      </c>
      <c r="B2063" t="str">
        <f>"1578726519995240"</f>
        <v>1578726519995240</v>
      </c>
      <c r="C2063" t="s">
        <v>40</v>
      </c>
      <c r="D2063">
        <v>5.5191569999999999</v>
      </c>
      <c r="E2063">
        <v>0.47461350000000002</v>
      </c>
      <c r="F2063" t="s">
        <v>86</v>
      </c>
      <c r="G2063">
        <v>-308.7765</v>
      </c>
      <c r="H2063" s="1">
        <v>-9.8667910000000005E-6</v>
      </c>
      <c r="I2063">
        <v>141.46510000000001</v>
      </c>
      <c r="J2063">
        <v>-295.80579999999998</v>
      </c>
      <c r="K2063">
        <v>1.1100699999999999</v>
      </c>
      <c r="L2063">
        <v>142.48609999999999</v>
      </c>
      <c r="M2063">
        <v>-0.99993790000000005</v>
      </c>
      <c r="N2063">
        <v>0</v>
      </c>
      <c r="O2063">
        <v>-4.980094E-3</v>
      </c>
      <c r="P2063">
        <v>-0.98829489999999998</v>
      </c>
      <c r="Q2063">
        <v>0.15229760000000001</v>
      </c>
      <c r="R2063">
        <v>-8.8699199999999999E-3</v>
      </c>
      <c r="S2063">
        <v>-3.07254</v>
      </c>
      <c r="T2063">
        <v>-0.25567309999999999</v>
      </c>
      <c r="U2063">
        <v>-0.2356415</v>
      </c>
      <c r="V2063">
        <v>-4.08823E-3</v>
      </c>
      <c r="W2063">
        <v>0.1621389</v>
      </c>
      <c r="X2063">
        <v>0.98675950000000001</v>
      </c>
      <c r="Y2063">
        <v>-7.1273710000000004E-2</v>
      </c>
      <c r="Z2063">
        <v>-2.5429039999999999E-3</v>
      </c>
      <c r="AA2063">
        <v>0.99745360000000005</v>
      </c>
      <c r="AB2063">
        <v>39</v>
      </c>
      <c r="AC2063">
        <v>-12.970700000000001</v>
      </c>
      <c r="AD2063">
        <v>-1.1100798667909999</v>
      </c>
      <c r="AE2063">
        <v>-1.0209999999999799</v>
      </c>
      <c r="AF2063">
        <v>-0.94947714431325902</v>
      </c>
      <c r="AG2063">
        <v>-1.1100798667909999</v>
      </c>
      <c r="AH2063">
        <v>12.8818511910575</v>
      </c>
      <c r="AI2063">
        <v>94.911976558687996</v>
      </c>
      <c r="AJ2063">
        <v>94.215453050140496</v>
      </c>
      <c r="AK2063">
        <v>12.9644079798029</v>
      </c>
      <c r="AL2063">
        <v>80.668932737938903</v>
      </c>
      <c r="AM2063">
        <v>90.237380014528298</v>
      </c>
      <c r="AN2063">
        <v>1.0000000236789901</v>
      </c>
    </row>
    <row r="2064" spans="1:40" x14ac:dyDescent="0.3">
      <c r="A2064" t="str">
        <f>"20200111150840027"</f>
        <v>20200111150840027</v>
      </c>
      <c r="B2064" t="str">
        <f>"1578726520015733"</f>
        <v>1578726520015733</v>
      </c>
      <c r="C2064" t="s">
        <v>40</v>
      </c>
      <c r="D2064">
        <v>5.4843129999999896</v>
      </c>
      <c r="E2064">
        <v>0.47453879999999998</v>
      </c>
      <c r="F2064" t="s">
        <v>86</v>
      </c>
      <c r="G2064">
        <v>-309.0872</v>
      </c>
      <c r="H2064" s="1">
        <v>-9.9097010000000004E-6</v>
      </c>
      <c r="I2064">
        <v>141.45930000000001</v>
      </c>
      <c r="J2064">
        <v>-296.19060000000002</v>
      </c>
      <c r="K2064">
        <v>1.110085</v>
      </c>
      <c r="L2064">
        <v>142.48390000000001</v>
      </c>
      <c r="M2064">
        <v>-0.99993549999999998</v>
      </c>
      <c r="N2064">
        <v>0</v>
      </c>
      <c r="O2064">
        <v>-5.3456279999999998E-3</v>
      </c>
      <c r="P2064">
        <v>-0.98819950000000001</v>
      </c>
      <c r="Q2064">
        <v>0.15286540000000001</v>
      </c>
      <c r="R2064">
        <v>-9.6841830000000007E-3</v>
      </c>
      <c r="S2064">
        <v>-3.072937</v>
      </c>
      <c r="T2064">
        <v>-0.25683979999999901</v>
      </c>
      <c r="U2064">
        <v>-0.23757929999999999</v>
      </c>
      <c r="V2064">
        <v>-4.5436909999999999E-3</v>
      </c>
      <c r="W2064">
        <v>0.16276749999999901</v>
      </c>
      <c r="X2064">
        <v>0.98665400000000003</v>
      </c>
      <c r="Y2064">
        <v>-7.1522970000000005E-2</v>
      </c>
      <c r="Z2064">
        <v>-2.5340100000000002E-3</v>
      </c>
      <c r="AA2064">
        <v>0.99743570000000004</v>
      </c>
      <c r="AB2064">
        <v>39</v>
      </c>
      <c r="AC2064">
        <v>-12.8965999999999</v>
      </c>
      <c r="AD2064">
        <v>-1.110094909701</v>
      </c>
      <c r="AE2064">
        <v>-1.02459999999999</v>
      </c>
      <c r="AF2064">
        <v>-0.94865679488766896</v>
      </c>
      <c r="AG2064">
        <v>-1.110094909701</v>
      </c>
      <c r="AH2064">
        <v>12.807594630568</v>
      </c>
      <c r="AI2064">
        <v>94.940250315301896</v>
      </c>
      <c r="AJ2064">
        <v>94.236154906680298</v>
      </c>
      <c r="AK2064">
        <v>12.890567894549299</v>
      </c>
      <c r="AL2064">
        <v>80.632431611268004</v>
      </c>
      <c r="AM2064">
        <v>90.263853871159796</v>
      </c>
      <c r="AN2064">
        <v>1.0000000099500701</v>
      </c>
    </row>
    <row r="2065" spans="1:40" x14ac:dyDescent="0.3">
      <c r="A2065" t="str">
        <f>"20200111150840051"</f>
        <v>20200111150840051</v>
      </c>
      <c r="B2065" t="str">
        <f>"1578726520045013"</f>
        <v>1578726520045013</v>
      </c>
      <c r="C2065" t="s">
        <v>40</v>
      </c>
      <c r="D2065">
        <v>5.5247549999999999</v>
      </c>
      <c r="E2065">
        <v>0.4742422</v>
      </c>
      <c r="F2065" t="s">
        <v>86</v>
      </c>
      <c r="G2065">
        <v>-309.7149</v>
      </c>
      <c r="H2065" s="1">
        <v>-9.9900719999999995E-6</v>
      </c>
      <c r="I2065">
        <v>141.4265</v>
      </c>
      <c r="J2065">
        <v>-296.6148</v>
      </c>
      <c r="K2065">
        <v>1.1100969999999999</v>
      </c>
      <c r="L2065">
        <v>142.4813</v>
      </c>
      <c r="M2065">
        <v>-0.99993259999999995</v>
      </c>
      <c r="N2065">
        <v>0</v>
      </c>
      <c r="O2065">
        <v>-5.7480259999999998E-3</v>
      </c>
      <c r="P2065">
        <v>-0.98810209999999998</v>
      </c>
      <c r="Q2065">
        <v>0.1534353</v>
      </c>
      <c r="R2065">
        <v>-1.0583749999999999E-2</v>
      </c>
      <c r="S2065">
        <v>-3.072479</v>
      </c>
      <c r="T2065">
        <v>-0.25219330000000001</v>
      </c>
      <c r="U2065">
        <v>-0.24023439999999999</v>
      </c>
      <c r="V2065">
        <v>-5.048912E-3</v>
      </c>
      <c r="W2065">
        <v>0.16340260000000001</v>
      </c>
      <c r="X2065">
        <v>0.98654660000000005</v>
      </c>
      <c r="Y2065">
        <v>-7.1997649999999996E-2</v>
      </c>
      <c r="Z2065">
        <v>-2.475105E-3</v>
      </c>
      <c r="AA2065">
        <v>0.99740169999999995</v>
      </c>
      <c r="AB2065">
        <v>39</v>
      </c>
      <c r="AC2065">
        <v>-13.1000999999999</v>
      </c>
      <c r="AD2065">
        <v>-1.110106990072</v>
      </c>
      <c r="AE2065">
        <v>-1.0548</v>
      </c>
      <c r="AF2065">
        <v>-0.97254027185776704</v>
      </c>
      <c r="AG2065">
        <v>-1.110106990072</v>
      </c>
      <c r="AH2065">
        <v>13.013102692073801</v>
      </c>
      <c r="AI2065">
        <v>94.862423326867599</v>
      </c>
      <c r="AJ2065">
        <v>94.274081033454095</v>
      </c>
      <c r="AK2065">
        <v>13.0965267832448</v>
      </c>
      <c r="AL2065">
        <v>80.595549638431706</v>
      </c>
      <c r="AM2065">
        <v>90.293223678639905</v>
      </c>
      <c r="AN2065">
        <v>1.0000000475853501</v>
      </c>
    </row>
    <row r="2066" spans="1:40" x14ac:dyDescent="0.3">
      <c r="A2066" t="str">
        <f>"20200111150840073"</f>
        <v>20200111150840073</v>
      </c>
      <c r="B2066" t="str">
        <f>"1578726520065509"</f>
        <v>1578726520065509</v>
      </c>
      <c r="C2066" t="s">
        <v>40</v>
      </c>
      <c r="D2066">
        <v>5.5101269999999998</v>
      </c>
      <c r="E2066">
        <v>0.47413260000000002</v>
      </c>
      <c r="F2066" t="s">
        <v>86</v>
      </c>
      <c r="G2066">
        <v>-310.38959999999997</v>
      </c>
      <c r="H2066" s="1">
        <v>-9.8196110000000001E-6</v>
      </c>
      <c r="I2066">
        <v>141.38</v>
      </c>
      <c r="J2066">
        <v>-296.995</v>
      </c>
      <c r="K2066">
        <v>1.1101080000000001</v>
      </c>
      <c r="L2066">
        <v>142.47880000000001</v>
      </c>
      <c r="M2066">
        <v>-0.99992979999999998</v>
      </c>
      <c r="N2066">
        <v>0</v>
      </c>
      <c r="O2066">
        <v>-6.1076949999999998E-3</v>
      </c>
      <c r="P2066">
        <v>-0.98808680000000004</v>
      </c>
      <c r="Q2066">
        <v>0.15348689999999901</v>
      </c>
      <c r="R2066">
        <v>-1.122772E-2</v>
      </c>
      <c r="S2066">
        <v>-3.0719599999999998</v>
      </c>
      <c r="T2066">
        <v>-0.24756839999999999</v>
      </c>
      <c r="U2066">
        <v>-0.2456055</v>
      </c>
      <c r="V2066">
        <v>-5.3390620000000003E-3</v>
      </c>
      <c r="W2066">
        <v>0.16351360000000001</v>
      </c>
      <c r="X2066">
        <v>0.98652660000000003</v>
      </c>
      <c r="Y2066">
        <v>-7.3389620000000003E-2</v>
      </c>
      <c r="Z2066">
        <v>-2.4571229999999999E-3</v>
      </c>
      <c r="AA2066">
        <v>0.99730030000000003</v>
      </c>
      <c r="AB2066">
        <v>39</v>
      </c>
      <c r="AC2066">
        <v>-13.394599999999899</v>
      </c>
      <c r="AD2066">
        <v>-1.110117819611</v>
      </c>
      <c r="AE2066">
        <v>-1.09880000000001</v>
      </c>
      <c r="AF2066">
        <v>-1.0100735726777901</v>
      </c>
      <c r="AG2066">
        <v>-1.110117819611</v>
      </c>
      <c r="AH2066">
        <v>13.310247779747501</v>
      </c>
      <c r="AI2066">
        <v>94.754013338089095</v>
      </c>
      <c r="AJ2066">
        <v>94.339681919600096</v>
      </c>
      <c r="AK2066">
        <v>13.3945998877874</v>
      </c>
      <c r="AL2066">
        <v>80.589102344831602</v>
      </c>
      <c r="AM2066">
        <v>90.310080572181306</v>
      </c>
      <c r="AN2066">
        <v>0.99999996773777899</v>
      </c>
    </row>
    <row r="2067" spans="1:40" x14ac:dyDescent="0.3">
      <c r="A2067" t="str">
        <f>"20200111150840095"</f>
        <v>20200111150840095</v>
      </c>
      <c r="B2067" t="str">
        <f>"1578726520085032"</f>
        <v>1578726520085032</v>
      </c>
      <c r="C2067" t="s">
        <v>40</v>
      </c>
      <c r="D2067">
        <v>5.5412629999999998</v>
      </c>
      <c r="E2067">
        <v>0.47405190000000003</v>
      </c>
      <c r="F2067" t="s">
        <v>86</v>
      </c>
      <c r="G2067">
        <v>-310.6918</v>
      </c>
      <c r="H2067" s="1">
        <v>-9.6829500000000002E-6</v>
      </c>
      <c r="I2067">
        <v>141.37110000000001</v>
      </c>
      <c r="J2067">
        <v>-297.3895</v>
      </c>
      <c r="K2067">
        <v>1.110117</v>
      </c>
      <c r="L2067">
        <v>142.4761</v>
      </c>
      <c r="M2067">
        <v>-0.99992689999999995</v>
      </c>
      <c r="N2067">
        <v>0</v>
      </c>
      <c r="O2067">
        <v>-6.4808280000000001E-3</v>
      </c>
      <c r="P2067">
        <v>-0.98799550000000003</v>
      </c>
      <c r="Q2067">
        <v>0.15401199999999901</v>
      </c>
      <c r="R2067">
        <v>-1.206198E-2</v>
      </c>
      <c r="S2067">
        <v>-3.0720209999999999</v>
      </c>
      <c r="T2067">
        <v>-0.2489854</v>
      </c>
      <c r="U2067">
        <v>-0.24844359999999999</v>
      </c>
      <c r="V2067">
        <v>-5.8070229999999997E-3</v>
      </c>
      <c r="W2067">
        <v>0.1640964</v>
      </c>
      <c r="X2067">
        <v>0.98642719999999995</v>
      </c>
      <c r="Y2067">
        <v>-7.3928350000000004E-2</v>
      </c>
      <c r="Z2067">
        <v>-2.4626209999999999E-3</v>
      </c>
      <c r="AA2067">
        <v>0.99726049999999999</v>
      </c>
      <c r="AB2067">
        <v>39</v>
      </c>
      <c r="AC2067">
        <v>-13.302300000000001</v>
      </c>
      <c r="AD2067">
        <v>-1.1101266829500001</v>
      </c>
      <c r="AE2067">
        <v>-1.10499999999998</v>
      </c>
      <c r="AF2067">
        <v>-1.0117642127509401</v>
      </c>
      <c r="AG2067">
        <v>-1.1101266829500001</v>
      </c>
      <c r="AH2067">
        <v>13.2177577351351</v>
      </c>
      <c r="AI2067">
        <v>94.786925179993204</v>
      </c>
      <c r="AJ2067">
        <v>94.377217121949599</v>
      </c>
      <c r="AK2067">
        <v>13.3028255502027</v>
      </c>
      <c r="AL2067">
        <v>80.555253321855204</v>
      </c>
      <c r="AM2067">
        <v>90.337292063692701</v>
      </c>
      <c r="AN2067">
        <v>0.999999985454461</v>
      </c>
    </row>
    <row r="2068" spans="1:40" x14ac:dyDescent="0.3">
      <c r="A2068" t="str">
        <f>"20200111150840119"</f>
        <v>20200111150840119</v>
      </c>
      <c r="B2068" t="str">
        <f>"1578726520115286"</f>
        <v>1578726520115286</v>
      </c>
      <c r="C2068" t="s">
        <v>40</v>
      </c>
      <c r="D2068">
        <v>5.5266019999999996</v>
      </c>
      <c r="E2068">
        <v>0.47404809999999997</v>
      </c>
      <c r="F2068" t="s">
        <v>86</v>
      </c>
      <c r="G2068">
        <v>-311.21409999999997</v>
      </c>
      <c r="H2068" s="1">
        <v>-9.4696240000000006E-6</v>
      </c>
      <c r="I2068">
        <v>141.3442</v>
      </c>
      <c r="J2068">
        <v>-297.79840000000002</v>
      </c>
      <c r="K2068">
        <v>1.110131</v>
      </c>
      <c r="L2068">
        <v>142.47309999999999</v>
      </c>
      <c r="M2068">
        <v>-0.99992369999999997</v>
      </c>
      <c r="N2068">
        <v>0</v>
      </c>
      <c r="O2068">
        <v>-6.8675450000000001E-3</v>
      </c>
      <c r="P2068">
        <v>-0.98794470000000001</v>
      </c>
      <c r="Q2068">
        <v>0.15428420000000001</v>
      </c>
      <c r="R2068">
        <v>-1.2713739999999999E-2</v>
      </c>
      <c r="S2068">
        <v>-3.071869</v>
      </c>
      <c r="T2068">
        <v>-0.24667310000000001</v>
      </c>
      <c r="U2068">
        <v>-0.25151059999999997</v>
      </c>
      <c r="V2068">
        <v>-6.0780840000000001E-3</v>
      </c>
      <c r="W2068">
        <v>0.16442709999999999</v>
      </c>
      <c r="X2068">
        <v>0.98637050000000004</v>
      </c>
      <c r="Y2068">
        <v>-7.4539110000000006E-2</v>
      </c>
      <c r="Z2068">
        <v>-2.43334E-3</v>
      </c>
      <c r="AA2068">
        <v>0.99721519999999997</v>
      </c>
      <c r="AB2068">
        <v>39</v>
      </c>
      <c r="AC2068">
        <v>-13.4156999999999</v>
      </c>
      <c r="AD2068">
        <v>-1.110140469624</v>
      </c>
      <c r="AE2068">
        <v>-1.12889999999998</v>
      </c>
      <c r="AF2068">
        <v>-1.0297341131520601</v>
      </c>
      <c r="AG2068">
        <v>-1.110140469624</v>
      </c>
      <c r="AH2068">
        <v>13.3324850760979</v>
      </c>
      <c r="AI2068">
        <v>94.745732001843905</v>
      </c>
      <c r="AJ2068">
        <v>94.416470089911996</v>
      </c>
      <c r="AK2068">
        <v>13.418193712659701</v>
      </c>
      <c r="AL2068">
        <v>80.536044724186397</v>
      </c>
      <c r="AM2068">
        <v>90.353056131577404</v>
      </c>
      <c r="AN2068">
        <v>0.99999998879488505</v>
      </c>
    </row>
    <row r="2069" spans="1:40" x14ac:dyDescent="0.3">
      <c r="A2069" t="str">
        <f>"20200111150840138"</f>
        <v>20200111150840138</v>
      </c>
      <c r="B2069" t="str">
        <f>"1578726520135781"</f>
        <v>1578726520135781</v>
      </c>
      <c r="C2069" t="s">
        <v>40</v>
      </c>
      <c r="D2069">
        <v>5.5415570000000001</v>
      </c>
      <c r="E2069">
        <v>0.47400969999999998</v>
      </c>
      <c r="F2069" t="s">
        <v>86</v>
      </c>
      <c r="G2069">
        <v>-311.63799999999998</v>
      </c>
      <c r="H2069" s="1">
        <v>-9.3062629999999998E-6</v>
      </c>
      <c r="I2069">
        <v>141.3297</v>
      </c>
      <c r="J2069">
        <v>-298.15710000000001</v>
      </c>
      <c r="K2069">
        <v>1.1101319999999999</v>
      </c>
      <c r="L2069">
        <v>142.47040000000001</v>
      </c>
      <c r="M2069">
        <v>-0.9999207</v>
      </c>
      <c r="N2069">
        <v>0</v>
      </c>
      <c r="O2069">
        <v>-7.2065409999999899E-3</v>
      </c>
      <c r="P2069">
        <v>-0.98780690000000004</v>
      </c>
      <c r="Q2069">
        <v>0.1550658</v>
      </c>
      <c r="R2069">
        <v>-1.386684E-2</v>
      </c>
      <c r="S2069">
        <v>-3.0718380000000001</v>
      </c>
      <c r="T2069">
        <v>-0.24640699999999999</v>
      </c>
      <c r="U2069">
        <v>-0.25378420000000002</v>
      </c>
      <c r="V2069">
        <v>-6.8987880000000003E-3</v>
      </c>
      <c r="W2069">
        <v>0.1652605</v>
      </c>
      <c r="X2069">
        <v>0.98622580000000004</v>
      </c>
      <c r="Y2069">
        <v>-7.493524E-2</v>
      </c>
      <c r="Z2069">
        <v>-2.4194099999999999E-3</v>
      </c>
      <c r="AA2069">
        <v>0.99718549999999995</v>
      </c>
      <c r="AB2069">
        <v>39</v>
      </c>
      <c r="AC2069">
        <v>-13.480899999999901</v>
      </c>
      <c r="AD2069">
        <v>-1.1101413062629999</v>
      </c>
      <c r="AE2069">
        <v>-1.1407</v>
      </c>
      <c r="AF2069">
        <v>-1.0365353548365099</v>
      </c>
      <c r="AG2069">
        <v>-1.1101413062629999</v>
      </c>
      <c r="AH2069">
        <v>13.398555925602199</v>
      </c>
      <c r="AI2069">
        <v>94.722393747644006</v>
      </c>
      <c r="AJ2069">
        <v>94.423689172177305</v>
      </c>
      <c r="AK2069">
        <v>13.4843657675542</v>
      </c>
      <c r="AL2069">
        <v>80.487632010011893</v>
      </c>
      <c r="AM2069">
        <v>90.400785488683596</v>
      </c>
      <c r="AN2069">
        <v>0.99999997736087898</v>
      </c>
    </row>
    <row r="2070" spans="1:40" x14ac:dyDescent="0.3">
      <c r="A2070" t="str">
        <f>"20200111150840163"</f>
        <v>20200111150840163</v>
      </c>
      <c r="B2070" t="str">
        <f>"1578726520155301"</f>
        <v>1578726520155301</v>
      </c>
      <c r="C2070" t="s">
        <v>40</v>
      </c>
      <c r="D2070">
        <v>5.5293510000000001</v>
      </c>
      <c r="E2070">
        <v>0.46351619999999999</v>
      </c>
      <c r="F2070" t="s">
        <v>86</v>
      </c>
      <c r="G2070">
        <v>-312.15640000000002</v>
      </c>
      <c r="H2070" s="1">
        <v>-9.1032169999999993E-6</v>
      </c>
      <c r="I2070">
        <v>141.2998</v>
      </c>
      <c r="J2070">
        <v>-298.57389999999998</v>
      </c>
      <c r="K2070">
        <v>1.1101430000000001</v>
      </c>
      <c r="L2070">
        <v>142.46700000000001</v>
      </c>
      <c r="M2070">
        <v>-0.99991719999999895</v>
      </c>
      <c r="N2070">
        <v>0</v>
      </c>
      <c r="O2070">
        <v>-7.6004289999999997E-3</v>
      </c>
      <c r="P2070">
        <v>-0.98775109999999999</v>
      </c>
      <c r="Q2070">
        <v>0.15529389999999901</v>
      </c>
      <c r="R2070">
        <v>-1.523182E-2</v>
      </c>
      <c r="S2070">
        <v>-3.0716549999999998</v>
      </c>
      <c r="T2070">
        <v>-0.24358189999999999</v>
      </c>
      <c r="U2070">
        <v>-0.25683590000000001</v>
      </c>
      <c r="V2070">
        <v>-7.8760859999999992E-3</v>
      </c>
      <c r="W2070">
        <v>0.16555110000000001</v>
      </c>
      <c r="X2070">
        <v>0.98616979999999999</v>
      </c>
      <c r="Y2070">
        <v>-7.5535500000000005E-2</v>
      </c>
      <c r="Z2070">
        <v>-2.3843950000000001E-3</v>
      </c>
      <c r="AA2070">
        <v>0.99714029999999998</v>
      </c>
      <c r="AB2070">
        <v>39</v>
      </c>
      <c r="AC2070">
        <v>-13.5825</v>
      </c>
      <c r="AD2070">
        <v>-1.1101521032170001</v>
      </c>
      <c r="AE2070">
        <v>-1.1672</v>
      </c>
      <c r="AF2070">
        <v>-1.0569189575948099</v>
      </c>
      <c r="AG2070">
        <v>-1.1101521032170001</v>
      </c>
      <c r="AH2070">
        <v>13.501444835851199</v>
      </c>
      <c r="AI2070">
        <v>94.686280540112406</v>
      </c>
      <c r="AJ2070">
        <v>94.476094980939493</v>
      </c>
      <c r="AK2070">
        <v>13.5881760376709</v>
      </c>
      <c r="AL2070">
        <v>80.470749879824993</v>
      </c>
      <c r="AM2070">
        <v>90.457585390056494</v>
      </c>
      <c r="AN2070">
        <v>1.0000000369369599</v>
      </c>
    </row>
    <row r="2071" spans="1:40" x14ac:dyDescent="0.3">
      <c r="A2071" t="str">
        <f>"20200111150840184"</f>
        <v>20200111150840184</v>
      </c>
      <c r="B2071" t="str">
        <f>"1578726520175797"</f>
        <v>1578726520175797</v>
      </c>
      <c r="C2071" t="s">
        <v>40</v>
      </c>
      <c r="D2071">
        <v>5.4997350000000003</v>
      </c>
      <c r="E2071">
        <v>0.45889760000000002</v>
      </c>
      <c r="F2071" t="s">
        <v>43</v>
      </c>
      <c r="G2071">
        <v>-322.3372</v>
      </c>
      <c r="H2071" s="1">
        <v>-3.3180689999999998E-6</v>
      </c>
      <c r="I2071">
        <v>139.79839999999999</v>
      </c>
      <c r="J2071">
        <v>-298.97379999999998</v>
      </c>
      <c r="K2071">
        <v>1.1101540000000001</v>
      </c>
      <c r="L2071">
        <v>142.46369999999999</v>
      </c>
      <c r="M2071">
        <v>-0.99991350000000001</v>
      </c>
      <c r="N2071">
        <v>0</v>
      </c>
      <c r="O2071">
        <v>-7.9782080000000005E-3</v>
      </c>
      <c r="P2071">
        <v>-0.98778699999999997</v>
      </c>
      <c r="Q2071">
        <v>0.15505739999999901</v>
      </c>
      <c r="R2071">
        <v>-1.5299129999999999E-2</v>
      </c>
      <c r="S2071">
        <v>-3.0543520000000002</v>
      </c>
      <c r="T2071">
        <v>-0.1426907</v>
      </c>
      <c r="U2071">
        <v>-0.34300229999999998</v>
      </c>
      <c r="V2071">
        <v>-7.5706519999999998E-3</v>
      </c>
      <c r="W2071">
        <v>0.1653771</v>
      </c>
      <c r="X2071">
        <v>0.98620129999999995</v>
      </c>
      <c r="Y2071">
        <v>-0.1035628</v>
      </c>
      <c r="Z2071">
        <v>-2.0388720000000002E-3</v>
      </c>
      <c r="AA2071">
        <v>0.99462079999999997</v>
      </c>
      <c r="AB2071">
        <v>40</v>
      </c>
      <c r="AC2071">
        <v>-23.363399999999999</v>
      </c>
      <c r="AD2071">
        <v>-1.1101573180689901</v>
      </c>
      <c r="AE2071">
        <v>-2.6652999999999998</v>
      </c>
      <c r="AF2071">
        <v>-2.4732942986915298</v>
      </c>
      <c r="AG2071">
        <v>-1.1101573180689901</v>
      </c>
      <c r="AH2071">
        <v>23.3319184132468</v>
      </c>
      <c r="AI2071">
        <v>92.708984040301701</v>
      </c>
      <c r="AJ2071">
        <v>96.051027450554997</v>
      </c>
      <c r="AK2071">
        <v>23.4888920726629</v>
      </c>
      <c r="AL2071">
        <v>80.480857871192299</v>
      </c>
      <c r="AM2071">
        <v>90.439826927286802</v>
      </c>
      <c r="AN2071">
        <v>0.99999995204890102</v>
      </c>
    </row>
    <row r="2072" spans="1:40" x14ac:dyDescent="0.3">
      <c r="A2072" t="str">
        <f>"20200111150840206"</f>
        <v>20200111150840206</v>
      </c>
      <c r="B2072" t="str">
        <f>"1578726520195317"</f>
        <v>1578726520195317</v>
      </c>
      <c r="C2072" t="s">
        <v>40</v>
      </c>
      <c r="D2072">
        <v>5.4537389999999997</v>
      </c>
      <c r="E2072">
        <v>0.45729170000000002</v>
      </c>
      <c r="F2072" t="s">
        <v>86</v>
      </c>
      <c r="G2072">
        <v>-314.34039999999999</v>
      </c>
      <c r="H2072" s="1">
        <v>-8.0824349999999998E-6</v>
      </c>
      <c r="I2072">
        <v>140.54740000000001</v>
      </c>
      <c r="J2072">
        <v>-299.34800000000001</v>
      </c>
      <c r="K2072">
        <v>1.1101639999999999</v>
      </c>
      <c r="L2072">
        <v>142.46039999999999</v>
      </c>
      <c r="M2072">
        <v>-0.99990999999999997</v>
      </c>
      <c r="N2072">
        <v>0</v>
      </c>
      <c r="O2072">
        <v>-8.3315190000000008E-3</v>
      </c>
      <c r="P2072">
        <v>-0.98773409999999995</v>
      </c>
      <c r="Q2072">
        <v>0.15544330000000001</v>
      </c>
      <c r="R2072">
        <v>-1.4789480000000001E-2</v>
      </c>
      <c r="S2072">
        <v>-3.0659480000000001</v>
      </c>
      <c r="T2072">
        <v>-0.2214999</v>
      </c>
      <c r="U2072">
        <v>-0.3823395</v>
      </c>
      <c r="V2072">
        <v>-6.7128630000000003E-3</v>
      </c>
      <c r="W2072">
        <v>0.16581960000000001</v>
      </c>
      <c r="X2072">
        <v>0.98613329999999999</v>
      </c>
      <c r="Y2072">
        <v>-0.1152002</v>
      </c>
      <c r="Z2072">
        <v>-3.541172E-3</v>
      </c>
      <c r="AA2072">
        <v>0.993336</v>
      </c>
      <c r="AB2072">
        <v>40</v>
      </c>
      <c r="AC2072">
        <v>-14.9923999999999</v>
      </c>
      <c r="AD2072">
        <v>-1.1101720824350001</v>
      </c>
      <c r="AE2072">
        <v>-1.91299999999998</v>
      </c>
      <c r="AF2072">
        <v>-1.7784219111183699</v>
      </c>
      <c r="AG2072">
        <v>-1.1101720824350001</v>
      </c>
      <c r="AH2072">
        <v>14.9272798876534</v>
      </c>
      <c r="AI2072">
        <v>94.223612425910005</v>
      </c>
      <c r="AJ2072">
        <v>96.794139793019895</v>
      </c>
      <c r="AK2072">
        <v>15.0737835791452</v>
      </c>
      <c r="AL2072">
        <v>80.455150423701397</v>
      </c>
      <c r="AM2072">
        <v>90.390021082948607</v>
      </c>
      <c r="AN2072">
        <v>1.0000000438213501</v>
      </c>
    </row>
    <row r="2073" spans="1:40" x14ac:dyDescent="0.3">
      <c r="A2073" t="str">
        <f>"20200111150840228"</f>
        <v>20200111150840228</v>
      </c>
      <c r="B2073" t="str">
        <f>"1578726520225574"</f>
        <v>1578726520225574</v>
      </c>
      <c r="C2073" t="s">
        <v>40</v>
      </c>
      <c r="D2073">
        <v>5.5761269999999996</v>
      </c>
      <c r="E2073">
        <v>0.45595010000000002</v>
      </c>
      <c r="F2073" t="s">
        <v>86</v>
      </c>
      <c r="G2073">
        <v>-313.6567</v>
      </c>
      <c r="H2073" s="1">
        <v>-8.3588170000000002E-6</v>
      </c>
      <c r="I2073">
        <v>140.61940000000001</v>
      </c>
      <c r="J2073">
        <v>-299.73489999999998</v>
      </c>
      <c r="K2073">
        <v>1.1101799999999999</v>
      </c>
      <c r="L2073">
        <v>142.45679999999999</v>
      </c>
      <c r="M2073">
        <v>-0.99990619999999997</v>
      </c>
      <c r="N2073">
        <v>0</v>
      </c>
      <c r="O2073">
        <v>-8.6968649999999998E-3</v>
      </c>
      <c r="P2073">
        <v>-0.98765650000000005</v>
      </c>
      <c r="Q2073">
        <v>0.1559468</v>
      </c>
      <c r="R2073">
        <v>-1.466723E-2</v>
      </c>
      <c r="S2073">
        <v>-3.0687869999999999</v>
      </c>
      <c r="T2073">
        <v>-0.23809749999999999</v>
      </c>
      <c r="U2073">
        <v>-0.39482119999999998</v>
      </c>
      <c r="V2073">
        <v>-6.2316969999999996E-3</v>
      </c>
      <c r="W2073">
        <v>0.1663792</v>
      </c>
      <c r="X2073">
        <v>0.98604210000000003</v>
      </c>
      <c r="Y2073">
        <v>-0.1186493</v>
      </c>
      <c r="Z2073">
        <v>-3.906194E-3</v>
      </c>
      <c r="AA2073">
        <v>0.99292860000000005</v>
      </c>
      <c r="AB2073">
        <v>40</v>
      </c>
      <c r="AC2073">
        <v>-13.921799999999999</v>
      </c>
      <c r="AD2073">
        <v>-1.1101883588169901</v>
      </c>
      <c r="AE2073">
        <v>-1.8373999999999699</v>
      </c>
      <c r="AF2073">
        <v>-1.70558723124022</v>
      </c>
      <c r="AG2073">
        <v>-1.1101883588169901</v>
      </c>
      <c r="AH2073">
        <v>13.850682641470801</v>
      </c>
      <c r="AI2073">
        <v>94.548481257219393</v>
      </c>
      <c r="AJ2073">
        <v>97.020119574893499</v>
      </c>
      <c r="AK2073">
        <v>13.9993912592714</v>
      </c>
      <c r="AL2073">
        <v>80.422635119614696</v>
      </c>
      <c r="AM2073">
        <v>90.362099329981604</v>
      </c>
      <c r="AN2073">
        <v>0.99999994760627298</v>
      </c>
    </row>
    <row r="2074" spans="1:40" x14ac:dyDescent="0.3">
      <c r="A2074" t="str">
        <f>"20200111150840250"</f>
        <v>20200111150840250</v>
      </c>
      <c r="B2074" t="str">
        <f>"1578726520245093"</f>
        <v>1578726520245093</v>
      </c>
      <c r="C2074" t="s">
        <v>40</v>
      </c>
      <c r="D2074">
        <v>5.489547</v>
      </c>
      <c r="E2074">
        <v>0.4560575</v>
      </c>
      <c r="F2074" t="s">
        <v>86</v>
      </c>
      <c r="G2074">
        <v>-313.16320000000002</v>
      </c>
      <c r="H2074" s="1">
        <v>-8.5633470000000001E-6</v>
      </c>
      <c r="I2074">
        <v>140.69049999999999</v>
      </c>
      <c r="J2074">
        <v>-300.13720000000001</v>
      </c>
      <c r="K2074">
        <v>1.110185</v>
      </c>
      <c r="L2074">
        <v>142.453</v>
      </c>
      <c r="M2074">
        <v>-0.99990219999999996</v>
      </c>
      <c r="N2074">
        <v>0</v>
      </c>
      <c r="O2074">
        <v>-9.0765250000000002E-3</v>
      </c>
      <c r="P2074">
        <v>-0.98770440000000004</v>
      </c>
      <c r="Q2074">
        <v>0.15565090000000001</v>
      </c>
      <c r="R2074">
        <v>-1.4586699999999999E-2</v>
      </c>
      <c r="S2074">
        <v>-3.071564</v>
      </c>
      <c r="T2074">
        <v>-0.25394229999999901</v>
      </c>
      <c r="U2074">
        <v>-0.4040222</v>
      </c>
      <c r="V2074">
        <v>-5.7753850000000001E-3</v>
      </c>
      <c r="W2074">
        <v>0.1661417</v>
      </c>
      <c r="X2074">
        <v>0.98608499999999999</v>
      </c>
      <c r="Y2074">
        <v>-0.12103269999999999</v>
      </c>
      <c r="Z2074">
        <v>-4.2275200000000002E-3</v>
      </c>
      <c r="AA2074">
        <v>0.99263950000000001</v>
      </c>
      <c r="AB2074">
        <v>40</v>
      </c>
      <c r="AC2074">
        <v>-13.026</v>
      </c>
      <c r="AD2074">
        <v>-1.1101935633469999</v>
      </c>
      <c r="AE2074">
        <v>-1.7625000000000099</v>
      </c>
      <c r="AF2074">
        <v>-1.6325443012801899</v>
      </c>
      <c r="AG2074">
        <v>-1.1101935633469999</v>
      </c>
      <c r="AH2074">
        <v>12.9490906848814</v>
      </c>
      <c r="AI2074">
        <v>94.861984219755598</v>
      </c>
      <c r="AJ2074">
        <v>97.185600080485301</v>
      </c>
      <c r="AK2074">
        <v>13.0987281905161</v>
      </c>
      <c r="AL2074">
        <v>80.436435667140799</v>
      </c>
      <c r="AM2074">
        <v>90.335570870616095</v>
      </c>
      <c r="AN2074">
        <v>1.0000000233878901</v>
      </c>
    </row>
    <row r="2075" spans="1:40" x14ac:dyDescent="0.3">
      <c r="A2075" t="str">
        <f>"20200111150840275"</f>
        <v>20200111150840275</v>
      </c>
      <c r="B2075" t="str">
        <f>"1578726520265589"</f>
        <v>1578726520265589</v>
      </c>
      <c r="C2075" t="s">
        <v>40</v>
      </c>
      <c r="D2075">
        <v>5.5684649999999998</v>
      </c>
      <c r="E2075">
        <v>0.45611570000000001</v>
      </c>
      <c r="F2075" t="s">
        <v>86</v>
      </c>
      <c r="G2075">
        <v>-313.5729</v>
      </c>
      <c r="H2075" s="1">
        <v>-8.4096630000000006E-6</v>
      </c>
      <c r="I2075">
        <v>140.6925</v>
      </c>
      <c r="J2075">
        <v>-300.56119999999999</v>
      </c>
      <c r="K2075">
        <v>1.1101920000000001</v>
      </c>
      <c r="L2075">
        <v>142.44880000000001</v>
      </c>
      <c r="M2075">
        <v>-0.99989799999999995</v>
      </c>
      <c r="N2075">
        <v>0</v>
      </c>
      <c r="O2075">
        <v>-9.4768089999999992E-3</v>
      </c>
      <c r="P2075">
        <v>-0.98780100000000004</v>
      </c>
      <c r="Q2075">
        <v>0.15504509999999999</v>
      </c>
      <c r="R2075">
        <v>-1.4494430000000001E-2</v>
      </c>
      <c r="S2075">
        <v>-3.0714109999999999</v>
      </c>
      <c r="T2075">
        <v>-0.25379200000000002</v>
      </c>
      <c r="U2075">
        <v>-0.40245059999999999</v>
      </c>
      <c r="V2075">
        <v>-5.2868660000000003E-3</v>
      </c>
      <c r="W2075">
        <v>0.1655953</v>
      </c>
      <c r="X2075">
        <v>0.98617960000000005</v>
      </c>
      <c r="Y2075">
        <v>-0.120147</v>
      </c>
      <c r="Z2075">
        <v>-4.1561280000000003E-3</v>
      </c>
      <c r="AA2075">
        <v>0.99274739999999995</v>
      </c>
      <c r="AB2075">
        <v>40</v>
      </c>
      <c r="AC2075">
        <v>-13.011699999999999</v>
      </c>
      <c r="AD2075">
        <v>-1.110200409663</v>
      </c>
      <c r="AE2075">
        <v>-1.75630000000001</v>
      </c>
      <c r="AF2075">
        <v>-1.62131263870961</v>
      </c>
      <c r="AG2075">
        <v>-1.110200409663</v>
      </c>
      <c r="AH2075">
        <v>12.935276167628601</v>
      </c>
      <c r="AI2075">
        <v>94.867621416766895</v>
      </c>
      <c r="AJ2075">
        <v>97.144218754295807</v>
      </c>
      <c r="AK2075">
        <v>13.083675674476</v>
      </c>
      <c r="AL2075">
        <v>80.468181404395295</v>
      </c>
      <c r="AM2075">
        <v>90.307157242746698</v>
      </c>
      <c r="AN2075">
        <v>0.999999978895175</v>
      </c>
    </row>
    <row r="2076" spans="1:40" x14ac:dyDescent="0.3">
      <c r="A2076" t="str">
        <f>"20200111150840295"</f>
        <v>20200111150840295</v>
      </c>
      <c r="B2076" t="str">
        <f>"1578726520285112"</f>
        <v>1578726520285112</v>
      </c>
      <c r="C2076" t="s">
        <v>40</v>
      </c>
      <c r="D2076">
        <v>5.5658370000000001</v>
      </c>
      <c r="E2076">
        <v>0.4562235</v>
      </c>
      <c r="F2076" t="s">
        <v>86</v>
      </c>
      <c r="G2076">
        <v>-314.30939999999998</v>
      </c>
      <c r="H2076" s="1">
        <v>-8.1207979999999998E-6</v>
      </c>
      <c r="I2076">
        <v>140.64840000000001</v>
      </c>
      <c r="J2076">
        <v>-300.93329999999997</v>
      </c>
      <c r="K2076">
        <v>1.1101970000000001</v>
      </c>
      <c r="L2076">
        <v>142.44489999999999</v>
      </c>
      <c r="M2076">
        <v>-0.99989410000000001</v>
      </c>
      <c r="N2076">
        <v>0</v>
      </c>
      <c r="O2076">
        <v>-9.8282709999999995E-3</v>
      </c>
      <c r="P2076">
        <v>-0.98772579999999999</v>
      </c>
      <c r="Q2076">
        <v>0.1554634</v>
      </c>
      <c r="R2076">
        <v>-1.5141089999999999E-2</v>
      </c>
      <c r="S2076">
        <v>-3.070068</v>
      </c>
      <c r="T2076">
        <v>-0.24791530000000001</v>
      </c>
      <c r="U2076">
        <v>-0.40202329999999997</v>
      </c>
      <c r="V2076">
        <v>-5.5873809999999998E-3</v>
      </c>
      <c r="W2076">
        <v>0.16605989999999901</v>
      </c>
      <c r="X2076">
        <v>0.98609979999999997</v>
      </c>
      <c r="Y2076">
        <v>-0.1197373</v>
      </c>
      <c r="Z2076">
        <v>-4.0173359999999998E-3</v>
      </c>
      <c r="AA2076">
        <v>0.9927975</v>
      </c>
      <c r="AB2076">
        <v>40</v>
      </c>
      <c r="AC2076">
        <v>-13.376099999999999</v>
      </c>
      <c r="AD2076">
        <v>-1.1102051207979999</v>
      </c>
      <c r="AE2076">
        <v>-1.79649999999998</v>
      </c>
      <c r="AF2076">
        <v>-1.6537511106295799</v>
      </c>
      <c r="AG2076">
        <v>-1.1102051207979999</v>
      </c>
      <c r="AH2076">
        <v>13.3030920244843</v>
      </c>
      <c r="AI2076">
        <v>94.734272172207497</v>
      </c>
      <c r="AJ2076">
        <v>97.086272701483594</v>
      </c>
      <c r="AK2076">
        <v>13.451383035139999</v>
      </c>
      <c r="AL2076">
        <v>80.441187895661201</v>
      </c>
      <c r="AM2076">
        <v>90.324642519874899</v>
      </c>
      <c r="AN2076">
        <v>0.99999996238724298</v>
      </c>
    </row>
    <row r="2077" spans="1:40" x14ac:dyDescent="0.3">
      <c r="A2077" t="str">
        <f>"20200111150840311"</f>
        <v>20200111150840311</v>
      </c>
      <c r="B2077" t="str">
        <f>"1578726520305606"</f>
        <v>1578726520305606</v>
      </c>
      <c r="C2077" t="s">
        <v>40</v>
      </c>
      <c r="D2077">
        <v>5.534923</v>
      </c>
      <c r="E2077">
        <v>0.45652130000000002</v>
      </c>
      <c r="F2077" t="s">
        <v>86</v>
      </c>
      <c r="G2077">
        <v>-314.66300000000001</v>
      </c>
      <c r="H2077" s="1">
        <v>-7.9860019999999999E-6</v>
      </c>
      <c r="I2077">
        <v>140.6422</v>
      </c>
      <c r="J2077">
        <v>-301.20209999999997</v>
      </c>
      <c r="K2077">
        <v>1.1101989999999999</v>
      </c>
      <c r="L2077">
        <v>142.44200000000001</v>
      </c>
      <c r="M2077">
        <v>-0.99989119999999998</v>
      </c>
      <c r="N2077">
        <v>0</v>
      </c>
      <c r="O2077">
        <v>-1.00819E-2</v>
      </c>
      <c r="P2077">
        <v>-0.98765559999999997</v>
      </c>
      <c r="Q2077">
        <v>0.15583229999999901</v>
      </c>
      <c r="R2077">
        <v>-1.590192E-2</v>
      </c>
      <c r="S2077">
        <v>-3.07016</v>
      </c>
      <c r="T2077">
        <v>-0.24825820000000001</v>
      </c>
      <c r="U2077">
        <v>-0.40312189999999998</v>
      </c>
      <c r="V2077">
        <v>-6.0985509999999998E-3</v>
      </c>
      <c r="W2077">
        <v>0.16646059999999999</v>
      </c>
      <c r="X2077">
        <v>0.9860293</v>
      </c>
      <c r="Y2077">
        <v>-0.11983050000000001</v>
      </c>
      <c r="Z2077">
        <v>-4.006028E-3</v>
      </c>
      <c r="AA2077">
        <v>0.99278630000000001</v>
      </c>
      <c r="AB2077">
        <v>40</v>
      </c>
      <c r="AC2077">
        <v>-13.460900000000001</v>
      </c>
      <c r="AD2077">
        <v>-1.1102069860020001</v>
      </c>
      <c r="AE2077">
        <v>-1.7998000000000001</v>
      </c>
      <c r="AF2077">
        <v>-1.6529427664260401</v>
      </c>
      <c r="AG2077">
        <v>-1.1102069860020001</v>
      </c>
      <c r="AH2077">
        <v>13.3888857927952</v>
      </c>
      <c r="AI2077">
        <v>94.704569853943894</v>
      </c>
      <c r="AJ2077">
        <v>97.037915064161496</v>
      </c>
      <c r="AK2077">
        <v>13.5361383752295</v>
      </c>
      <c r="AL2077">
        <v>80.417906295654404</v>
      </c>
      <c r="AM2077">
        <v>90.354367540592804</v>
      </c>
      <c r="AN2077">
        <v>1.00000005206757</v>
      </c>
    </row>
    <row r="2078" spans="1:40" x14ac:dyDescent="0.3">
      <c r="A2078" t="str">
        <f>"20200111150840326"</f>
        <v>20200111150840326</v>
      </c>
      <c r="B2078" t="str">
        <f>"1578726520315365"</f>
        <v>1578726520315365</v>
      </c>
      <c r="C2078" t="s">
        <v>40</v>
      </c>
      <c r="D2078">
        <v>5.542465</v>
      </c>
      <c r="E2078">
        <v>0.45642769999999999</v>
      </c>
      <c r="F2078" t="s">
        <v>86</v>
      </c>
      <c r="G2078">
        <v>-314.79500000000002</v>
      </c>
      <c r="H2078" s="1">
        <v>-7.9410099999999997E-6</v>
      </c>
      <c r="I2078">
        <v>140.65989999999999</v>
      </c>
      <c r="J2078">
        <v>-301.46769999999998</v>
      </c>
      <c r="K2078">
        <v>1.1102050000000001</v>
      </c>
      <c r="L2078">
        <v>142.4392</v>
      </c>
      <c r="M2078">
        <v>-0.99988829999999995</v>
      </c>
      <c r="N2078">
        <v>0</v>
      </c>
      <c r="O2078">
        <v>-1.033267E-2</v>
      </c>
      <c r="P2078">
        <v>-0.98762570000000005</v>
      </c>
      <c r="Q2078">
        <v>0.1559624</v>
      </c>
      <c r="R2078">
        <v>-1.6469910000000001E-2</v>
      </c>
      <c r="S2078">
        <v>-3.0705870000000002</v>
      </c>
      <c r="T2078">
        <v>-0.25079069999999998</v>
      </c>
      <c r="U2078">
        <v>-0.4025726</v>
      </c>
      <c r="V2078">
        <v>-6.419503E-3</v>
      </c>
      <c r="W2078">
        <v>0.1666223</v>
      </c>
      <c r="X2078">
        <v>0.98599990000000004</v>
      </c>
      <c r="Y2078">
        <v>-0.119384199999999</v>
      </c>
      <c r="Z2078">
        <v>-4.0077790000000004E-3</v>
      </c>
      <c r="AA2078">
        <v>0.9928401</v>
      </c>
      <c r="AB2078">
        <v>40</v>
      </c>
      <c r="AC2078">
        <v>-13.327299999999999</v>
      </c>
      <c r="AD2078">
        <v>-1.1102129410099999</v>
      </c>
      <c r="AE2078">
        <v>-1.7793000000000001</v>
      </c>
      <c r="AF2078">
        <v>-1.63037452805774</v>
      </c>
      <c r="AG2078">
        <v>-1.1102129410099999</v>
      </c>
      <c r="AH2078">
        <v>13.2546048916244</v>
      </c>
      <c r="AI2078">
        <v>94.752299023800902</v>
      </c>
      <c r="AJ2078">
        <v>97.012407621384597</v>
      </c>
      <c r="AK2078">
        <v>13.400568820359799</v>
      </c>
      <c r="AL2078">
        <v>80.408509862744793</v>
      </c>
      <c r="AM2078">
        <v>90.373027656102195</v>
      </c>
      <c r="AN2078">
        <v>1.00000000183803</v>
      </c>
    </row>
    <row r="2079" spans="1:40" x14ac:dyDescent="0.3">
      <c r="A2079" t="str">
        <f>"20200111150840339"</f>
        <v>20200111150840339</v>
      </c>
      <c r="B2079" t="str">
        <f>"1578726520334886"</f>
        <v>1578726520334886</v>
      </c>
      <c r="C2079" t="s">
        <v>40</v>
      </c>
      <c r="D2079">
        <v>5.5256850000000002</v>
      </c>
      <c r="E2079">
        <v>0.45614949999999999</v>
      </c>
      <c r="F2079" t="s">
        <v>86</v>
      </c>
      <c r="G2079">
        <v>-315.13729999999998</v>
      </c>
      <c r="H2079" s="1">
        <v>-7.7938550000000003E-6</v>
      </c>
      <c r="I2079">
        <v>140.6362</v>
      </c>
      <c r="J2079">
        <v>-301.71370000000002</v>
      </c>
      <c r="K2079">
        <v>1.1102019999999999</v>
      </c>
      <c r="L2079">
        <v>142.43639999999999</v>
      </c>
      <c r="M2079">
        <v>-0.99988549999999998</v>
      </c>
      <c r="N2079">
        <v>0</v>
      </c>
      <c r="O2079">
        <v>-1.05647E-2</v>
      </c>
      <c r="P2079">
        <v>-0.98754520000000001</v>
      </c>
      <c r="Q2079">
        <v>0.156333</v>
      </c>
      <c r="R2079">
        <v>-1.773071E-2</v>
      </c>
      <c r="S2079">
        <v>-3.0702210000000001</v>
      </c>
      <c r="T2079">
        <v>-0.24935479999999999</v>
      </c>
      <c r="U2079">
        <v>-0.40495300000000001</v>
      </c>
      <c r="V2079">
        <v>-7.4524049999999996E-3</v>
      </c>
      <c r="W2079">
        <v>0.167021</v>
      </c>
      <c r="X2079">
        <v>0.98592519999999995</v>
      </c>
      <c r="Y2079">
        <v>-0.1199288</v>
      </c>
      <c r="Z2079">
        <v>-3.9884350000000002E-3</v>
      </c>
      <c r="AA2079">
        <v>0.9927745</v>
      </c>
      <c r="AB2079">
        <v>40</v>
      </c>
      <c r="AC2079">
        <v>-13.423599999999899</v>
      </c>
      <c r="AD2079">
        <v>-1.110209793855</v>
      </c>
      <c r="AE2079">
        <v>-1.80019999999998</v>
      </c>
      <c r="AF2079">
        <v>-1.6472066429248799</v>
      </c>
      <c r="AG2079">
        <v>-1.110209793855</v>
      </c>
      <c r="AH2079">
        <v>13.352151934496799</v>
      </c>
      <c r="AI2079">
        <v>94.717517755787298</v>
      </c>
      <c r="AJ2079">
        <v>97.032838329244797</v>
      </c>
      <c r="AK2079">
        <v>13.499104295943299</v>
      </c>
      <c r="AL2079">
        <v>80.385341615655193</v>
      </c>
      <c r="AM2079">
        <v>90.433078718242996</v>
      </c>
      <c r="AN2079">
        <v>1.0000000263881601</v>
      </c>
    </row>
    <row r="2080" spans="1:40" x14ac:dyDescent="0.3">
      <c r="A2080" t="str">
        <f>"20200111150840364"</f>
        <v>20200111150840364</v>
      </c>
      <c r="B2080" t="str">
        <f>"1578726520355384"</f>
        <v>1578726520355384</v>
      </c>
      <c r="C2080" t="s">
        <v>40</v>
      </c>
      <c r="D2080">
        <v>5.3586669999999996</v>
      </c>
      <c r="E2080">
        <v>0.45587490000000003</v>
      </c>
      <c r="F2080" t="s">
        <v>86</v>
      </c>
      <c r="G2080">
        <v>-315.53300000000002</v>
      </c>
      <c r="H2080" s="1">
        <v>-7.6053800000000004E-6</v>
      </c>
      <c r="I2080">
        <v>140.58690000000001</v>
      </c>
      <c r="J2080">
        <v>-302.13959999999997</v>
      </c>
      <c r="K2080">
        <v>1.110212</v>
      </c>
      <c r="L2080">
        <v>142.4316</v>
      </c>
      <c r="M2080">
        <v>-0.99988080000000001</v>
      </c>
      <c r="N2080">
        <v>0</v>
      </c>
      <c r="O2080">
        <v>-1.0966480000000001E-2</v>
      </c>
      <c r="P2080">
        <v>-0.98752180000000001</v>
      </c>
      <c r="Q2080">
        <v>0.1563842</v>
      </c>
      <c r="R2080">
        <v>-1.8568479999999998E-2</v>
      </c>
      <c r="S2080">
        <v>-3.0695190000000001</v>
      </c>
      <c r="T2080">
        <v>-0.24659700000000001</v>
      </c>
      <c r="U2080">
        <v>-0.41081240000000002</v>
      </c>
      <c r="V2080">
        <v>-7.8937160000000003E-3</v>
      </c>
      <c r="W2080">
        <v>0.16712060000000001</v>
      </c>
      <c r="X2080">
        <v>0.98590489999999997</v>
      </c>
      <c r="Y2080">
        <v>-0.12142559999999999</v>
      </c>
      <c r="Z2080">
        <v>-3.9725560000000004E-3</v>
      </c>
      <c r="AA2080">
        <v>0.99259260000000005</v>
      </c>
      <c r="AB2080">
        <v>40</v>
      </c>
      <c r="AC2080">
        <v>-13.3934</v>
      </c>
      <c r="AD2080">
        <v>-1.11021960538</v>
      </c>
      <c r="AE2080">
        <v>-1.84469999999998</v>
      </c>
      <c r="AF2080">
        <v>-1.68633044040883</v>
      </c>
      <c r="AG2080">
        <v>-1.11021960538</v>
      </c>
      <c r="AH2080">
        <v>13.3229842407367</v>
      </c>
      <c r="AI2080">
        <v>94.725983883018301</v>
      </c>
      <c r="AJ2080">
        <v>97.213740311909902</v>
      </c>
      <c r="AK2080">
        <v>13.4750958069075</v>
      </c>
      <c r="AL2080">
        <v>80.379553725360793</v>
      </c>
      <c r="AM2080">
        <v>90.458732832574398</v>
      </c>
      <c r="AN2080">
        <v>1.0000000387703201</v>
      </c>
    </row>
    <row r="2081" spans="1:40" x14ac:dyDescent="0.3">
      <c r="A2081" t="str">
        <f>"20200111150840377"</f>
        <v>20200111150840377</v>
      </c>
      <c r="B2081" t="str">
        <f>"1578726520374901"</f>
        <v>1578726520374901</v>
      </c>
      <c r="C2081" t="s">
        <v>40</v>
      </c>
      <c r="D2081">
        <v>5.4021049999999997</v>
      </c>
      <c r="E2081">
        <v>0.45574979999999998</v>
      </c>
      <c r="F2081" t="s">
        <v>86</v>
      </c>
      <c r="G2081">
        <v>-315.90969999999999</v>
      </c>
      <c r="H2081" s="1">
        <v>-7.4332929999999996E-6</v>
      </c>
      <c r="I2081">
        <v>140.56780000000001</v>
      </c>
      <c r="J2081">
        <v>-302.39150000000001</v>
      </c>
      <c r="K2081">
        <v>1.1102179999999999</v>
      </c>
      <c r="L2081">
        <v>142.42859999999999</v>
      </c>
      <c r="M2081">
        <v>-0.99987780000000004</v>
      </c>
      <c r="N2081">
        <v>0</v>
      </c>
      <c r="O2081">
        <v>-1.1204E-2</v>
      </c>
      <c r="P2081">
        <v>-0.98751120000000003</v>
      </c>
      <c r="Q2081">
        <v>0.15641910000000001</v>
      </c>
      <c r="R2081">
        <v>-1.8841360000000001E-2</v>
      </c>
      <c r="S2081">
        <v>-3.0692750000000002</v>
      </c>
      <c r="T2081">
        <v>-0.24746199999999999</v>
      </c>
      <c r="U2081">
        <v>-0.41542050000000003</v>
      </c>
      <c r="V2081">
        <v>-7.9321789999999993E-3</v>
      </c>
      <c r="W2081">
        <v>0.1671841</v>
      </c>
      <c r="X2081">
        <v>0.98589380000000004</v>
      </c>
      <c r="Y2081">
        <v>-0.1226583</v>
      </c>
      <c r="Z2081">
        <v>-4.0167279999999998E-3</v>
      </c>
      <c r="AA2081">
        <v>0.99244080000000001</v>
      </c>
      <c r="AB2081">
        <v>40</v>
      </c>
      <c r="AC2081">
        <v>-13.518199999999901</v>
      </c>
      <c r="AD2081">
        <v>-1.1102254332929999</v>
      </c>
      <c r="AE2081">
        <v>-1.86079999999998</v>
      </c>
      <c r="AF2081">
        <v>-1.6979763286082501</v>
      </c>
      <c r="AG2081">
        <v>-1.1102254332929999</v>
      </c>
      <c r="AH2081">
        <v>13.4491727249367</v>
      </c>
      <c r="AI2081">
        <v>94.682050838588793</v>
      </c>
      <c r="AJ2081">
        <v>97.195599969485897</v>
      </c>
      <c r="AK2081">
        <v>13.601322403002801</v>
      </c>
      <c r="AL2081">
        <v>80.375863283952995</v>
      </c>
      <c r="AM2081">
        <v>90.460973152300397</v>
      </c>
      <c r="AN2081">
        <v>1.0000000138174601</v>
      </c>
    </row>
    <row r="2082" spans="1:40" x14ac:dyDescent="0.3">
      <c r="A2082" t="str">
        <f>"20200111150840392"</f>
        <v>20200111150840392</v>
      </c>
      <c r="B2082" t="str">
        <f>"1578726520385638"</f>
        <v>1578726520385638</v>
      </c>
      <c r="C2082" t="s">
        <v>40</v>
      </c>
      <c r="D2082">
        <v>5.4445399999999999</v>
      </c>
      <c r="E2082">
        <v>0.45566509999999999</v>
      </c>
      <c r="F2082" t="s">
        <v>86</v>
      </c>
      <c r="G2082">
        <v>-316.30610000000001</v>
      </c>
      <c r="H2082" s="1">
        <v>-7.2494980000000002E-6</v>
      </c>
      <c r="I2082">
        <v>140.53749999999999</v>
      </c>
      <c r="J2082">
        <v>-302.64409999999998</v>
      </c>
      <c r="K2082">
        <v>1.11022</v>
      </c>
      <c r="L2082">
        <v>142.4256</v>
      </c>
      <c r="M2082">
        <v>-0.99987470000000001</v>
      </c>
      <c r="N2082">
        <v>0</v>
      </c>
      <c r="O2082">
        <v>-1.1442229999999999E-2</v>
      </c>
      <c r="P2082">
        <v>-0.98747220000000002</v>
      </c>
      <c r="Q2082">
        <v>0.1565965</v>
      </c>
      <c r="R2082">
        <v>-1.9396819999999999E-2</v>
      </c>
      <c r="S2082">
        <v>-3.0687869999999999</v>
      </c>
      <c r="T2082">
        <v>-0.24485370000000001</v>
      </c>
      <c r="U2082">
        <v>-0.4170837</v>
      </c>
      <c r="V2082">
        <v>-8.2534419999999997E-3</v>
      </c>
      <c r="W2082">
        <v>0.1673895</v>
      </c>
      <c r="X2082">
        <v>0.98585630000000002</v>
      </c>
      <c r="Y2082">
        <v>-0.12297810000000001</v>
      </c>
      <c r="Z2082">
        <v>-3.9688010000000001E-3</v>
      </c>
      <c r="AA2082">
        <v>0.99240150000000005</v>
      </c>
      <c r="AB2082">
        <v>40</v>
      </c>
      <c r="AC2082">
        <v>-13.662000000000001</v>
      </c>
      <c r="AD2082">
        <v>-1.1102272494979999</v>
      </c>
      <c r="AE2082">
        <v>-1.8880999999999999</v>
      </c>
      <c r="AF2082">
        <v>-1.72049438531315</v>
      </c>
      <c r="AG2082">
        <v>-1.1102272494979999</v>
      </c>
      <c r="AH2082">
        <v>13.5946170321739</v>
      </c>
      <c r="AI2082">
        <v>94.632010433912299</v>
      </c>
      <c r="AJ2082">
        <v>97.212838340599006</v>
      </c>
      <c r="AK2082">
        <v>13.747956856453101</v>
      </c>
      <c r="AL2082">
        <v>80.363926427192993</v>
      </c>
      <c r="AM2082">
        <v>90.479660520126103</v>
      </c>
      <c r="AN2082">
        <v>1.00000000413239</v>
      </c>
    </row>
    <row r="2083" spans="1:40" x14ac:dyDescent="0.3">
      <c r="A2083" t="str">
        <f>"20200111150840408"</f>
        <v>20200111150840408</v>
      </c>
      <c r="B2083" t="str">
        <f>"1578726520405158"</f>
        <v>1578726520405158</v>
      </c>
      <c r="C2083" t="s">
        <v>40</v>
      </c>
      <c r="D2083">
        <v>5.5160400000000003</v>
      </c>
      <c r="E2083">
        <v>0.45559569999999999</v>
      </c>
      <c r="F2083" t="s">
        <v>86</v>
      </c>
      <c r="G2083">
        <v>-316.62009999999998</v>
      </c>
      <c r="H2083" s="1">
        <v>-7.1047559999999998E-6</v>
      </c>
      <c r="I2083">
        <v>140.51679999999999</v>
      </c>
      <c r="J2083">
        <v>-302.9239</v>
      </c>
      <c r="K2083">
        <v>1.1102289999999999</v>
      </c>
      <c r="L2083">
        <v>142.4222</v>
      </c>
      <c r="M2083">
        <v>-0.99987139999999997</v>
      </c>
      <c r="N2083">
        <v>0</v>
      </c>
      <c r="O2083">
        <v>-1.170612E-2</v>
      </c>
      <c r="P2083">
        <v>-0.98743760000000003</v>
      </c>
      <c r="Q2083">
        <v>0.156752</v>
      </c>
      <c r="R2083">
        <v>-1.989407E-2</v>
      </c>
      <c r="S2083">
        <v>-3.0685120000000001</v>
      </c>
      <c r="T2083">
        <v>-0.24375620000000001</v>
      </c>
      <c r="U2083">
        <v>-0.41909790000000002</v>
      </c>
      <c r="V2083">
        <v>-8.4910339999999997E-3</v>
      </c>
      <c r="W2083">
        <v>0.16757849999999999</v>
      </c>
      <c r="X2083">
        <v>0.98582210000000003</v>
      </c>
      <c r="Y2083">
        <v>-0.1233702</v>
      </c>
      <c r="Z2083">
        <v>-3.9458979999999998E-3</v>
      </c>
      <c r="AA2083">
        <v>0.99235280000000003</v>
      </c>
      <c r="AB2083">
        <v>40</v>
      </c>
      <c r="AC2083">
        <v>-13.6961999999999</v>
      </c>
      <c r="AD2083">
        <v>-1.1102361047560001</v>
      </c>
      <c r="AE2083">
        <v>-1.90540000000001</v>
      </c>
      <c r="AF2083">
        <v>-1.7337542648620701</v>
      </c>
      <c r="AG2083">
        <v>-1.1102361047560001</v>
      </c>
      <c r="AH2083">
        <v>13.629707458653201</v>
      </c>
      <c r="AI2083">
        <v>94.619801794706206</v>
      </c>
      <c r="AJ2083">
        <v>97.249323525659406</v>
      </c>
      <c r="AK2083">
        <v>13.7843191151286</v>
      </c>
      <c r="AL2083">
        <v>80.352941671171095</v>
      </c>
      <c r="AM2083">
        <v>90.493484962319997</v>
      </c>
      <c r="AN2083">
        <v>0.99999993208452198</v>
      </c>
    </row>
    <row r="2084" spans="1:40" x14ac:dyDescent="0.3">
      <c r="A2084" t="str">
        <f>"20200111150840431"</f>
        <v>20200111150840431</v>
      </c>
      <c r="B2084" t="str">
        <f>"1578726520425653"</f>
        <v>1578726520425653</v>
      </c>
      <c r="C2084" t="s">
        <v>40</v>
      </c>
      <c r="D2084">
        <v>5.4420440000000001</v>
      </c>
      <c r="E2084">
        <v>0.4555381</v>
      </c>
      <c r="F2084" t="s">
        <v>86</v>
      </c>
      <c r="G2084">
        <v>-317.19709999999998</v>
      </c>
      <c r="H2084" s="1">
        <v>-6.8356280000000002E-6</v>
      </c>
      <c r="I2084">
        <v>140.4665</v>
      </c>
      <c r="J2084">
        <v>-303.327</v>
      </c>
      <c r="K2084">
        <v>1.1102399999999999</v>
      </c>
      <c r="L2084">
        <v>142.4171</v>
      </c>
      <c r="M2084">
        <v>-0.99986620000000004</v>
      </c>
      <c r="N2084">
        <v>0</v>
      </c>
      <c r="O2084">
        <v>-1.208588E-2</v>
      </c>
      <c r="P2084">
        <v>-0.98739359999999998</v>
      </c>
      <c r="Q2084">
        <v>0.1570134</v>
      </c>
      <c r="R2084">
        <v>-2.0015890000000001E-2</v>
      </c>
      <c r="S2084">
        <v>-3.0675659999999998</v>
      </c>
      <c r="T2084">
        <v>-0.23860999999999999</v>
      </c>
      <c r="U2084">
        <v>-0.42031859999999999</v>
      </c>
      <c r="V2084">
        <v>-8.2381529999999998E-3</v>
      </c>
      <c r="W2084">
        <v>0.16789299999999999</v>
      </c>
      <c r="X2084">
        <v>0.98577079999999995</v>
      </c>
      <c r="Y2084">
        <v>-0.1234372</v>
      </c>
      <c r="Z2084">
        <v>-3.8371540000000002E-3</v>
      </c>
      <c r="AA2084">
        <v>0.99234500000000003</v>
      </c>
      <c r="AB2084">
        <v>40</v>
      </c>
      <c r="AC2084">
        <v>-13.8700999999999</v>
      </c>
      <c r="AD2084">
        <v>-1.110246835628</v>
      </c>
      <c r="AE2084">
        <v>-1.9505999999999999</v>
      </c>
      <c r="AF2084">
        <v>-1.7716832935968201</v>
      </c>
      <c r="AG2084">
        <v>-1.110246835628</v>
      </c>
      <c r="AH2084">
        <v>13.8059189498205</v>
      </c>
      <c r="AI2084">
        <v>94.560489781448496</v>
      </c>
      <c r="AJ2084">
        <v>97.3126747033821</v>
      </c>
      <c r="AK2084">
        <v>13.9633415691892</v>
      </c>
      <c r="AL2084">
        <v>80.334663824191495</v>
      </c>
      <c r="AM2084">
        <v>90.478813543500806</v>
      </c>
      <c r="AN2084">
        <v>0.99999999837324505</v>
      </c>
    </row>
    <row r="2085" spans="1:40" x14ac:dyDescent="0.3">
      <c r="A2085" t="str">
        <f>"20200111150840452"</f>
        <v>20200111150840452</v>
      </c>
      <c r="B2085" t="str">
        <f>"1578726520445176"</f>
        <v>1578726520445176</v>
      </c>
      <c r="C2085" t="s">
        <v>40</v>
      </c>
      <c r="D2085">
        <v>5.1778089999999999</v>
      </c>
      <c r="E2085">
        <v>0.45550360000000001</v>
      </c>
      <c r="F2085" t="s">
        <v>86</v>
      </c>
      <c r="G2085">
        <v>-317.92340000000002</v>
      </c>
      <c r="H2085" s="1">
        <v>-6.49888E-6</v>
      </c>
      <c r="I2085">
        <v>140.4109</v>
      </c>
      <c r="J2085">
        <v>-303.7226</v>
      </c>
      <c r="K2085">
        <v>1.1102510000000001</v>
      </c>
      <c r="L2085">
        <v>142.41200000000001</v>
      </c>
      <c r="M2085">
        <v>-0.999861</v>
      </c>
      <c r="N2085">
        <v>0</v>
      </c>
      <c r="O2085">
        <v>-1.2458510000000001E-2</v>
      </c>
      <c r="P2085">
        <v>-0.98741820000000002</v>
      </c>
      <c r="Q2085">
        <v>0.15688150000000001</v>
      </c>
      <c r="R2085">
        <v>-1.984588E-2</v>
      </c>
      <c r="S2085">
        <v>-3.0668639999999998</v>
      </c>
      <c r="T2085">
        <v>-0.23327500000000001</v>
      </c>
      <c r="U2085">
        <v>-0.42152400000000001</v>
      </c>
      <c r="V2085">
        <v>-7.7000419999999998E-3</v>
      </c>
      <c r="W2085">
        <v>0.1678183</v>
      </c>
      <c r="X2085">
        <v>0.98578790000000005</v>
      </c>
      <c r="Y2085">
        <v>-0.1234961</v>
      </c>
      <c r="Z2085">
        <v>-3.7264239999999999E-3</v>
      </c>
      <c r="AA2085">
        <v>0.9923381</v>
      </c>
      <c r="AB2085">
        <v>40</v>
      </c>
      <c r="AC2085">
        <v>-14.200799999999999</v>
      </c>
      <c r="AD2085">
        <v>-1.11025749888</v>
      </c>
      <c r="AE2085">
        <v>-2.0011000000000001</v>
      </c>
      <c r="AF2085">
        <v>-1.8131458642706999</v>
      </c>
      <c r="AG2085">
        <v>-1.11025749888</v>
      </c>
      <c r="AH2085">
        <v>14.139882207823</v>
      </c>
      <c r="AI2085">
        <v>94.453313966583707</v>
      </c>
      <c r="AJ2085">
        <v>97.307116760109196</v>
      </c>
      <c r="AK2085">
        <v>14.2988264724784</v>
      </c>
      <c r="AL2085">
        <v>80.339005709460693</v>
      </c>
      <c r="AM2085">
        <v>90.447531296029496</v>
      </c>
      <c r="AN2085">
        <v>1.00000002812405</v>
      </c>
    </row>
    <row r="2086" spans="1:40" x14ac:dyDescent="0.3">
      <c r="A2086" t="str">
        <f>"20200111150840467"</f>
        <v>20200111150840467</v>
      </c>
      <c r="B2086" t="str">
        <f>"1578726520465669"</f>
        <v>1578726520465669</v>
      </c>
      <c r="C2086" t="s">
        <v>40</v>
      </c>
      <c r="D2086">
        <v>7.8294550000000003</v>
      </c>
      <c r="E2086">
        <v>0.4206511</v>
      </c>
      <c r="F2086" t="s">
        <v>86</v>
      </c>
      <c r="G2086">
        <v>-318.40269999999998</v>
      </c>
      <c r="H2086" s="1">
        <v>-6.2814520000000003E-6</v>
      </c>
      <c r="I2086">
        <v>140.39250000000001</v>
      </c>
      <c r="J2086">
        <v>-303.97899999999998</v>
      </c>
      <c r="K2086">
        <v>1.1102540000000001</v>
      </c>
      <c r="L2086">
        <v>142.40860000000001</v>
      </c>
      <c r="M2086">
        <v>-0.99985740000000001</v>
      </c>
      <c r="N2086">
        <v>0</v>
      </c>
      <c r="O2086">
        <v>-1.26999E-2</v>
      </c>
      <c r="P2086">
        <v>-0.98738049999999999</v>
      </c>
      <c r="Q2086">
        <v>0.15709200000000001</v>
      </c>
      <c r="R2086">
        <v>-2.004763E-2</v>
      </c>
      <c r="S2086">
        <v>-3.0666199999999999</v>
      </c>
      <c r="T2086">
        <v>-0.23192860000000001</v>
      </c>
      <c r="U2086">
        <v>-0.421875</v>
      </c>
      <c r="V2086">
        <v>-7.6639890000000004E-3</v>
      </c>
      <c r="W2086">
        <v>0.16806650000000001</v>
      </c>
      <c r="X2086">
        <v>0.98574580000000001</v>
      </c>
      <c r="Y2086">
        <v>-0.123383199999999</v>
      </c>
      <c r="Z2086">
        <v>-3.6828569999999999E-3</v>
      </c>
      <c r="AA2086">
        <v>0.99235220000000002</v>
      </c>
      <c r="AB2086">
        <v>40</v>
      </c>
      <c r="AC2086">
        <v>-14.423699999999901</v>
      </c>
      <c r="AD2086">
        <v>-1.110260281452</v>
      </c>
      <c r="AE2086">
        <v>-2.01609999999999</v>
      </c>
      <c r="AF2086">
        <v>-1.8221569104640201</v>
      </c>
      <c r="AG2086">
        <v>-1.110260281452</v>
      </c>
      <c r="AH2086">
        <v>14.3646613373649</v>
      </c>
      <c r="AI2086">
        <v>94.384668897185605</v>
      </c>
      <c r="AJ2086">
        <v>97.229357449188001</v>
      </c>
      <c r="AK2086">
        <v>14.5222735491419</v>
      </c>
      <c r="AL2086">
        <v>80.324579083815195</v>
      </c>
      <c r="AM2086">
        <v>90.445454980826398</v>
      </c>
      <c r="AN2086">
        <v>0.99999993368363804</v>
      </c>
    </row>
    <row r="2087" spans="1:40" x14ac:dyDescent="0.3">
      <c r="A2087" t="str">
        <f>"20200111150840484"</f>
        <v>20200111150840484</v>
      </c>
      <c r="B2087" t="str">
        <f>"1578726520475429"</f>
        <v>1578726520475429</v>
      </c>
      <c r="C2087" t="s">
        <v>40</v>
      </c>
      <c r="D2087">
        <v>5.1837669999999996</v>
      </c>
      <c r="E2087">
        <v>0.4206511</v>
      </c>
      <c r="F2087" t="s">
        <v>81</v>
      </c>
      <c r="G2087">
        <v>-398.1542</v>
      </c>
      <c r="H2087">
        <v>19.94875</v>
      </c>
      <c r="I2087">
        <v>120.1846</v>
      </c>
      <c r="J2087">
        <v>-304.26519999999999</v>
      </c>
      <c r="K2087">
        <v>1.1102609999999999</v>
      </c>
      <c r="L2087">
        <v>142.40479999999999</v>
      </c>
      <c r="M2087">
        <v>-0.99985360000000001</v>
      </c>
      <c r="N2087">
        <v>0</v>
      </c>
      <c r="O2087">
        <v>-1.296899E-2</v>
      </c>
      <c r="P2087">
        <v>-0.98736179999999996</v>
      </c>
      <c r="Q2087">
        <v>0.1572181</v>
      </c>
      <c r="R2087">
        <v>-1.9994060000000001E-2</v>
      </c>
      <c r="S2087">
        <v>-2.9310299999999998</v>
      </c>
      <c r="T2087">
        <v>0.58631319999999998</v>
      </c>
      <c r="U2087">
        <v>-0.69168090000000004</v>
      </c>
      <c r="V2087">
        <v>-7.3460239999999996E-3</v>
      </c>
      <c r="W2087">
        <v>0.16823759999999999</v>
      </c>
      <c r="X2087">
        <v>0.98571909999999896</v>
      </c>
      <c r="Y2087">
        <v>-0.21327660000000001</v>
      </c>
      <c r="Z2087">
        <v>1.8310070000000001E-2</v>
      </c>
      <c r="AA2087">
        <v>0.97682029999999997</v>
      </c>
      <c r="AB2087">
        <v>40</v>
      </c>
      <c r="AC2087">
        <v>-93.888999999999996</v>
      </c>
      <c r="AD2087">
        <v>18.838488999999999</v>
      </c>
      <c r="AE2087">
        <v>-22.220199999999899</v>
      </c>
      <c r="AF2087">
        <v>-20.229391172863998</v>
      </c>
      <c r="AG2087">
        <v>18.838488999999999</v>
      </c>
      <c r="AH2087">
        <v>90.711056596297993</v>
      </c>
      <c r="AI2087">
        <v>78.541585079631304</v>
      </c>
      <c r="AJ2087">
        <v>102.571763731282</v>
      </c>
      <c r="AK2087">
        <v>94.829387448431106</v>
      </c>
      <c r="AL2087">
        <v>80.314634810154899</v>
      </c>
      <c r="AM2087">
        <v>90.426986125768906</v>
      </c>
      <c r="AN2087">
        <v>0.99999999911358906</v>
      </c>
    </row>
    <row r="2088" spans="1:40" x14ac:dyDescent="0.3">
      <c r="A2088" t="str">
        <f>"20200111150840498"</f>
        <v>20200111150840498</v>
      </c>
      <c r="B2088" t="str">
        <f>"1578726520495614"</f>
        <v>1578726520495614</v>
      </c>
      <c r="C2088" t="s">
        <v>40</v>
      </c>
      <c r="D2088">
        <v>5.4784350000000002</v>
      </c>
      <c r="E2088">
        <v>0.47385290000000002</v>
      </c>
      <c r="F2088" t="s">
        <v>81</v>
      </c>
      <c r="G2088">
        <v>-398.4658</v>
      </c>
      <c r="H2088">
        <v>19.961649999999999</v>
      </c>
      <c r="I2088">
        <v>120.1846</v>
      </c>
      <c r="J2088">
        <v>-304.54349999999999</v>
      </c>
      <c r="K2088">
        <v>1.110268</v>
      </c>
      <c r="L2088">
        <v>142.40090000000001</v>
      </c>
      <c r="M2088">
        <v>-0.99984949999999995</v>
      </c>
      <c r="N2088">
        <v>0</v>
      </c>
      <c r="O2088">
        <v>-1.323094E-2</v>
      </c>
      <c r="P2088">
        <v>-0.98741029999999996</v>
      </c>
      <c r="Q2088">
        <v>0.15688360000000001</v>
      </c>
      <c r="R2088">
        <v>-2.0205500000000001E-2</v>
      </c>
      <c r="S2088">
        <v>-2.9309690000000002</v>
      </c>
      <c r="T2088">
        <v>0.58654450000000002</v>
      </c>
      <c r="U2088">
        <v>-0.69136049999999905</v>
      </c>
      <c r="V2088">
        <v>-7.2979749999999999E-3</v>
      </c>
      <c r="W2088">
        <v>0.16794990000000001</v>
      </c>
      <c r="X2088">
        <v>0.98576850000000005</v>
      </c>
      <c r="Y2088">
        <v>-0.21293239999999999</v>
      </c>
      <c r="Z2088">
        <v>1.8232910000000001E-2</v>
      </c>
      <c r="AA2088">
        <v>0.97689680000000001</v>
      </c>
      <c r="AB2088">
        <v>40</v>
      </c>
      <c r="AC2088">
        <v>-93.922300000000007</v>
      </c>
      <c r="AD2088">
        <v>18.851382000000001</v>
      </c>
      <c r="AE2088">
        <v>-22.2163</v>
      </c>
      <c r="AF2088">
        <v>-20.2009126658592</v>
      </c>
      <c r="AG2088">
        <v>18.851382000000001</v>
      </c>
      <c r="AH2088">
        <v>90.745993478495194</v>
      </c>
      <c r="AI2088">
        <v>78.537301416117103</v>
      </c>
      <c r="AJ2088">
        <v>102.54994659656801</v>
      </c>
      <c r="AK2088">
        <v>94.859300061947906</v>
      </c>
      <c r="AL2088">
        <v>80.331356579683302</v>
      </c>
      <c r="AM2088">
        <v>90.424172133065994</v>
      </c>
      <c r="AN2088">
        <v>0.99999998247068</v>
      </c>
    </row>
    <row r="2089" spans="1:40" x14ac:dyDescent="0.3">
      <c r="A2089" t="str">
        <f>"20200111150840521"</f>
        <v>20200111150840521</v>
      </c>
      <c r="B2089" t="str">
        <f>"1578726520515134"</f>
        <v>1578726520515134</v>
      </c>
      <c r="C2089" t="s">
        <v>40</v>
      </c>
      <c r="D2089">
        <v>5.4423969999999997</v>
      </c>
      <c r="E2089">
        <v>0.47360629999999998</v>
      </c>
      <c r="F2089" t="s">
        <v>49</v>
      </c>
      <c r="G2089">
        <v>0</v>
      </c>
      <c r="H2089">
        <v>0</v>
      </c>
      <c r="I2089">
        <v>0</v>
      </c>
      <c r="J2089">
        <v>-304.93799999999999</v>
      </c>
      <c r="K2089">
        <v>1.1102730000000001</v>
      </c>
      <c r="L2089">
        <v>142.3954</v>
      </c>
      <c r="M2089">
        <v>-0.99984379999999995</v>
      </c>
      <c r="N2089">
        <v>0</v>
      </c>
      <c r="O2089">
        <v>-1.3602609999999999E-2</v>
      </c>
      <c r="P2089">
        <v>-0.987479</v>
      </c>
      <c r="Q2089">
        <v>0.15642329999999999</v>
      </c>
      <c r="R2089">
        <v>-2.0424439999999999E-2</v>
      </c>
      <c r="S2089">
        <v>-3.0310969999999999</v>
      </c>
      <c r="T2089">
        <v>9.8811390000000006E-3</v>
      </c>
      <c r="U2089">
        <v>-0.27389530000000001</v>
      </c>
      <c r="V2089">
        <v>-7.148504E-3</v>
      </c>
      <c r="W2089">
        <v>0.1675635</v>
      </c>
      <c r="X2089">
        <v>0.98583540000000003</v>
      </c>
      <c r="Y2089">
        <v>-7.6438160000000005E-2</v>
      </c>
      <c r="Z2089" s="1">
        <v>8.0089419999999906E-5</v>
      </c>
      <c r="AA2089">
        <v>0.99707429999999997</v>
      </c>
      <c r="AB2089">
        <v>40</v>
      </c>
      <c r="AC2089">
        <v>-3.0310969999999999</v>
      </c>
      <c r="AD2089">
        <v>9.8811390000000006E-3</v>
      </c>
      <c r="AE2089">
        <v>-0.27389530000000001</v>
      </c>
      <c r="AF2089">
        <v>-0.23263404796384499</v>
      </c>
      <c r="AG2089">
        <v>9.8811390000000006E-3</v>
      </c>
      <c r="AH2089">
        <v>3.0345104692142102</v>
      </c>
      <c r="AI2089">
        <v>89.813976849095397</v>
      </c>
      <c r="AJ2089">
        <v>94.383879614612795</v>
      </c>
      <c r="AK2089">
        <v>3.0434306341611701</v>
      </c>
      <c r="AL2089">
        <v>80.353814405399405</v>
      </c>
      <c r="AM2089">
        <v>90.415456708784205</v>
      </c>
      <c r="AN2089">
        <v>1.00000003176742</v>
      </c>
    </row>
    <row r="2090" spans="1:40" x14ac:dyDescent="0.3">
      <c r="A2090" t="str">
        <f>"20200111150840542"</f>
        <v>20200111150840542</v>
      </c>
      <c r="B2090" t="str">
        <f>"1578726520535631"</f>
        <v>1578726520535631</v>
      </c>
      <c r="C2090" t="s">
        <v>40</v>
      </c>
      <c r="D2090">
        <v>5.4031279999999997</v>
      </c>
      <c r="E2090">
        <v>0.4720877</v>
      </c>
      <c r="F2090" t="s">
        <v>43</v>
      </c>
      <c r="G2090">
        <v>-364.41419999999999</v>
      </c>
      <c r="H2090" s="1">
        <v>-2.8468960000000001E-6</v>
      </c>
      <c r="I2090">
        <v>136.97630000000001</v>
      </c>
      <c r="J2090">
        <v>-305.3159</v>
      </c>
      <c r="K2090">
        <v>1.1102970000000001</v>
      </c>
      <c r="L2090">
        <v>142.38990000000001</v>
      </c>
      <c r="M2090">
        <v>-0.99983750000000005</v>
      </c>
      <c r="N2090">
        <v>0</v>
      </c>
      <c r="O2090">
        <v>-1.396318E-2</v>
      </c>
      <c r="P2090">
        <v>-0.98760999999999999</v>
      </c>
      <c r="Q2090">
        <v>0.1554885</v>
      </c>
      <c r="R2090">
        <v>-2.1207859999999999E-2</v>
      </c>
      <c r="S2090">
        <v>-3.04129</v>
      </c>
      <c r="T2090">
        <v>-5.6773539999999997E-2</v>
      </c>
      <c r="U2090">
        <v>-0.277099599999999</v>
      </c>
      <c r="V2090">
        <v>-7.5745409999999997E-3</v>
      </c>
      <c r="W2090">
        <v>0.1667332</v>
      </c>
      <c r="X2090">
        <v>0.98597290000000004</v>
      </c>
      <c r="Y2090">
        <v>-7.681048E-2</v>
      </c>
      <c r="Z2090">
        <v>-4.5532249999999998E-4</v>
      </c>
      <c r="AA2090">
        <v>0.99704559999999998</v>
      </c>
      <c r="AB2090">
        <v>40</v>
      </c>
      <c r="AC2090">
        <v>-59.098300000000002</v>
      </c>
      <c r="AD2090">
        <v>-1.1102998468959999</v>
      </c>
      <c r="AE2090">
        <v>-5.4135999999999997</v>
      </c>
      <c r="AF2090">
        <v>-4.5862130162242796</v>
      </c>
      <c r="AG2090">
        <v>-1.1102998468959999</v>
      </c>
      <c r="AH2090">
        <v>59.1474305479097</v>
      </c>
      <c r="AI2090">
        <v>91.072197268503999</v>
      </c>
      <c r="AJ2090">
        <v>94.433767030182494</v>
      </c>
      <c r="AK2090">
        <v>59.3353575534857</v>
      </c>
      <c r="AL2090">
        <v>80.402065079708606</v>
      </c>
      <c r="AM2090">
        <v>90.440154788900401</v>
      </c>
      <c r="AN2090">
        <v>0.99999994659400404</v>
      </c>
    </row>
    <row r="2091" spans="1:40" x14ac:dyDescent="0.3">
      <c r="A2091" t="str">
        <f>"20200111150840598"</f>
        <v>20200111150840598</v>
      </c>
      <c r="B2091" t="str">
        <f>"1578726520595167"</f>
        <v>1578726520595167</v>
      </c>
      <c r="C2091" t="s">
        <v>40</v>
      </c>
      <c r="D2091">
        <v>4.7339029999999998</v>
      </c>
      <c r="E2091">
        <v>0.47188940000000001</v>
      </c>
      <c r="F2091" t="s">
        <v>43</v>
      </c>
      <c r="G2091">
        <v>-342.90960000000001</v>
      </c>
      <c r="H2091" s="1">
        <v>-3.1716950000000001E-6</v>
      </c>
      <c r="I2091">
        <v>138.78399999999999</v>
      </c>
      <c r="J2091">
        <v>-306.30059999999997</v>
      </c>
      <c r="K2091">
        <v>1.110376</v>
      </c>
      <c r="L2091">
        <v>142.375</v>
      </c>
      <c r="M2091">
        <v>-0.99981960000000003</v>
      </c>
      <c r="N2091">
        <v>0</v>
      </c>
      <c r="O2091">
        <v>-1.487314E-2</v>
      </c>
      <c r="P2091">
        <v>-0.98752689999999999</v>
      </c>
      <c r="Q2091">
        <v>0.1556678</v>
      </c>
      <c r="R2091">
        <v>-2.3629359999999999E-2</v>
      </c>
      <c r="S2091">
        <v>-3.0455320000000001</v>
      </c>
      <c r="T2091">
        <v>-8.9947460000000007E-2</v>
      </c>
      <c r="U2091">
        <v>-0.29211429999999999</v>
      </c>
      <c r="V2091">
        <v>-9.1006500000000001E-3</v>
      </c>
      <c r="W2091">
        <v>0.16732420000000001</v>
      </c>
      <c r="X2091">
        <v>0.98585990000000001</v>
      </c>
      <c r="Y2091">
        <v>-8.0632300000000004E-2</v>
      </c>
      <c r="Z2091">
        <v>-7.4961649999999999E-4</v>
      </c>
      <c r="AA2091">
        <v>0.99674359999999995</v>
      </c>
      <c r="AB2091">
        <v>40</v>
      </c>
      <c r="AC2091">
        <v>-36.609000000000002</v>
      </c>
      <c r="AD2091">
        <v>-1.110379171695</v>
      </c>
      <c r="AE2091">
        <v>-3.5910000000000002</v>
      </c>
      <c r="AF2091">
        <v>-3.04330093901455</v>
      </c>
      <c r="AG2091">
        <v>-1.110379171695</v>
      </c>
      <c r="AH2091">
        <v>36.6249909736744</v>
      </c>
      <c r="AI2091">
        <v>91.730573969838403</v>
      </c>
      <c r="AJ2091">
        <v>94.7499982490056</v>
      </c>
      <c r="AK2091">
        <v>36.7679831692204</v>
      </c>
      <c r="AL2091">
        <v>80.367721091137497</v>
      </c>
      <c r="AM2091">
        <v>90.528892619988298</v>
      </c>
      <c r="AN2091">
        <v>0.99999997608203595</v>
      </c>
    </row>
    <row r="2092" spans="1:40" x14ac:dyDescent="0.3">
      <c r="A2092" t="str">
        <f>"20200111150840720"</f>
        <v>20200111150840720</v>
      </c>
      <c r="B2092" t="str">
        <f>"1578726520715214"</f>
        <v>1578726520715214</v>
      </c>
      <c r="C2092" t="s">
        <v>40</v>
      </c>
      <c r="D2092">
        <v>4.7387290000000002</v>
      </c>
      <c r="E2092">
        <v>0.46928110000000001</v>
      </c>
      <c r="F2092" t="s">
        <v>49</v>
      </c>
      <c r="G2092">
        <v>0</v>
      </c>
      <c r="H2092">
        <v>0</v>
      </c>
      <c r="I2092">
        <v>0</v>
      </c>
      <c r="J2092">
        <v>-308.45690000000002</v>
      </c>
      <c r="K2092">
        <v>1.110554</v>
      </c>
      <c r="L2092">
        <v>142.33930000000001</v>
      </c>
      <c r="M2092">
        <v>-0.99976980000000004</v>
      </c>
      <c r="N2092">
        <v>0</v>
      </c>
      <c r="O2092">
        <v>-1.6886249999999998E-2</v>
      </c>
      <c r="P2092">
        <v>-0.98785480000000003</v>
      </c>
      <c r="Q2092">
        <v>0.1533476</v>
      </c>
      <c r="R2092">
        <v>-2.505452E-2</v>
      </c>
      <c r="S2092">
        <v>-3.0311889999999999</v>
      </c>
      <c r="T2092">
        <v>-3.1578539999999999E-3</v>
      </c>
      <c r="U2092">
        <v>-0.30043029999999998</v>
      </c>
      <c r="V2092">
        <v>-8.5190530000000004E-3</v>
      </c>
      <c r="W2092">
        <v>0.16641819999999999</v>
      </c>
      <c r="X2092">
        <v>0.98601850000000002</v>
      </c>
      <c r="Y2092">
        <v>-8.1810279999999999E-2</v>
      </c>
      <c r="Z2092" s="1">
        <v>-2.4964160000000001E-5</v>
      </c>
      <c r="AA2092">
        <v>0.99664790000000003</v>
      </c>
      <c r="AB2092">
        <v>40</v>
      </c>
      <c r="AC2092">
        <v>-3.0311889999999999</v>
      </c>
      <c r="AD2092">
        <v>-3.1578539999999999E-3</v>
      </c>
      <c r="AE2092">
        <v>-0.30043029999999998</v>
      </c>
      <c r="AF2092">
        <v>-0.24919728872338701</v>
      </c>
      <c r="AG2092">
        <v>-3.1578539999999999E-3</v>
      </c>
      <c r="AH2092">
        <v>3.03582705141784</v>
      </c>
      <c r="AI2092">
        <v>90.059399017459597</v>
      </c>
      <c r="AJ2092">
        <v>94.692630145479697</v>
      </c>
      <c r="AK2092">
        <v>3.0460392556349798</v>
      </c>
      <c r="AL2092">
        <v>80.420369854917297</v>
      </c>
      <c r="AM2092">
        <v>90.495014685502397</v>
      </c>
      <c r="AN2092">
        <v>1.0000000369487501</v>
      </c>
    </row>
    <row r="2093" spans="1:40" x14ac:dyDescent="0.3">
      <c r="A2093" t="str">
        <f>"20200111150840734"</f>
        <v>20200111150840734</v>
      </c>
      <c r="B2093" t="str">
        <f>"1578726520724974"</f>
        <v>1578726520724974</v>
      </c>
      <c r="C2093" t="s">
        <v>40</v>
      </c>
      <c r="D2093">
        <v>8.2167440000000003</v>
      </c>
      <c r="E2093">
        <v>0.46928110000000001</v>
      </c>
      <c r="F2093" t="s">
        <v>45</v>
      </c>
      <c r="G2093">
        <v>-460.84300000000002</v>
      </c>
      <c r="H2093">
        <v>6.1836820000000001</v>
      </c>
      <c r="I2093">
        <v>125.9483</v>
      </c>
      <c r="J2093">
        <v>-308.72320000000002</v>
      </c>
      <c r="K2093">
        <v>1.1105640000000001</v>
      </c>
      <c r="L2093">
        <v>142.33449999999999</v>
      </c>
      <c r="M2093">
        <v>-0.99976379999999998</v>
      </c>
      <c r="N2093">
        <v>0</v>
      </c>
      <c r="O2093">
        <v>-1.7128890000000001E-2</v>
      </c>
      <c r="P2093">
        <v>-0.98792829999999998</v>
      </c>
      <c r="Q2093">
        <v>0.152806</v>
      </c>
      <c r="R2093">
        <v>-2.5463779999999998E-2</v>
      </c>
      <c r="S2093">
        <v>-3.0131230000000002</v>
      </c>
      <c r="T2093">
        <v>0.10031130000000001</v>
      </c>
      <c r="U2093">
        <v>-0.32409670000000002</v>
      </c>
      <c r="V2093">
        <v>-8.68797199999999E-3</v>
      </c>
      <c r="W2093">
        <v>0.16601659999999999</v>
      </c>
      <c r="X2093">
        <v>0.98608470000000004</v>
      </c>
      <c r="Y2093">
        <v>-8.9857179999999995E-2</v>
      </c>
      <c r="Z2093">
        <v>9.2267830000000001E-4</v>
      </c>
      <c r="AA2093">
        <v>0.99595420000000001</v>
      </c>
      <c r="AB2093">
        <v>39</v>
      </c>
      <c r="AC2093">
        <v>-152.1198</v>
      </c>
      <c r="AD2093">
        <v>5.073118</v>
      </c>
      <c r="AE2093">
        <v>-16.386199999999899</v>
      </c>
      <c r="AF2093">
        <v>-13.762787819000399</v>
      </c>
      <c r="AG2093">
        <v>5.073118</v>
      </c>
      <c r="AH2093">
        <v>152.210835632092</v>
      </c>
      <c r="AI2093">
        <v>88.098814498572693</v>
      </c>
      <c r="AJ2093">
        <v>95.166591246558895</v>
      </c>
      <c r="AK2093">
        <v>152.915955147304</v>
      </c>
      <c r="AL2093">
        <v>80.443704221846005</v>
      </c>
      <c r="AM2093">
        <v>90.504795631006701</v>
      </c>
      <c r="AN2093">
        <v>1.0000000139535601</v>
      </c>
    </row>
    <row r="2094" spans="1:40" x14ac:dyDescent="0.3">
      <c r="A2094" t="str">
        <f>"20200111150840820"</f>
        <v>20200111150840820</v>
      </c>
      <c r="B2094" t="str">
        <f>"1578726520814965"</f>
        <v>1578726520814965</v>
      </c>
      <c r="C2094" t="s">
        <v>40</v>
      </c>
      <c r="D2094">
        <v>5.5384929999999999</v>
      </c>
      <c r="E2094">
        <v>0.46165109999999898</v>
      </c>
      <c r="F2094" t="s">
        <v>45</v>
      </c>
      <c r="G2094">
        <v>-460.84300000000002</v>
      </c>
      <c r="H2094">
        <v>6.0932559999999896</v>
      </c>
      <c r="I2094">
        <v>125.90989999999999</v>
      </c>
      <c r="J2094">
        <v>-310.22559999999999</v>
      </c>
      <c r="K2094">
        <v>1.1105959999999999</v>
      </c>
      <c r="L2094">
        <v>142.30680000000001</v>
      </c>
      <c r="M2094">
        <v>-0.99973049999999997</v>
      </c>
      <c r="N2094">
        <v>0</v>
      </c>
      <c r="O2094">
        <v>-1.8510220000000001E-2</v>
      </c>
      <c r="P2094">
        <v>-0.98827100000000001</v>
      </c>
      <c r="Q2094">
        <v>0.15038560000000001</v>
      </c>
      <c r="R2094">
        <v>-2.654221E-2</v>
      </c>
      <c r="S2094">
        <v>-3.0129999999999999</v>
      </c>
      <c r="T2094">
        <v>9.8691459999999995E-2</v>
      </c>
      <c r="U2094">
        <v>-0.32531739999999998</v>
      </c>
      <c r="V2094">
        <v>-8.3919659999999903E-3</v>
      </c>
      <c r="W2094">
        <v>0.1642102</v>
      </c>
      <c r="X2094">
        <v>0.98638959999999998</v>
      </c>
      <c r="Y2094">
        <v>-8.8886580000000007E-2</v>
      </c>
      <c r="Z2094">
        <v>8.4687360000000004E-4</v>
      </c>
      <c r="AA2094">
        <v>0.99604139999999997</v>
      </c>
      <c r="AB2094">
        <v>39</v>
      </c>
      <c r="AC2094">
        <v>-150.6174</v>
      </c>
      <c r="AD2094">
        <v>4.9826599999999903</v>
      </c>
      <c r="AE2094">
        <v>-16.396899999999999</v>
      </c>
      <c r="AF2094">
        <v>-13.5911554866932</v>
      </c>
      <c r="AG2094">
        <v>4.9826599999999903</v>
      </c>
      <c r="AH2094">
        <v>150.73210223367801</v>
      </c>
      <c r="AI2094">
        <v>88.114341781633399</v>
      </c>
      <c r="AJ2094">
        <v>95.152291382284204</v>
      </c>
      <c r="AK2094">
        <v>151.42560236605701</v>
      </c>
      <c r="AL2094">
        <v>80.548642858258304</v>
      </c>
      <c r="AM2094">
        <v>90.487446981514793</v>
      </c>
      <c r="AN2094">
        <v>0.99999992893277001</v>
      </c>
    </row>
    <row r="2095" spans="1:40" x14ac:dyDescent="0.3">
      <c r="A2095" t="str">
        <f>"20200111150840843"</f>
        <v>20200111150840843</v>
      </c>
      <c r="B2095" t="str">
        <f>"1578726520835464"</f>
        <v>1578726520835464</v>
      </c>
      <c r="C2095" t="s">
        <v>40</v>
      </c>
      <c r="D2095">
        <v>7.3231419999999998</v>
      </c>
      <c r="E2095">
        <v>0.46749220000000002</v>
      </c>
      <c r="F2095" t="s">
        <v>49</v>
      </c>
      <c r="G2095">
        <v>0</v>
      </c>
      <c r="H2095">
        <v>0</v>
      </c>
      <c r="I2095">
        <v>0</v>
      </c>
      <c r="J2095">
        <v>-310.63040000000001</v>
      </c>
      <c r="K2095">
        <v>1.110595</v>
      </c>
      <c r="L2095">
        <v>142.2989</v>
      </c>
      <c r="M2095">
        <v>-0.99972220000000001</v>
      </c>
      <c r="N2095">
        <v>0</v>
      </c>
      <c r="O2095">
        <v>-1.888712E-2</v>
      </c>
      <c r="P2095">
        <v>-0.98835870000000003</v>
      </c>
      <c r="Q2095">
        <v>0.14990829999999999</v>
      </c>
      <c r="R2095">
        <v>-2.597033E-2</v>
      </c>
      <c r="S2095">
        <v>-2.96286</v>
      </c>
      <c r="T2095">
        <v>0.40990660000000001</v>
      </c>
      <c r="U2095">
        <v>-0.38574219999999998</v>
      </c>
      <c r="V2095">
        <v>-7.44563E-3</v>
      </c>
      <c r="W2095">
        <v>0.16383020000000001</v>
      </c>
      <c r="X2095">
        <v>0.98646040000000002</v>
      </c>
      <c r="Y2095">
        <v>-0.1095008</v>
      </c>
      <c r="Z2095">
        <v>4.9182929999999998E-3</v>
      </c>
      <c r="AA2095">
        <v>0.99397460000000004</v>
      </c>
      <c r="AB2095">
        <v>39</v>
      </c>
      <c r="AC2095">
        <v>-2.96286</v>
      </c>
      <c r="AD2095">
        <v>0.40990660000000001</v>
      </c>
      <c r="AE2095">
        <v>-0.38574219999999998</v>
      </c>
      <c r="AF2095">
        <v>-0.323617053121731</v>
      </c>
      <c r="AG2095">
        <v>0.40990660000000001</v>
      </c>
      <c r="AH2095">
        <v>2.9147583437486002</v>
      </c>
      <c r="AI2095">
        <v>82.043170391807195</v>
      </c>
      <c r="AJ2095">
        <v>96.335434727054604</v>
      </c>
      <c r="AK2095">
        <v>2.9611767289790198</v>
      </c>
      <c r="AL2095">
        <v>80.570714333682204</v>
      </c>
      <c r="AM2095">
        <v>90.432450277727895</v>
      </c>
      <c r="AN2095">
        <v>0.99999994630314704</v>
      </c>
    </row>
    <row r="2096" spans="1:40" x14ac:dyDescent="0.3">
      <c r="A2096" t="str">
        <f>"20200111150840864"</f>
        <v>20200111150840864</v>
      </c>
      <c r="B2096" t="str">
        <f>"1578726520854984"</f>
        <v>1578726520854984</v>
      </c>
      <c r="C2096" t="s">
        <v>40</v>
      </c>
      <c r="D2096">
        <v>7.271998</v>
      </c>
      <c r="E2096">
        <v>0.45927689999999999</v>
      </c>
      <c r="F2096" t="s">
        <v>41</v>
      </c>
      <c r="G2096">
        <v>-311.61250000000001</v>
      </c>
      <c r="H2096">
        <v>0.96087610000000001</v>
      </c>
      <c r="I2096">
        <v>142.18870000000001</v>
      </c>
      <c r="J2096">
        <v>-311.01569999999998</v>
      </c>
      <c r="K2096">
        <v>1.110598</v>
      </c>
      <c r="L2096">
        <v>142.29130000000001</v>
      </c>
      <c r="M2096">
        <v>-0.99971460000000001</v>
      </c>
      <c r="N2096">
        <v>0</v>
      </c>
      <c r="O2096">
        <v>-1.9245430000000001E-2</v>
      </c>
      <c r="P2096">
        <v>-0.98842439999999998</v>
      </c>
      <c r="Q2096">
        <v>0.14965439999999999</v>
      </c>
      <c r="R2096">
        <v>-2.4922570000000002E-2</v>
      </c>
      <c r="S2096">
        <v>-3.097839</v>
      </c>
      <c r="T2096">
        <v>-0.47229900000000002</v>
      </c>
      <c r="U2096">
        <v>-0.3482208</v>
      </c>
      <c r="V2096">
        <v>-6.0417269999999898E-3</v>
      </c>
      <c r="W2096">
        <v>0.16364110000000001</v>
      </c>
      <c r="X2096">
        <v>0.98650150000000003</v>
      </c>
      <c r="Y2096">
        <v>-9.17298E-2</v>
      </c>
      <c r="Z2096">
        <v>-4.0232820000000004E-3</v>
      </c>
      <c r="AA2096">
        <v>0.99577579999999999</v>
      </c>
      <c r="AB2096">
        <v>39</v>
      </c>
      <c r="AC2096">
        <v>-0.59680000000002997</v>
      </c>
      <c r="AD2096">
        <v>-0.14972189999999899</v>
      </c>
      <c r="AE2096">
        <v>-0.102599999999995</v>
      </c>
      <c r="AF2096">
        <v>-8.5846279630692399E-2</v>
      </c>
      <c r="AG2096">
        <v>-0.14972189999999899</v>
      </c>
      <c r="AH2096">
        <v>0.56417546943755004</v>
      </c>
      <c r="AI2096">
        <v>104.700900854325</v>
      </c>
      <c r="AJ2096">
        <v>98.651895699148199</v>
      </c>
      <c r="AK2096">
        <v>0.58998321279602595</v>
      </c>
      <c r="AL2096">
        <v>80.581698276125195</v>
      </c>
      <c r="AM2096">
        <v>90.350897723063198</v>
      </c>
      <c r="AN2096">
        <v>1.00000006078829</v>
      </c>
    </row>
    <row r="2097" spans="1:40" x14ac:dyDescent="0.3">
      <c r="A2097" t="str">
        <f>"20200111150840888"</f>
        <v>20200111150840888</v>
      </c>
      <c r="B2097" t="str">
        <f>"1578726520875477"</f>
        <v>1578726520875477</v>
      </c>
      <c r="C2097" t="s">
        <v>40</v>
      </c>
      <c r="D2097">
        <v>7.7782450000000001</v>
      </c>
      <c r="E2097">
        <v>0.4567775</v>
      </c>
      <c r="F2097" t="s">
        <v>41</v>
      </c>
      <c r="G2097">
        <v>-311.95089999999999</v>
      </c>
      <c r="H2097">
        <v>0.92942369999999996</v>
      </c>
      <c r="I2097">
        <v>142.16720000000001</v>
      </c>
      <c r="J2097">
        <v>-311.3997</v>
      </c>
      <c r="K2097">
        <v>1.110598</v>
      </c>
      <c r="L2097">
        <v>142.2835</v>
      </c>
      <c r="M2097">
        <v>-0.99970689999999995</v>
      </c>
      <c r="N2097">
        <v>0</v>
      </c>
      <c r="O2097">
        <v>-1.9601779999999999E-2</v>
      </c>
      <c r="P2097">
        <v>-0.98833870000000001</v>
      </c>
      <c r="Q2097">
        <v>0.15025639999999901</v>
      </c>
      <c r="R2097">
        <v>-2.468892E-2</v>
      </c>
      <c r="S2097">
        <v>-3.1161189999999999</v>
      </c>
      <c r="T2097">
        <v>-0.60377639999999999</v>
      </c>
      <c r="U2097">
        <v>-0.41418460000000001</v>
      </c>
      <c r="V2097">
        <v>-5.4578430000000004E-3</v>
      </c>
      <c r="W2097">
        <v>0.16427990000000001</v>
      </c>
      <c r="X2097">
        <v>0.98639869999999996</v>
      </c>
      <c r="Y2097">
        <v>-0.110637</v>
      </c>
      <c r="Z2097">
        <v>-6.8284729999999998E-3</v>
      </c>
      <c r="AA2097">
        <v>0.99383739999999998</v>
      </c>
      <c r="AB2097">
        <v>39</v>
      </c>
      <c r="AC2097">
        <v>-0.55119999999999403</v>
      </c>
      <c r="AD2097">
        <v>-0.18117429999999901</v>
      </c>
      <c r="AE2097">
        <v>-0.116299999999995</v>
      </c>
      <c r="AF2097">
        <v>-9.5585386797375493E-2</v>
      </c>
      <c r="AG2097">
        <v>-0.18117429999999901</v>
      </c>
      <c r="AH2097">
        <v>0.50150217825790899</v>
      </c>
      <c r="AI2097">
        <v>109.53849414982901</v>
      </c>
      <c r="AJ2097">
        <v>100.791040768</v>
      </c>
      <c r="AK2097">
        <v>0.541724217611804</v>
      </c>
      <c r="AL2097">
        <v>80.544595368933599</v>
      </c>
      <c r="AM2097">
        <v>90.317020062945403</v>
      </c>
      <c r="AN2097">
        <v>1.0000000344779501</v>
      </c>
    </row>
    <row r="2098" spans="1:40" x14ac:dyDescent="0.3">
      <c r="A2098" t="str">
        <f>"20200111150840909"</f>
        <v>20200111150840909</v>
      </c>
      <c r="B2098" t="str">
        <f>"1578726520905733"</f>
        <v>1578726520905733</v>
      </c>
      <c r="C2098" t="s">
        <v>40</v>
      </c>
      <c r="D2098">
        <v>5.6009399999999996</v>
      </c>
      <c r="E2098">
        <v>0.4642289</v>
      </c>
      <c r="F2098" t="s">
        <v>41</v>
      </c>
      <c r="G2098">
        <v>-312.29770000000002</v>
      </c>
      <c r="H2098">
        <v>0.92409629999999998</v>
      </c>
      <c r="I2098">
        <v>142.15940000000001</v>
      </c>
      <c r="J2098">
        <v>-311.78739999999999</v>
      </c>
      <c r="K2098">
        <v>1.110582</v>
      </c>
      <c r="L2098">
        <v>142.2756</v>
      </c>
      <c r="M2098">
        <v>-0.99969980000000003</v>
      </c>
      <c r="N2098">
        <v>0</v>
      </c>
      <c r="O2098">
        <v>-1.9961059999999999E-2</v>
      </c>
      <c r="P2098">
        <v>-0.98831159999999996</v>
      </c>
      <c r="Q2098">
        <v>0.15040719999999999</v>
      </c>
      <c r="R2098">
        <v>-2.4867199999999999E-2</v>
      </c>
      <c r="S2098">
        <v>-3.12323</v>
      </c>
      <c r="T2098">
        <v>-0.64870909999999904</v>
      </c>
      <c r="U2098">
        <v>-0.43196109999999999</v>
      </c>
      <c r="V2098">
        <v>-5.2813119999999998E-3</v>
      </c>
      <c r="W2098">
        <v>0.16444690000000001</v>
      </c>
      <c r="X2098">
        <v>0.98637180000000002</v>
      </c>
      <c r="Y2098">
        <v>-0.115206</v>
      </c>
      <c r="Z2098">
        <v>-7.7015190000000004E-3</v>
      </c>
      <c r="AA2098">
        <v>0.99331179999999997</v>
      </c>
      <c r="AB2098">
        <v>39</v>
      </c>
      <c r="AC2098">
        <v>-0.51030000000002895</v>
      </c>
      <c r="AD2098">
        <v>-0.1864857</v>
      </c>
      <c r="AE2098">
        <v>-0.116199999999992</v>
      </c>
      <c r="AF2098">
        <v>-9.4048746061394004E-2</v>
      </c>
      <c r="AG2098">
        <v>-0.1864857</v>
      </c>
      <c r="AH2098">
        <v>0.45477704879846897</v>
      </c>
      <c r="AI2098">
        <v>111.87855361904199</v>
      </c>
      <c r="AJ2098">
        <v>101.684167133915</v>
      </c>
      <c r="AK2098">
        <v>0.50044404987376501</v>
      </c>
      <c r="AL2098">
        <v>80.534894733351905</v>
      </c>
      <c r="AM2098">
        <v>90.306774784409498</v>
      </c>
      <c r="AN2098">
        <v>1.0000000015056401</v>
      </c>
    </row>
    <row r="2099" spans="1:40" x14ac:dyDescent="0.3">
      <c r="A2099" t="str">
        <f>"20200111150840933"</f>
        <v>20200111150840933</v>
      </c>
      <c r="B2099" t="str">
        <f>"1578726520925256"</f>
        <v>1578726520925256</v>
      </c>
      <c r="C2099" t="s">
        <v>40</v>
      </c>
      <c r="D2099">
        <v>6.0016449999999999</v>
      </c>
      <c r="E2099">
        <v>0.49384650000000002</v>
      </c>
      <c r="F2099" t="s">
        <v>41</v>
      </c>
      <c r="G2099">
        <v>-312.6456</v>
      </c>
      <c r="H2099">
        <v>0.93199779999999999</v>
      </c>
      <c r="I2099">
        <v>142.17349999999999</v>
      </c>
      <c r="J2099">
        <v>-312.19819999999999</v>
      </c>
      <c r="K2099">
        <v>1.110571</v>
      </c>
      <c r="L2099">
        <v>142.267</v>
      </c>
      <c r="M2099">
        <v>-0.99969200000000003</v>
      </c>
      <c r="N2099">
        <v>0</v>
      </c>
      <c r="O2099">
        <v>-2.0341410000000001E-2</v>
      </c>
      <c r="P2099">
        <v>-0.98838999999999999</v>
      </c>
      <c r="Q2099">
        <v>0.14985229999999999</v>
      </c>
      <c r="R2099">
        <v>-2.5085079999999999E-2</v>
      </c>
      <c r="S2099">
        <v>-3.125092</v>
      </c>
      <c r="T2099">
        <v>-0.65039829999999998</v>
      </c>
      <c r="U2099">
        <v>-0.3726196</v>
      </c>
      <c r="V2099">
        <v>-5.1214069999999997E-3</v>
      </c>
      <c r="W2099">
        <v>0.16389089999999901</v>
      </c>
      <c r="X2099">
        <v>0.98646520000000004</v>
      </c>
      <c r="Y2099">
        <v>-9.6561690000000006E-2</v>
      </c>
      <c r="Z2099">
        <v>-5.7345259999999898E-3</v>
      </c>
      <c r="AA2099">
        <v>0.99531049999999999</v>
      </c>
      <c r="AB2099">
        <v>39</v>
      </c>
      <c r="AC2099">
        <v>-0.44740000000001601</v>
      </c>
      <c r="AD2099">
        <v>-0.17857319999999899</v>
      </c>
      <c r="AE2099">
        <v>-9.3500000000005898E-2</v>
      </c>
      <c r="AF2099">
        <v>-7.3204818912514499E-2</v>
      </c>
      <c r="AG2099">
        <v>-0.17857319999999899</v>
      </c>
      <c r="AH2099">
        <v>0.38972147530552997</v>
      </c>
      <c r="AI2099">
        <v>114.243537804144</v>
      </c>
      <c r="AJ2099">
        <v>100.638407327146</v>
      </c>
      <c r="AK2099">
        <v>0.43489097666492599</v>
      </c>
      <c r="AL2099">
        <v>80.567189560727002</v>
      </c>
      <c r="AM2099">
        <v>90.2974584100334</v>
      </c>
      <c r="AN2099">
        <v>1.0000000233617501</v>
      </c>
    </row>
    <row r="2100" spans="1:40" x14ac:dyDescent="0.3">
      <c r="A2100" t="str">
        <f>"20200111150840954"</f>
        <v>20200111150840954</v>
      </c>
      <c r="B2100" t="str">
        <f>"1578726520945749"</f>
        <v>1578726520945749</v>
      </c>
      <c r="C2100" t="s">
        <v>40</v>
      </c>
      <c r="D2100">
        <v>5.1475339999999896</v>
      </c>
      <c r="E2100">
        <v>0.4973148</v>
      </c>
      <c r="F2100" t="s">
        <v>41</v>
      </c>
      <c r="G2100">
        <v>-313.03969999999998</v>
      </c>
      <c r="H2100">
        <v>1.0266169999999999</v>
      </c>
      <c r="I2100">
        <v>142.2304</v>
      </c>
      <c r="J2100">
        <v>-312.5813</v>
      </c>
      <c r="K2100">
        <v>1.110565</v>
      </c>
      <c r="L2100">
        <v>142.25890000000001</v>
      </c>
      <c r="M2100">
        <v>-0.99968489999999999</v>
      </c>
      <c r="N2100">
        <v>0</v>
      </c>
      <c r="O2100">
        <v>-2.06964E-2</v>
      </c>
      <c r="P2100">
        <v>-0.98837969999999997</v>
      </c>
      <c r="Q2100">
        <v>0.149733</v>
      </c>
      <c r="R2100">
        <v>-2.618239E-2</v>
      </c>
      <c r="S2100">
        <v>-3.0783999999999998</v>
      </c>
      <c r="T2100">
        <v>-0.30712879999999998</v>
      </c>
      <c r="U2100">
        <v>-0.13403319999999999</v>
      </c>
      <c r="V2100">
        <v>-5.8670969999999999E-3</v>
      </c>
      <c r="W2100">
        <v>0.1637554</v>
      </c>
      <c r="X2100">
        <v>0.98648349999999996</v>
      </c>
      <c r="Y2100">
        <v>-2.2800049999999999E-2</v>
      </c>
      <c r="Z2100">
        <v>9.2462369999999998E-4</v>
      </c>
      <c r="AA2100">
        <v>0.99973959999999995</v>
      </c>
      <c r="AB2100">
        <v>39</v>
      </c>
      <c r="AC2100">
        <v>-0.45839999999998299</v>
      </c>
      <c r="AD2100">
        <v>-8.3947999999999898E-2</v>
      </c>
      <c r="AE2100">
        <v>-2.8500000000008099E-2</v>
      </c>
      <c r="AF2100">
        <v>-1.83912834946326E-2</v>
      </c>
      <c r="AG2100">
        <v>-8.3947999999999898E-2</v>
      </c>
      <c r="AH2100">
        <v>0.44405647414046301</v>
      </c>
      <c r="AI2100">
        <v>100.69635615691899</v>
      </c>
      <c r="AJ2100">
        <v>92.371637616266</v>
      </c>
      <c r="AK2100">
        <v>0.45229598521171899</v>
      </c>
      <c r="AL2100">
        <v>80.575059001497195</v>
      </c>
      <c r="AM2100">
        <v>90.340761839972302</v>
      </c>
      <c r="AN2100">
        <v>0.99999997481430802</v>
      </c>
    </row>
    <row r="2101" spans="1:40" x14ac:dyDescent="0.3">
      <c r="A2101" t="str">
        <f>"20200111150840976"</f>
        <v>20200111150840976</v>
      </c>
      <c r="B2101" t="str">
        <f>"1578726520965269"</f>
        <v>1578726520965269</v>
      </c>
      <c r="C2101" t="s">
        <v>40</v>
      </c>
      <c r="D2101">
        <v>5.6669400000000003</v>
      </c>
      <c r="E2101">
        <v>0.49742219999999998</v>
      </c>
      <c r="F2101" t="s">
        <v>43</v>
      </c>
      <c r="G2101">
        <v>-325.6044</v>
      </c>
      <c r="H2101" s="1">
        <v>-2.448148E-6</v>
      </c>
      <c r="I2101">
        <v>141.79669999999999</v>
      </c>
      <c r="J2101">
        <v>-312.94830000000002</v>
      </c>
      <c r="K2101">
        <v>1.1105590000000001</v>
      </c>
      <c r="L2101">
        <v>142.2509</v>
      </c>
      <c r="M2101">
        <v>-0.99967830000000002</v>
      </c>
      <c r="N2101">
        <v>0</v>
      </c>
      <c r="O2101">
        <v>-2.1037009999999998E-2</v>
      </c>
      <c r="P2101">
        <v>-0.98829469999999997</v>
      </c>
      <c r="Q2101">
        <v>0.14993580000000001</v>
      </c>
      <c r="R2101">
        <v>-2.8157450000000001E-2</v>
      </c>
      <c r="S2101">
        <v>-3.0721129999999999</v>
      </c>
      <c r="T2101">
        <v>-0.26198129999999997</v>
      </c>
      <c r="U2101">
        <v>-0.10899349999999999</v>
      </c>
      <c r="V2101">
        <v>-7.5066519999999999E-3</v>
      </c>
      <c r="W2101">
        <v>0.16393179999999999</v>
      </c>
      <c r="X2101">
        <v>0.98644310000000002</v>
      </c>
      <c r="Y2101">
        <v>-1.4446199999999999E-2</v>
      </c>
      <c r="Z2101">
        <v>1.175424E-3</v>
      </c>
      <c r="AA2101">
        <v>0.99989499999999998</v>
      </c>
      <c r="AB2101">
        <v>39</v>
      </c>
      <c r="AC2101">
        <v>-12.656099999999901</v>
      </c>
      <c r="AD2101">
        <v>-1.110561448148</v>
      </c>
      <c r="AE2101">
        <v>-0.45420000000001398</v>
      </c>
      <c r="AF2101">
        <v>-0.186392873312554</v>
      </c>
      <c r="AG2101">
        <v>-1.110561448148</v>
      </c>
      <c r="AH2101">
        <v>12.5662203322008</v>
      </c>
      <c r="AI2101">
        <v>95.049939361176499</v>
      </c>
      <c r="AJ2101">
        <v>90.849797439491695</v>
      </c>
      <c r="AK2101">
        <v>12.616575703048399</v>
      </c>
      <c r="AL2101">
        <v>80.564813690334404</v>
      </c>
      <c r="AM2101">
        <v>90.436002011576093</v>
      </c>
      <c r="AN2101">
        <v>0.99999998720654903</v>
      </c>
    </row>
    <row r="2102" spans="1:40" x14ac:dyDescent="0.3">
      <c r="A2102" t="str">
        <f>"20200111150840998"</f>
        <v>20200111150840998</v>
      </c>
      <c r="B2102" t="str">
        <f>"1578726520995526"</f>
        <v>1578726520995526</v>
      </c>
      <c r="C2102" t="s">
        <v>40</v>
      </c>
      <c r="D2102">
        <v>5.1949930000000002</v>
      </c>
      <c r="E2102">
        <v>0.49846800000000002</v>
      </c>
      <c r="F2102" t="s">
        <v>43</v>
      </c>
      <c r="G2102">
        <v>-330.00259999999997</v>
      </c>
      <c r="H2102" s="1">
        <v>-5.0662470000000001E-6</v>
      </c>
      <c r="I2102">
        <v>141.62299999999999</v>
      </c>
      <c r="J2102">
        <v>-313.3399</v>
      </c>
      <c r="K2102">
        <v>1.1105529999999999</v>
      </c>
      <c r="L2102">
        <v>142.2423</v>
      </c>
      <c r="M2102">
        <v>-0.99967090000000003</v>
      </c>
      <c r="N2102">
        <v>0</v>
      </c>
      <c r="O2102">
        <v>-2.1400570000000001E-2</v>
      </c>
      <c r="P2102">
        <v>-0.98830260000000003</v>
      </c>
      <c r="Q2102">
        <v>0.14972629999999901</v>
      </c>
      <c r="R2102">
        <v>-2.8986640000000001E-2</v>
      </c>
      <c r="S2102">
        <v>-3.0625610000000001</v>
      </c>
      <c r="T2102">
        <v>-0.1994321</v>
      </c>
      <c r="U2102">
        <v>-0.1127625</v>
      </c>
      <c r="V2102">
        <v>-7.9749959999999998E-3</v>
      </c>
      <c r="W2102">
        <v>0.163691</v>
      </c>
      <c r="X2102">
        <v>0.98647940000000001</v>
      </c>
      <c r="Y2102">
        <v>-1.5410750000000001E-2</v>
      </c>
      <c r="Z2102">
        <v>8.9050070000000004E-4</v>
      </c>
      <c r="AA2102">
        <v>0.99988089999999996</v>
      </c>
      <c r="AB2102">
        <v>39</v>
      </c>
      <c r="AC2102">
        <v>-16.662699999999901</v>
      </c>
      <c r="AD2102">
        <v>-1.110558066247</v>
      </c>
      <c r="AE2102">
        <v>-0.61930000000000895</v>
      </c>
      <c r="AF2102">
        <v>-0.26137173215618698</v>
      </c>
      <c r="AG2102">
        <v>-1.110558066247</v>
      </c>
      <c r="AH2102">
        <v>16.598506767872902</v>
      </c>
      <c r="AI2102">
        <v>93.827316799316407</v>
      </c>
      <c r="AJ2102">
        <v>90.902144979803694</v>
      </c>
      <c r="AK2102">
        <v>16.637670549809499</v>
      </c>
      <c r="AL2102">
        <v>80.578799325405996</v>
      </c>
      <c r="AM2102">
        <v>90.463186213909495</v>
      </c>
      <c r="AN2102">
        <v>0.999999975333279</v>
      </c>
    </row>
    <row r="2103" spans="1:40" x14ac:dyDescent="0.3">
      <c r="A2103" t="str">
        <f>"20200111150841022"</f>
        <v>20200111150841022</v>
      </c>
      <c r="B2103" t="str">
        <f>"1578726521015045"</f>
        <v>1578726521015045</v>
      </c>
      <c r="C2103" t="s">
        <v>40</v>
      </c>
      <c r="D2103">
        <v>7.7032210000000001</v>
      </c>
      <c r="E2103">
        <v>0.49892950000000003</v>
      </c>
      <c r="F2103" t="s">
        <v>43</v>
      </c>
      <c r="G2103">
        <v>-336.6712</v>
      </c>
      <c r="H2103" s="1">
        <v>-2.0364800000000002E-6</v>
      </c>
      <c r="I2103">
        <v>141.42959999999999</v>
      </c>
      <c r="J2103">
        <v>-313.755</v>
      </c>
      <c r="K2103">
        <v>1.110549</v>
      </c>
      <c r="L2103">
        <v>142.23310000000001</v>
      </c>
      <c r="M2103">
        <v>-0.99966330000000003</v>
      </c>
      <c r="N2103">
        <v>0</v>
      </c>
      <c r="O2103">
        <v>-2.1786590000000002E-2</v>
      </c>
      <c r="P2103">
        <v>-0.98835680000000004</v>
      </c>
      <c r="Q2103">
        <v>0.14929379999999901</v>
      </c>
      <c r="R2103">
        <v>-2.9366360000000001E-2</v>
      </c>
      <c r="S2103">
        <v>-3.0544129999999998</v>
      </c>
      <c r="T2103">
        <v>-0.14538789999999999</v>
      </c>
      <c r="U2103">
        <v>-0.10639949999999999</v>
      </c>
      <c r="V2103">
        <v>-7.9709220000000001E-3</v>
      </c>
      <c r="W2103">
        <v>0.16321959999999999</v>
      </c>
      <c r="X2103">
        <v>0.98655749999999998</v>
      </c>
      <c r="Y2103">
        <v>-1.303966E-2</v>
      </c>
      <c r="Z2103">
        <v>7.2599939999999999E-4</v>
      </c>
      <c r="AA2103">
        <v>0.99991470000000005</v>
      </c>
      <c r="AB2103">
        <v>39</v>
      </c>
      <c r="AC2103">
        <v>-22.9162</v>
      </c>
      <c r="AD2103">
        <v>-1.11055103648</v>
      </c>
      <c r="AE2103">
        <v>-0.80350000000001298</v>
      </c>
      <c r="AF2103">
        <v>-0.30328241433720599</v>
      </c>
      <c r="AG2103">
        <v>-1.11055103648</v>
      </c>
      <c r="AH2103">
        <v>22.874611667347398</v>
      </c>
      <c r="AI2103">
        <v>92.779255317111193</v>
      </c>
      <c r="AJ2103">
        <v>90.759610020761798</v>
      </c>
      <c r="AK2103">
        <v>22.903562228601398</v>
      </c>
      <c r="AL2103">
        <v>80.606176400799001</v>
      </c>
      <c r="AM2103">
        <v>90.4629129596605</v>
      </c>
      <c r="AN2103">
        <v>0.99999993711396795</v>
      </c>
    </row>
    <row r="2104" spans="1:40" x14ac:dyDescent="0.3">
      <c r="A2104" t="str">
        <f>"20200111150841045"</f>
        <v>20200111150841045</v>
      </c>
      <c r="B2104" t="str">
        <f>"1578726521035541"</f>
        <v>1578726521035541</v>
      </c>
      <c r="C2104" t="s">
        <v>40</v>
      </c>
      <c r="D2104">
        <v>5.1653019999999996</v>
      </c>
      <c r="E2104">
        <v>0.46352280000000001</v>
      </c>
      <c r="F2104" t="s">
        <v>43</v>
      </c>
      <c r="G2104">
        <v>-341.52820000000003</v>
      </c>
      <c r="H2104" s="1">
        <v>-4.0530059999999997E-6</v>
      </c>
      <c r="I2104">
        <v>141.29079999999999</v>
      </c>
      <c r="J2104">
        <v>-314.14879999999999</v>
      </c>
      <c r="K2104">
        <v>1.11054599999999</v>
      </c>
      <c r="L2104">
        <v>142.22409999999999</v>
      </c>
      <c r="M2104">
        <v>-0.99965559999999998</v>
      </c>
      <c r="N2104">
        <v>0</v>
      </c>
      <c r="O2104">
        <v>-2.215234E-2</v>
      </c>
      <c r="P2104">
        <v>-0.98831930000000001</v>
      </c>
      <c r="Q2104">
        <v>0.1494741</v>
      </c>
      <c r="R2104">
        <v>-2.970457E-2</v>
      </c>
      <c r="S2104">
        <v>-3.0506899999999999</v>
      </c>
      <c r="T2104">
        <v>-0.1219869</v>
      </c>
      <c r="U2104">
        <v>-0.1034851</v>
      </c>
      <c r="V2104">
        <v>-7.9481559999999996E-3</v>
      </c>
      <c r="W2104">
        <v>0.1633588</v>
      </c>
      <c r="X2104">
        <v>0.98653469999999999</v>
      </c>
      <c r="Y2104">
        <v>-1.176055E-2</v>
      </c>
      <c r="Z2104">
        <v>6.5016919999999999E-4</v>
      </c>
      <c r="AA2104">
        <v>0.9999306</v>
      </c>
      <c r="AB2104">
        <v>39</v>
      </c>
      <c r="AC2104">
        <v>-27.3794</v>
      </c>
      <c r="AD2104">
        <v>-1.11055005300599</v>
      </c>
      <c r="AE2104">
        <v>-0.93330000000000202</v>
      </c>
      <c r="AF2104">
        <v>-0.32595745599661902</v>
      </c>
      <c r="AG2104">
        <v>-1.11055005300599</v>
      </c>
      <c r="AH2104">
        <v>27.3484143800632</v>
      </c>
      <c r="AI2104">
        <v>92.325194382321996</v>
      </c>
      <c r="AJ2104">
        <v>90.682858684387199</v>
      </c>
      <c r="AK2104">
        <v>27.372894234753399</v>
      </c>
      <c r="AL2104">
        <v>80.598092850881898</v>
      </c>
      <c r="AM2104">
        <v>90.461601544202495</v>
      </c>
      <c r="AN2104">
        <v>0.99999999251266503</v>
      </c>
    </row>
    <row r="2105" spans="1:40" x14ac:dyDescent="0.3">
      <c r="A2105" t="str">
        <f>"20200111150841066"</f>
        <v>20200111150841066</v>
      </c>
      <c r="B2105" t="str">
        <f>"1578726521055061"</f>
        <v>1578726521055061</v>
      </c>
      <c r="C2105" t="s">
        <v>40</v>
      </c>
      <c r="D2105">
        <v>5.1594579999999999</v>
      </c>
      <c r="E2105">
        <v>0.47930519999999999</v>
      </c>
      <c r="F2105" t="s">
        <v>49</v>
      </c>
      <c r="G2105">
        <v>0</v>
      </c>
      <c r="H2105">
        <v>0</v>
      </c>
      <c r="I2105">
        <v>0</v>
      </c>
      <c r="J2105">
        <v>-314.52289999999999</v>
      </c>
      <c r="K2105">
        <v>1.110547</v>
      </c>
      <c r="L2105">
        <v>142.21549999999999</v>
      </c>
      <c r="M2105">
        <v>-0.99964850000000005</v>
      </c>
      <c r="N2105">
        <v>0</v>
      </c>
      <c r="O2105">
        <v>-2.2499870000000002E-2</v>
      </c>
      <c r="P2105">
        <v>-0.98824239999999997</v>
      </c>
      <c r="Q2105">
        <v>0.1497627</v>
      </c>
      <c r="R2105">
        <v>-3.078883E-2</v>
      </c>
      <c r="S2105">
        <v>-2.9869080000000001</v>
      </c>
      <c r="T2105">
        <v>0.24514820000000001</v>
      </c>
      <c r="U2105">
        <v>-0.38224789999999997</v>
      </c>
      <c r="V2105">
        <v>-8.6901110000000004E-3</v>
      </c>
      <c r="W2105">
        <v>0.16360529999999901</v>
      </c>
      <c r="X2105">
        <v>0.98648760000000002</v>
      </c>
      <c r="Y2105">
        <v>-0.1043166</v>
      </c>
      <c r="Z2105">
        <v>2.4208789999999999E-3</v>
      </c>
      <c r="AA2105">
        <v>0.99454120000000001</v>
      </c>
      <c r="AB2105">
        <v>39</v>
      </c>
      <c r="AC2105">
        <v>-2.9869080000000001</v>
      </c>
      <c r="AD2105">
        <v>0.24514820000000001</v>
      </c>
      <c r="AE2105">
        <v>-0.38224789999999997</v>
      </c>
      <c r="AF2105">
        <v>-0.312865901755219</v>
      </c>
      <c r="AG2105">
        <v>0.24514820000000001</v>
      </c>
      <c r="AH2105">
        <v>2.97503562139975</v>
      </c>
      <c r="AI2105">
        <v>85.315087958183994</v>
      </c>
      <c r="AJ2105">
        <v>96.003372653558202</v>
      </c>
      <c r="AK2105">
        <v>3.0014695835609899</v>
      </c>
      <c r="AL2105">
        <v>80.583776895568406</v>
      </c>
      <c r="AM2105">
        <v>90.504713698424197</v>
      </c>
      <c r="AN2105">
        <v>0.99999999858552102</v>
      </c>
    </row>
    <row r="2106" spans="1:40" x14ac:dyDescent="0.3">
      <c r="A2106" t="str">
        <f>"20200111150841088"</f>
        <v>20200111150841088</v>
      </c>
      <c r="B2106" t="str">
        <f>"1578726521085317"</f>
        <v>1578726521085317</v>
      </c>
      <c r="C2106" t="s">
        <v>40</v>
      </c>
      <c r="D2106">
        <v>5.1452280000000004</v>
      </c>
      <c r="E2106">
        <v>0.48566720000000002</v>
      </c>
      <c r="F2106" t="s">
        <v>49</v>
      </c>
      <c r="G2106">
        <v>0</v>
      </c>
      <c r="H2106">
        <v>0</v>
      </c>
      <c r="I2106">
        <v>0</v>
      </c>
      <c r="J2106">
        <v>-314.89659999999998</v>
      </c>
      <c r="K2106">
        <v>1.1105499999999999</v>
      </c>
      <c r="L2106">
        <v>142.20670000000001</v>
      </c>
      <c r="M2106">
        <v>-0.99964129999999995</v>
      </c>
      <c r="N2106">
        <v>0</v>
      </c>
      <c r="O2106">
        <v>-2.284723E-2</v>
      </c>
      <c r="P2106">
        <v>-0.9880487</v>
      </c>
      <c r="Q2106">
        <v>0.1508882</v>
      </c>
      <c r="R2106">
        <v>-3.1500460000000001E-2</v>
      </c>
      <c r="S2106">
        <v>-2.9967649999999999</v>
      </c>
      <c r="T2106">
        <v>0.2034069</v>
      </c>
      <c r="U2106">
        <v>-0.25999450000000002</v>
      </c>
      <c r="V2106">
        <v>-9.0633699999999994E-3</v>
      </c>
      <c r="W2106">
        <v>0.16468060000000001</v>
      </c>
      <c r="X2106">
        <v>0.98630530000000005</v>
      </c>
      <c r="Y2106">
        <v>-6.3554260000000001E-2</v>
      </c>
      <c r="Z2106">
        <v>6.0462629999999905E-4</v>
      </c>
      <c r="AA2106">
        <v>0.99797820000000004</v>
      </c>
      <c r="AB2106">
        <v>39</v>
      </c>
      <c r="AC2106">
        <v>-2.9967649999999999</v>
      </c>
      <c r="AD2106">
        <v>0.2034069</v>
      </c>
      <c r="AE2106">
        <v>-0.25999450000000002</v>
      </c>
      <c r="AF2106">
        <v>-0.19058069315963899</v>
      </c>
      <c r="AG2106">
        <v>0.2034069</v>
      </c>
      <c r="AH2106">
        <v>2.98825902545037</v>
      </c>
      <c r="AI2106">
        <v>86.1138287483884</v>
      </c>
      <c r="AJ2106">
        <v>93.649181861339699</v>
      </c>
      <c r="AK2106">
        <v>3.0012309759094502</v>
      </c>
      <c r="AL2106">
        <v>80.521319568220406</v>
      </c>
      <c r="AM2106">
        <v>90.526488333032802</v>
      </c>
      <c r="AN2106">
        <v>0.99999999475010304</v>
      </c>
    </row>
    <row r="2107" spans="1:40" x14ac:dyDescent="0.3">
      <c r="A2107" t="str">
        <f>"20200111150841112"</f>
        <v>20200111150841112</v>
      </c>
      <c r="B2107" t="str">
        <f>"1578726521105813"</f>
        <v>1578726521105813</v>
      </c>
      <c r="C2107" t="s">
        <v>40</v>
      </c>
      <c r="D2107">
        <v>8.2513500000000004</v>
      </c>
      <c r="E2107">
        <v>0.42873169999999999</v>
      </c>
      <c r="F2107" t="s">
        <v>49</v>
      </c>
      <c r="G2107">
        <v>0</v>
      </c>
      <c r="H2107">
        <v>0</v>
      </c>
      <c r="I2107">
        <v>0</v>
      </c>
      <c r="J2107">
        <v>-315.30450000000002</v>
      </c>
      <c r="K2107">
        <v>1.1105499999999999</v>
      </c>
      <c r="L2107">
        <v>142.197</v>
      </c>
      <c r="M2107">
        <v>-0.99963360000000001</v>
      </c>
      <c r="N2107">
        <v>0</v>
      </c>
      <c r="O2107">
        <v>-2.3227029999999999E-2</v>
      </c>
      <c r="P2107">
        <v>-0.98792290000000005</v>
      </c>
      <c r="Q2107">
        <v>0.15162500000000001</v>
      </c>
      <c r="R2107">
        <v>-3.1912169999999997E-2</v>
      </c>
      <c r="S2107">
        <v>-3.002777</v>
      </c>
      <c r="T2107">
        <v>0.17491889999999999</v>
      </c>
      <c r="U2107">
        <v>-0.2121277</v>
      </c>
      <c r="V2107">
        <v>-9.1032519999999992E-3</v>
      </c>
      <c r="W2107">
        <v>0.16535169999999999</v>
      </c>
      <c r="X2107">
        <v>0.98619259999999997</v>
      </c>
      <c r="Y2107">
        <v>-4.7237199999999903E-2</v>
      </c>
      <c r="Z2107" s="1">
        <v>2.2999240000000001E-5</v>
      </c>
      <c r="AA2107">
        <v>0.99888370000000004</v>
      </c>
      <c r="AB2107">
        <v>39</v>
      </c>
      <c r="AC2107">
        <v>-3.002777</v>
      </c>
      <c r="AD2107">
        <v>0.17491889999999999</v>
      </c>
      <c r="AE2107">
        <v>-0.2121277</v>
      </c>
      <c r="AF2107">
        <v>-0.141839212930709</v>
      </c>
      <c r="AG2107">
        <v>0.17491889999999999</v>
      </c>
      <c r="AH2107">
        <v>2.9967757349188999</v>
      </c>
      <c r="AI2107">
        <v>86.663217951785299</v>
      </c>
      <c r="AJ2107">
        <v>92.709821696993799</v>
      </c>
      <c r="AK2107">
        <v>3.0052254140581098</v>
      </c>
      <c r="AL2107">
        <v>80.482333471324793</v>
      </c>
      <c r="AM2107">
        <v>90.528865361961905</v>
      </c>
      <c r="AN2107">
        <v>0.99999994909231105</v>
      </c>
    </row>
    <row r="2108" spans="1:40" x14ac:dyDescent="0.3">
      <c r="A2108" t="str">
        <f>"20200111150841134"</f>
        <v>20200111150841134</v>
      </c>
      <c r="B2108" t="str">
        <f>"1578726521125333"</f>
        <v>1578726521125333</v>
      </c>
      <c r="C2108" t="s">
        <v>40</v>
      </c>
      <c r="D2108">
        <v>5.1658299999999997</v>
      </c>
      <c r="E2108">
        <v>0.436921</v>
      </c>
      <c r="F2108" t="s">
        <v>85</v>
      </c>
      <c r="G2108">
        <v>-440.75</v>
      </c>
      <c r="H2108">
        <v>15.09276</v>
      </c>
      <c r="I2108">
        <v>114.0354</v>
      </c>
      <c r="J2108">
        <v>-315.697</v>
      </c>
      <c r="K2108">
        <v>1.110547</v>
      </c>
      <c r="L2108">
        <v>142.1875</v>
      </c>
      <c r="M2108">
        <v>-0.99962600000000001</v>
      </c>
      <c r="N2108">
        <v>0</v>
      </c>
      <c r="O2108">
        <v>-2.3592350000000002E-2</v>
      </c>
      <c r="P2108">
        <v>-0.98775500000000005</v>
      </c>
      <c r="Q2108">
        <v>0.15256979999999901</v>
      </c>
      <c r="R2108">
        <v>-3.25972E-2</v>
      </c>
      <c r="S2108">
        <v>-2.9644469999999998</v>
      </c>
      <c r="T2108">
        <v>0.3304185</v>
      </c>
      <c r="U2108">
        <v>-0.6654968</v>
      </c>
      <c r="V2108">
        <v>-9.4324460000000006E-3</v>
      </c>
      <c r="W2108">
        <v>0.166217899999999</v>
      </c>
      <c r="X2108">
        <v>0.98604389999999997</v>
      </c>
      <c r="Y2108">
        <v>-0.19494939999999999</v>
      </c>
      <c r="Z2108">
        <v>8.1111569999999904E-3</v>
      </c>
      <c r="AA2108">
        <v>0.98077979999999998</v>
      </c>
      <c r="AB2108">
        <v>39</v>
      </c>
      <c r="AC2108">
        <v>-125.053</v>
      </c>
      <c r="AD2108">
        <v>13.982213</v>
      </c>
      <c r="AE2108">
        <v>-28.152100000000001</v>
      </c>
      <c r="AF2108">
        <v>-24.897443409023001</v>
      </c>
      <c r="AG2108">
        <v>13.982213</v>
      </c>
      <c r="AH2108">
        <v>124.20457227402299</v>
      </c>
      <c r="AI2108">
        <v>83.701287851333106</v>
      </c>
      <c r="AJ2108">
        <v>101.335004222549</v>
      </c>
      <c r="AK2108">
        <v>127.444736032745</v>
      </c>
      <c r="AL2108">
        <v>80.432007622153805</v>
      </c>
      <c r="AM2108">
        <v>90.548071807410693</v>
      </c>
      <c r="AN2108">
        <v>0.99999996702257998</v>
      </c>
    </row>
    <row r="2109" spans="1:40" x14ac:dyDescent="0.3">
      <c r="A2109" t="str">
        <f>"20200111150841155"</f>
        <v>20200111150841155</v>
      </c>
      <c r="B2109" t="str">
        <f>"1578726521145829"</f>
        <v>1578726521145829</v>
      </c>
      <c r="C2109" t="s">
        <v>40</v>
      </c>
      <c r="D2109">
        <v>5.1989280000000004</v>
      </c>
      <c r="E2109">
        <v>0.44230340000000001</v>
      </c>
      <c r="F2109" t="s">
        <v>85</v>
      </c>
      <c r="G2109">
        <v>-440.75</v>
      </c>
      <c r="H2109">
        <v>13.2061299999999</v>
      </c>
      <c r="I2109">
        <v>116.8329</v>
      </c>
      <c r="J2109">
        <v>-316.07040000000001</v>
      </c>
      <c r="K2109">
        <v>1.110536</v>
      </c>
      <c r="L2109">
        <v>142.17840000000001</v>
      </c>
      <c r="M2109">
        <v>-0.99961889999999998</v>
      </c>
      <c r="N2109">
        <v>0</v>
      </c>
      <c r="O2109">
        <v>-2.394046E-2</v>
      </c>
      <c r="P2109">
        <v>-0.98773480000000002</v>
      </c>
      <c r="Q2109">
        <v>0.1525677</v>
      </c>
      <c r="R2109">
        <v>-3.3214059999999997E-2</v>
      </c>
      <c r="S2109">
        <v>-2.9728699999999999</v>
      </c>
      <c r="T2109">
        <v>0.287547099999999</v>
      </c>
      <c r="U2109">
        <v>-0.60275269999999903</v>
      </c>
      <c r="V2109">
        <v>-9.7071810000000005E-3</v>
      </c>
      <c r="W2109">
        <v>0.1661281</v>
      </c>
      <c r="X2109">
        <v>0.98605640000000006</v>
      </c>
      <c r="Y2109">
        <v>-0.17451159999999999</v>
      </c>
      <c r="Z2109">
        <v>6.0500429999999997E-3</v>
      </c>
      <c r="AA2109">
        <v>0.98463650000000003</v>
      </c>
      <c r="AB2109">
        <v>39</v>
      </c>
      <c r="AC2109">
        <v>-124.67959999999999</v>
      </c>
      <c r="AD2109">
        <v>12.095593999999901</v>
      </c>
      <c r="AE2109">
        <v>-25.345500000000001</v>
      </c>
      <c r="AF2109">
        <v>-22.1528455577144</v>
      </c>
      <c r="AG2109">
        <v>12.095593999999901</v>
      </c>
      <c r="AH2109">
        <v>124.128809378573</v>
      </c>
      <c r="AI2109">
        <v>84.520486314749903</v>
      </c>
      <c r="AJ2109">
        <v>100.118850468212</v>
      </c>
      <c r="AK2109">
        <v>126.66891204340099</v>
      </c>
      <c r="AL2109">
        <v>80.437225640357497</v>
      </c>
      <c r="AM2109">
        <v>90.564027104580106</v>
      </c>
      <c r="AN2109">
        <v>0.99999999947676799</v>
      </c>
    </row>
    <row r="2110" spans="1:40" x14ac:dyDescent="0.3">
      <c r="A2110" t="str">
        <f>"20200111150841177"</f>
        <v>20200111150841177</v>
      </c>
      <c r="B2110" t="str">
        <f>"1578726521165349"</f>
        <v>1578726521165349</v>
      </c>
      <c r="C2110" t="s">
        <v>40</v>
      </c>
      <c r="D2110">
        <v>5.1760479999999998</v>
      </c>
      <c r="E2110">
        <v>0.44480570000000003</v>
      </c>
      <c r="F2110" t="s">
        <v>85</v>
      </c>
      <c r="G2110">
        <v>-440.20710000000003</v>
      </c>
      <c r="H2110">
        <v>13.08093</v>
      </c>
      <c r="I2110">
        <v>118.7379</v>
      </c>
      <c r="J2110">
        <v>-316.45240000000001</v>
      </c>
      <c r="K2110">
        <v>1.1105259999999999</v>
      </c>
      <c r="L2110">
        <v>142.1688</v>
      </c>
      <c r="M2110">
        <v>-0.99961169999999999</v>
      </c>
      <c r="N2110">
        <v>0</v>
      </c>
      <c r="O2110">
        <v>-2.4298340000000002E-2</v>
      </c>
      <c r="P2110">
        <v>-0.98774949999999995</v>
      </c>
      <c r="Q2110">
        <v>0.152472</v>
      </c>
      <c r="R2110">
        <v>-3.3217709999999998E-2</v>
      </c>
      <c r="S2110">
        <v>-2.9740600000000001</v>
      </c>
      <c r="T2110">
        <v>0.2867864</v>
      </c>
      <c r="U2110">
        <v>-0.56158450000000004</v>
      </c>
      <c r="V2110">
        <v>-9.3581470000000007E-3</v>
      </c>
      <c r="W2110">
        <v>0.16592960000000001</v>
      </c>
      <c r="X2110">
        <v>0.9860932</v>
      </c>
      <c r="Y2110">
        <v>-0.16100349999999999</v>
      </c>
      <c r="Z2110">
        <v>5.3613480000000002E-3</v>
      </c>
      <c r="AA2110">
        <v>0.98693929999999996</v>
      </c>
      <c r="AB2110">
        <v>39</v>
      </c>
      <c r="AC2110">
        <v>-123.7547</v>
      </c>
      <c r="AD2110">
        <v>11.970403999999901</v>
      </c>
      <c r="AE2110">
        <v>-23.430900000000001</v>
      </c>
      <c r="AF2110">
        <v>-20.233908440252701</v>
      </c>
      <c r="AG2110">
        <v>11.970403999999901</v>
      </c>
      <c r="AH2110">
        <v>123.174985879876</v>
      </c>
      <c r="AI2110">
        <v>84.5222657186996</v>
      </c>
      <c r="AJ2110">
        <v>99.328641883137095</v>
      </c>
      <c r="AK2110">
        <v>125.39847993177401</v>
      </c>
      <c r="AL2110">
        <v>80.448758958994404</v>
      </c>
      <c r="AM2110">
        <v>90.543727744395696</v>
      </c>
      <c r="AN2110">
        <v>1.0000000030788301</v>
      </c>
    </row>
    <row r="2111" spans="1:40" x14ac:dyDescent="0.3">
      <c r="A2111" t="str">
        <f>"20200111150841201"</f>
        <v>20200111150841201</v>
      </c>
      <c r="B2111" t="str">
        <f>"1578726521195605"</f>
        <v>1578726521195605</v>
      </c>
      <c r="C2111" t="s">
        <v>40</v>
      </c>
      <c r="D2111">
        <v>5.4543030000000003</v>
      </c>
      <c r="E2111">
        <v>0.43764199999999998</v>
      </c>
      <c r="F2111" t="s">
        <v>85</v>
      </c>
      <c r="G2111">
        <v>-440.20710000000003</v>
      </c>
      <c r="H2111">
        <v>14.28342</v>
      </c>
      <c r="I2111">
        <v>119.6146</v>
      </c>
      <c r="J2111">
        <v>-316.84960000000001</v>
      </c>
      <c r="K2111">
        <v>1.1105080000000001</v>
      </c>
      <c r="L2111">
        <v>142.15880000000001</v>
      </c>
      <c r="M2111">
        <v>-0.9996043</v>
      </c>
      <c r="N2111">
        <v>0</v>
      </c>
      <c r="O2111">
        <v>-2.4674350000000001E-2</v>
      </c>
      <c r="P2111">
        <v>-0.98773140000000004</v>
      </c>
      <c r="Q2111">
        <v>0.15251879999999901</v>
      </c>
      <c r="R2111">
        <v>-3.3538350000000001E-2</v>
      </c>
      <c r="S2111">
        <v>-2.970215</v>
      </c>
      <c r="T2111">
        <v>0.31616070000000002</v>
      </c>
      <c r="U2111">
        <v>-0.54132080000000005</v>
      </c>
      <c r="V2111">
        <v>-9.3065439999999999E-3</v>
      </c>
      <c r="W2111">
        <v>0.165854</v>
      </c>
      <c r="X2111">
        <v>0.98610640000000005</v>
      </c>
      <c r="Y2111">
        <v>-0.15425730000000001</v>
      </c>
      <c r="Z2111">
        <v>5.5240030000000004E-3</v>
      </c>
      <c r="AA2111">
        <v>0.98801530000000004</v>
      </c>
      <c r="AB2111">
        <v>39</v>
      </c>
      <c r="AC2111">
        <v>-123.3575</v>
      </c>
      <c r="AD2111">
        <v>13.172912</v>
      </c>
      <c r="AE2111">
        <v>-22.5442</v>
      </c>
      <c r="AF2111">
        <v>-19.2805344515121</v>
      </c>
      <c r="AG2111">
        <v>13.172912</v>
      </c>
      <c r="AH2111">
        <v>122.524220546614</v>
      </c>
      <c r="AI2111">
        <v>83.937581792733496</v>
      </c>
      <c r="AJ2111">
        <v>98.942787420220796</v>
      </c>
      <c r="AK2111">
        <v>124.729504287682</v>
      </c>
      <c r="AL2111">
        <v>80.453151319052907</v>
      </c>
      <c r="AM2111">
        <v>90.540722443851706</v>
      </c>
      <c r="AN2111">
        <v>0.999999996599092</v>
      </c>
    </row>
    <row r="2112" spans="1:40" x14ac:dyDescent="0.3">
      <c r="A2112" t="str">
        <f>"20200111150841222"</f>
        <v>20200111150841222</v>
      </c>
      <c r="B2112" t="str">
        <f>"1578726521215128"</f>
        <v>1578726521215128</v>
      </c>
      <c r="C2112" t="s">
        <v>40</v>
      </c>
      <c r="D2112">
        <v>7.318003</v>
      </c>
      <c r="E2112">
        <v>0.4390019</v>
      </c>
      <c r="F2112" t="s">
        <v>85</v>
      </c>
      <c r="G2112">
        <v>-440.20710000000003</v>
      </c>
      <c r="H2112">
        <v>16.831440000000001</v>
      </c>
      <c r="I2112">
        <v>117.1949</v>
      </c>
      <c r="J2112">
        <v>-317.24459999999999</v>
      </c>
      <c r="K2112">
        <v>1.110482</v>
      </c>
      <c r="L2112">
        <v>142.14859999999999</v>
      </c>
      <c r="M2112">
        <v>-0.99959659999999995</v>
      </c>
      <c r="N2112">
        <v>0</v>
      </c>
      <c r="O2112">
        <v>-2.505402E-2</v>
      </c>
      <c r="P2112">
        <v>-0.98779459999999997</v>
      </c>
      <c r="Q2112">
        <v>0.15199089999999901</v>
      </c>
      <c r="R2112">
        <v>-3.4068010000000003E-2</v>
      </c>
      <c r="S2112">
        <v>-2.95871</v>
      </c>
      <c r="T2112">
        <v>0.37706400000000001</v>
      </c>
      <c r="U2112">
        <v>-0.59875489999999998</v>
      </c>
      <c r="V2112">
        <v>-9.4557249999999999E-3</v>
      </c>
      <c r="W2112">
        <v>0.16519320000000001</v>
      </c>
      <c r="X2112">
        <v>0.98621590000000003</v>
      </c>
      <c r="Y2112">
        <v>-0.17258380000000001</v>
      </c>
      <c r="Z2112">
        <v>7.6977E-3</v>
      </c>
      <c r="AA2112">
        <v>0.98496479999999997</v>
      </c>
      <c r="AB2112">
        <v>39</v>
      </c>
      <c r="AC2112">
        <v>-122.96250000000001</v>
      </c>
      <c r="AD2112">
        <v>15.720958</v>
      </c>
      <c r="AE2112">
        <v>-24.953699999999898</v>
      </c>
      <c r="AF2112">
        <v>-21.526923465478902</v>
      </c>
      <c r="AG2112">
        <v>15.720958</v>
      </c>
      <c r="AH2112">
        <v>121.639464883221</v>
      </c>
      <c r="AI2112">
        <v>82.747259107984405</v>
      </c>
      <c r="AJ2112">
        <v>100.035904346674</v>
      </c>
      <c r="AK2112">
        <v>124.525966655163</v>
      </c>
      <c r="AL2112">
        <v>80.491541996707397</v>
      </c>
      <c r="AM2112">
        <v>90.549328533803106</v>
      </c>
      <c r="AN2112">
        <v>1.0000000027371601</v>
      </c>
    </row>
    <row r="2113" spans="1:40" x14ac:dyDescent="0.3">
      <c r="A2113" t="str">
        <f>"20200111150841245"</f>
        <v>20200111150841245</v>
      </c>
      <c r="B2113" t="str">
        <f>"1578726521235621"</f>
        <v>1578726521235621</v>
      </c>
      <c r="C2113" t="s">
        <v>40</v>
      </c>
      <c r="D2113">
        <v>5.5559129999999897</v>
      </c>
      <c r="E2113">
        <v>0.47311579999999898</v>
      </c>
      <c r="F2113" t="s">
        <v>85</v>
      </c>
      <c r="G2113">
        <v>-440.20710000000003</v>
      </c>
      <c r="H2113">
        <v>17.121379999999998</v>
      </c>
      <c r="I2113">
        <v>117.6448</v>
      </c>
      <c r="J2113">
        <v>-317.63209999999998</v>
      </c>
      <c r="K2113">
        <v>1.110455</v>
      </c>
      <c r="L2113">
        <v>142.1386</v>
      </c>
      <c r="M2113">
        <v>-0.99958899999999995</v>
      </c>
      <c r="N2113">
        <v>0</v>
      </c>
      <c r="O2113">
        <v>-2.542962E-2</v>
      </c>
      <c r="P2113">
        <v>-0.98792579999999997</v>
      </c>
      <c r="Q2113">
        <v>0.151107399999999</v>
      </c>
      <c r="R2113">
        <v>-3.4198539999999999E-2</v>
      </c>
      <c r="S2113">
        <v>-2.9575200000000001</v>
      </c>
      <c r="T2113">
        <v>0.38509769999999999</v>
      </c>
      <c r="U2113">
        <v>-0.58937069999999903</v>
      </c>
      <c r="V2113">
        <v>-9.2075990000000003E-3</v>
      </c>
      <c r="W2113">
        <v>0.16417590000000001</v>
      </c>
      <c r="X2113">
        <v>0.98638809999999999</v>
      </c>
      <c r="Y2113">
        <v>-0.16926469999999999</v>
      </c>
      <c r="Z2113">
        <v>7.6045710000000001E-3</v>
      </c>
      <c r="AA2113">
        <v>0.98554129999999995</v>
      </c>
      <c r="AB2113">
        <v>39</v>
      </c>
      <c r="AC2113">
        <v>-122.575</v>
      </c>
      <c r="AD2113">
        <v>16.010925</v>
      </c>
      <c r="AE2113">
        <v>-24.4938</v>
      </c>
      <c r="AF2113">
        <v>-21.023637802140598</v>
      </c>
      <c r="AG2113">
        <v>16.010925</v>
      </c>
      <c r="AH2113">
        <v>121.17025734390801</v>
      </c>
      <c r="AI2113">
        <v>82.582345072233593</v>
      </c>
      <c r="AJ2113">
        <v>99.843109039040002</v>
      </c>
      <c r="AK2113">
        <v>124.01844350974601</v>
      </c>
      <c r="AL2113">
        <v>80.550635771734406</v>
      </c>
      <c r="AM2113">
        <v>90.534821172224596</v>
      </c>
      <c r="AN2113">
        <v>0.99999999492088198</v>
      </c>
    </row>
    <row r="2114" spans="1:40" x14ac:dyDescent="0.3">
      <c r="A2114" t="str">
        <f>"20200111150841266"</f>
        <v>20200111150841266</v>
      </c>
      <c r="B2114" t="str">
        <f>"1578726521255141"</f>
        <v>1578726521255141</v>
      </c>
      <c r="C2114" t="s">
        <v>40</v>
      </c>
      <c r="D2114">
        <v>5.9986870000000003</v>
      </c>
      <c r="E2114">
        <v>0.47355819999999998</v>
      </c>
      <c r="F2114" t="s">
        <v>43</v>
      </c>
      <c r="G2114">
        <v>-339.33319999999998</v>
      </c>
      <c r="H2114" s="1">
        <v>-3.5210339999999998E-7</v>
      </c>
      <c r="I2114">
        <v>139.82839999999999</v>
      </c>
      <c r="J2114">
        <v>-317.9984</v>
      </c>
      <c r="K2114">
        <v>1.11043</v>
      </c>
      <c r="L2114">
        <v>142.12889999999999</v>
      </c>
      <c r="M2114">
        <v>-0.99958170000000002</v>
      </c>
      <c r="N2114">
        <v>0</v>
      </c>
      <c r="O2114">
        <v>-2.578418E-2</v>
      </c>
      <c r="P2114">
        <v>-0.98800129999999997</v>
      </c>
      <c r="Q2114">
        <v>0.15059049999999999</v>
      </c>
      <c r="R2114">
        <v>-3.4292929999999999E-2</v>
      </c>
      <c r="S2114">
        <v>-3.0492859999999999</v>
      </c>
      <c r="T2114">
        <v>-0.15603349999999999</v>
      </c>
      <c r="U2114">
        <v>-0.32460020000000001</v>
      </c>
      <c r="V2114">
        <v>-8.9470690000000002E-3</v>
      </c>
      <c r="W2114">
        <v>0.16352349999999999</v>
      </c>
      <c r="X2114">
        <v>0.98649889999999996</v>
      </c>
      <c r="Y2114">
        <v>-8.0106209999999997E-2</v>
      </c>
      <c r="Z2114">
        <v>-7.280651E-4</v>
      </c>
      <c r="AA2114">
        <v>0.99678610000000001</v>
      </c>
      <c r="AB2114">
        <v>39</v>
      </c>
      <c r="AC2114">
        <v>-21.334799999999898</v>
      </c>
      <c r="AD2114">
        <v>-1.1104303521034</v>
      </c>
      <c r="AE2114">
        <v>-2.3004999999999902</v>
      </c>
      <c r="AF2114">
        <v>-1.7449148915018999</v>
      </c>
      <c r="AG2114">
        <v>-1.1104303521034</v>
      </c>
      <c r="AH2114">
        <v>21.329909111729101</v>
      </c>
      <c r="AI2114">
        <v>92.970211068052393</v>
      </c>
      <c r="AJ2114">
        <v>94.676725457821803</v>
      </c>
      <c r="AK2114">
        <v>21.429951149269598</v>
      </c>
      <c r="AL2114">
        <v>80.588527991773404</v>
      </c>
      <c r="AM2114">
        <v>90.519630825507406</v>
      </c>
      <c r="AN2114">
        <v>1.00000003239857</v>
      </c>
    </row>
    <row r="2115" spans="1:40" x14ac:dyDescent="0.3">
      <c r="A2115" t="str">
        <f>"20200111150841289"</f>
        <v>20200111150841289</v>
      </c>
      <c r="B2115" t="str">
        <f>"1578726521285397"</f>
        <v>1578726521285397</v>
      </c>
      <c r="C2115" t="s">
        <v>40</v>
      </c>
      <c r="D2115">
        <v>5.1203859999999999</v>
      </c>
      <c r="E2115">
        <v>0.47168310000000002</v>
      </c>
      <c r="F2115" t="s">
        <v>43</v>
      </c>
      <c r="G2115">
        <v>-335.36880000000002</v>
      </c>
      <c r="H2115" s="1">
        <v>-2.3513779999999999E-6</v>
      </c>
      <c r="I2115">
        <v>140.29929999999999</v>
      </c>
      <c r="J2115">
        <v>-318.38850000000002</v>
      </c>
      <c r="K2115">
        <v>1.1103989999999999</v>
      </c>
      <c r="L2115">
        <v>142.11850000000001</v>
      </c>
      <c r="M2115">
        <v>-0.99957410000000002</v>
      </c>
      <c r="N2115">
        <v>0</v>
      </c>
      <c r="O2115">
        <v>-2.6158750000000001E-2</v>
      </c>
      <c r="P2115">
        <v>-0.98811020000000005</v>
      </c>
      <c r="Q2115">
        <v>0.14989640000000001</v>
      </c>
      <c r="R2115">
        <v>-3.4197520000000002E-2</v>
      </c>
      <c r="S2115">
        <v>-3.0550540000000002</v>
      </c>
      <c r="T2115">
        <v>-0.19529930000000001</v>
      </c>
      <c r="U2115">
        <v>-0.32179259999999998</v>
      </c>
      <c r="V2115">
        <v>-8.4769419999999995E-3</v>
      </c>
      <c r="W2115">
        <v>0.1626687</v>
      </c>
      <c r="X2115">
        <v>0.98664430000000003</v>
      </c>
      <c r="Y2115">
        <v>-7.8593109999999994E-2</v>
      </c>
      <c r="Z2115">
        <v>-8.3726729999999896E-4</v>
      </c>
      <c r="AA2115">
        <v>0.99690639999999997</v>
      </c>
      <c r="AB2115">
        <v>39</v>
      </c>
      <c r="AC2115">
        <v>-16.9803</v>
      </c>
      <c r="AD2115">
        <v>-1.110401351378</v>
      </c>
      <c r="AE2115">
        <v>-1.8192000000000199</v>
      </c>
      <c r="AF2115">
        <v>-1.36857075511962</v>
      </c>
      <c r="AG2115">
        <v>-1.110401351378</v>
      </c>
      <c r="AH2115">
        <v>16.950417672274298</v>
      </c>
      <c r="AI2115">
        <v>93.735899303333895</v>
      </c>
      <c r="AJ2115">
        <v>94.616027982408895</v>
      </c>
      <c r="AK2115">
        <v>17.041790878234</v>
      </c>
      <c r="AL2115">
        <v>80.638168516316796</v>
      </c>
      <c r="AM2115">
        <v>90.492255465808796</v>
      </c>
      <c r="AN2115">
        <v>0.99999996961392501</v>
      </c>
    </row>
    <row r="2116" spans="1:40" x14ac:dyDescent="0.3">
      <c r="A2116" t="str">
        <f>"20200111150841303"</f>
        <v>20200111150841303</v>
      </c>
      <c r="B2116" t="str">
        <f>"1578726521295158"</f>
        <v>1578726521295158</v>
      </c>
      <c r="C2116" t="s">
        <v>40</v>
      </c>
      <c r="D2116">
        <v>5.1300689999999998</v>
      </c>
      <c r="E2116">
        <v>0.47306619999999999</v>
      </c>
      <c r="F2116" t="s">
        <v>49</v>
      </c>
      <c r="G2116">
        <v>0</v>
      </c>
      <c r="H2116">
        <v>0</v>
      </c>
      <c r="I2116">
        <v>0</v>
      </c>
      <c r="J2116">
        <v>-318.66160000000002</v>
      </c>
      <c r="K2116">
        <v>1.110379</v>
      </c>
      <c r="L2116">
        <v>142.11109999999999</v>
      </c>
      <c r="M2116">
        <v>-0.99956900000000004</v>
      </c>
      <c r="N2116">
        <v>0</v>
      </c>
      <c r="O2116">
        <v>-2.6419169999999999E-2</v>
      </c>
      <c r="P2116">
        <v>-0.98807219999999996</v>
      </c>
      <c r="Q2116">
        <v>0.1500976</v>
      </c>
      <c r="R2116">
        <v>-3.4411289999999997E-2</v>
      </c>
      <c r="S2116">
        <v>-2.9630429999999999</v>
      </c>
      <c r="T2116">
        <v>0.40659709999999899</v>
      </c>
      <c r="U2116">
        <v>-0.32888790000000001</v>
      </c>
      <c r="V2116">
        <v>-8.4335550000000006E-3</v>
      </c>
      <c r="W2116">
        <v>0.1627421</v>
      </c>
      <c r="X2116">
        <v>0.98663259999999997</v>
      </c>
      <c r="Y2116">
        <v>-8.34926E-2</v>
      </c>
      <c r="Z2116">
        <v>2.0884319999999999E-3</v>
      </c>
      <c r="AA2116">
        <v>0.99650620000000001</v>
      </c>
      <c r="AB2116">
        <v>39</v>
      </c>
      <c r="AC2116">
        <v>-2.9630429999999999</v>
      </c>
      <c r="AD2116">
        <v>0.40659709999999899</v>
      </c>
      <c r="AE2116">
        <v>-0.32888790000000001</v>
      </c>
      <c r="AF2116">
        <v>-0.24591135293311001</v>
      </c>
      <c r="AG2116">
        <v>0.40659709999999899</v>
      </c>
      <c r="AH2116">
        <v>2.9164495644247599</v>
      </c>
      <c r="AI2116">
        <v>82.090968876739794</v>
      </c>
      <c r="AJ2116">
        <v>94.819707374433307</v>
      </c>
      <c r="AK2116">
        <v>2.9549063702701601</v>
      </c>
      <c r="AL2116">
        <v>80.633906512394503</v>
      </c>
      <c r="AM2116">
        <v>90.489741915855703</v>
      </c>
      <c r="AN2116">
        <v>1.0000000016725501</v>
      </c>
    </row>
    <row r="2117" spans="1:40" x14ac:dyDescent="0.3">
      <c r="A2117" t="str">
        <f>"20200111150841323"</f>
        <v>20200111150841323</v>
      </c>
      <c r="B2117" t="str">
        <f>"1578726521315653"</f>
        <v>1578726521315653</v>
      </c>
      <c r="C2117" t="s">
        <v>40</v>
      </c>
      <c r="D2117">
        <v>5.533957</v>
      </c>
      <c r="E2117">
        <v>0.4710664</v>
      </c>
      <c r="F2117" t="s">
        <v>49</v>
      </c>
      <c r="G2117">
        <v>0</v>
      </c>
      <c r="H2117">
        <v>0</v>
      </c>
      <c r="I2117">
        <v>0</v>
      </c>
      <c r="J2117">
        <v>-318.99489999999997</v>
      </c>
      <c r="K2117">
        <v>1.110357</v>
      </c>
      <c r="L2117">
        <v>142.102</v>
      </c>
      <c r="M2117">
        <v>-0.99956279999999997</v>
      </c>
      <c r="N2117">
        <v>0</v>
      </c>
      <c r="O2117">
        <v>-2.6734620000000001E-2</v>
      </c>
      <c r="P2117">
        <v>-0.98801600000000001</v>
      </c>
      <c r="Q2117">
        <v>0.15041019999999999</v>
      </c>
      <c r="R2117">
        <v>-3.4658639999999998E-2</v>
      </c>
      <c r="S2117">
        <v>-2.9657589999999998</v>
      </c>
      <c r="T2117">
        <v>0.39083980000000001</v>
      </c>
      <c r="U2117">
        <v>-0.31869509999999901</v>
      </c>
      <c r="V2117">
        <v>-8.3707880000000005E-3</v>
      </c>
      <c r="W2117">
        <v>0.1628809</v>
      </c>
      <c r="X2117">
        <v>0.98661019999999999</v>
      </c>
      <c r="Y2117">
        <v>-7.9768149999999996E-2</v>
      </c>
      <c r="Z2117">
        <v>1.7218209999999999E-3</v>
      </c>
      <c r="AA2117">
        <v>0.99681200000000003</v>
      </c>
      <c r="AB2117">
        <v>39</v>
      </c>
      <c r="AC2117">
        <v>-2.9657589999999998</v>
      </c>
      <c r="AD2117">
        <v>0.39083980000000001</v>
      </c>
      <c r="AE2117">
        <v>-0.31869509999999901</v>
      </c>
      <c r="AF2117">
        <v>-0.23524749213168999</v>
      </c>
      <c r="AG2117">
        <v>0.39083980000000001</v>
      </c>
      <c r="AH2117">
        <v>2.92303467362877</v>
      </c>
      <c r="AI2117">
        <v>82.408395720409999</v>
      </c>
      <c r="AJ2117">
        <v>94.601279656197605</v>
      </c>
      <c r="AK2117">
        <v>2.9584166094474198</v>
      </c>
      <c r="AL2117">
        <v>80.625846033834307</v>
      </c>
      <c r="AM2117">
        <v>90.486108207525106</v>
      </c>
      <c r="AN2117">
        <v>0.99999997221029502</v>
      </c>
    </row>
    <row r="2118" spans="1:40" x14ac:dyDescent="0.3">
      <c r="A2118" t="str">
        <f>"20200111150841336"</f>
        <v>20200111150841336</v>
      </c>
      <c r="B2118" t="str">
        <f>"1578726521325413"</f>
        <v>1578726521325413</v>
      </c>
      <c r="C2118" t="s">
        <v>40</v>
      </c>
      <c r="D2118">
        <v>5.4629849999999998</v>
      </c>
      <c r="E2118">
        <v>0.4710664</v>
      </c>
      <c r="F2118" t="s">
        <v>49</v>
      </c>
      <c r="G2118">
        <v>0</v>
      </c>
      <c r="H2118">
        <v>0</v>
      </c>
      <c r="I2118">
        <v>0</v>
      </c>
      <c r="J2118">
        <v>-319.23020000000002</v>
      </c>
      <c r="K2118">
        <v>1.1103400000000001</v>
      </c>
      <c r="L2118">
        <v>142.09559999999999</v>
      </c>
      <c r="M2118">
        <v>-0.99955850000000002</v>
      </c>
      <c r="N2118">
        <v>0</v>
      </c>
      <c r="O2118">
        <v>-2.6957149999999999E-2</v>
      </c>
      <c r="P2118">
        <v>-0.98798419999999998</v>
      </c>
      <c r="Q2118">
        <v>0.15047769999999999</v>
      </c>
      <c r="R2118">
        <v>-3.5269139999999997E-2</v>
      </c>
      <c r="S2118">
        <v>-2.9655149999999999</v>
      </c>
      <c r="T2118">
        <v>0.3880439</v>
      </c>
      <c r="U2118">
        <v>-0.33534239999999998</v>
      </c>
      <c r="V2118">
        <v>-8.7618279999999993E-3</v>
      </c>
      <c r="W2118">
        <v>0.16281689999999999</v>
      </c>
      <c r="X2118">
        <v>0.98661739999999998</v>
      </c>
      <c r="Y2118">
        <v>-8.5046549999999999E-2</v>
      </c>
      <c r="Z2118">
        <v>2.0232240000000001E-3</v>
      </c>
      <c r="AA2118">
        <v>0.99637489999999995</v>
      </c>
      <c r="AB2118">
        <v>39</v>
      </c>
      <c r="AC2118">
        <v>-2.9655149999999999</v>
      </c>
      <c r="AD2118">
        <v>0.3880439</v>
      </c>
      <c r="AE2118">
        <v>-0.33534239999999998</v>
      </c>
      <c r="AF2118">
        <v>-0.25102852898840899</v>
      </c>
      <c r="AG2118">
        <v>0.3880439</v>
      </c>
      <c r="AH2118">
        <v>2.9240435627796399</v>
      </c>
      <c r="AI2118">
        <v>82.467949575961597</v>
      </c>
      <c r="AJ2118">
        <v>94.906799625951905</v>
      </c>
      <c r="AK2118">
        <v>2.9603418971001201</v>
      </c>
      <c r="AL2118">
        <v>80.629562869530602</v>
      </c>
      <c r="AM2118">
        <v>90.508811793158401</v>
      </c>
      <c r="AN2118">
        <v>1.0000000032691301</v>
      </c>
    </row>
    <row r="2119" spans="1:40" x14ac:dyDescent="0.3">
      <c r="A2119" t="str">
        <f>"20200111150841355"</f>
        <v>20200111150841355</v>
      </c>
      <c r="B2119" t="str">
        <f>"1578726521344932"</f>
        <v>1578726521344932</v>
      </c>
      <c r="C2119" t="s">
        <v>40</v>
      </c>
      <c r="D2119">
        <v>5.5596610000000002</v>
      </c>
      <c r="E2119">
        <v>0.42266999999999999</v>
      </c>
      <c r="F2119" t="s">
        <v>49</v>
      </c>
      <c r="G2119">
        <v>0</v>
      </c>
      <c r="H2119">
        <v>0</v>
      </c>
      <c r="I2119">
        <v>0</v>
      </c>
      <c r="J2119">
        <v>-319.56189999999998</v>
      </c>
      <c r="K2119">
        <v>1.110311</v>
      </c>
      <c r="L2119">
        <v>142.08629999999999</v>
      </c>
      <c r="M2119">
        <v>-0.99955240000000001</v>
      </c>
      <c r="N2119">
        <v>0</v>
      </c>
      <c r="O2119">
        <v>-2.7271210000000001E-2</v>
      </c>
      <c r="P2119">
        <v>-0.98782550000000002</v>
      </c>
      <c r="Q2119">
        <v>0.1513487</v>
      </c>
      <c r="R2119">
        <v>-3.597595E-2</v>
      </c>
      <c r="S2119">
        <v>-2.9653320000000001</v>
      </c>
      <c r="T2119">
        <v>0.38817479999999999</v>
      </c>
      <c r="U2119">
        <v>-0.33715820000000002</v>
      </c>
      <c r="V2119">
        <v>-9.1634950000000007E-3</v>
      </c>
      <c r="W2119">
        <v>0.1634948</v>
      </c>
      <c r="X2119">
        <v>0.98650159999999998</v>
      </c>
      <c r="Y2119">
        <v>-8.5342619999999994E-2</v>
      </c>
      <c r="Z2119">
        <v>2.0024370000000001E-3</v>
      </c>
      <c r="AA2119">
        <v>0.99634959999999995</v>
      </c>
      <c r="AB2119">
        <v>39</v>
      </c>
      <c r="AC2119">
        <v>-2.9653320000000001</v>
      </c>
      <c r="AD2119">
        <v>0.38817479999999999</v>
      </c>
      <c r="AE2119">
        <v>-0.33715820000000002</v>
      </c>
      <c r="AF2119">
        <v>-0.25189706904723902</v>
      </c>
      <c r="AG2119">
        <v>0.38817479999999999</v>
      </c>
      <c r="AH2119">
        <v>2.9239590238335</v>
      </c>
      <c r="AI2119">
        <v>82.465413060457706</v>
      </c>
      <c r="AJ2119">
        <v>94.923835129028504</v>
      </c>
      <c r="AK2119">
        <v>2.9603493344210201</v>
      </c>
      <c r="AL2119">
        <v>80.590194154345497</v>
      </c>
      <c r="AM2119">
        <v>90.532198315181404</v>
      </c>
      <c r="AN2119">
        <v>0.99999996303510597</v>
      </c>
    </row>
    <row r="2120" spans="1:40" x14ac:dyDescent="0.3">
      <c r="A2120" t="str">
        <f>"20200111150841371"</f>
        <v>20200111150841371</v>
      </c>
      <c r="B2120" t="str">
        <f>"1578726521365429"</f>
        <v>1578726521365429</v>
      </c>
      <c r="C2120" t="s">
        <v>40</v>
      </c>
      <c r="D2120">
        <v>5.6512479999999998</v>
      </c>
      <c r="E2120">
        <v>0.48168270000000002</v>
      </c>
      <c r="F2120" t="s">
        <v>85</v>
      </c>
      <c r="G2120">
        <v>-440.75</v>
      </c>
      <c r="H2120">
        <v>36.413960000000003</v>
      </c>
      <c r="I2120">
        <v>111.8319</v>
      </c>
      <c r="J2120">
        <v>-319.82490000000001</v>
      </c>
      <c r="K2120">
        <v>1.110293</v>
      </c>
      <c r="L2120">
        <v>142.07900000000001</v>
      </c>
      <c r="M2120">
        <v>-0.99954739999999997</v>
      </c>
      <c r="N2120">
        <v>0</v>
      </c>
      <c r="O2120">
        <v>-2.7520599999999999E-2</v>
      </c>
      <c r="P2120">
        <v>-0.98779930000000005</v>
      </c>
      <c r="Q2120">
        <v>0.15140590000000001</v>
      </c>
      <c r="R2120">
        <v>-3.6452190000000002E-2</v>
      </c>
      <c r="S2120">
        <v>-2.8821720000000002</v>
      </c>
      <c r="T2120">
        <v>0.83961280000000005</v>
      </c>
      <c r="U2120">
        <v>-0.71952819999999995</v>
      </c>
      <c r="V2120">
        <v>-9.3941370000000003E-3</v>
      </c>
      <c r="W2120">
        <v>0.16340299999999999</v>
      </c>
      <c r="X2120">
        <v>0.98651469999999997</v>
      </c>
      <c r="Y2120">
        <v>-0.2083477</v>
      </c>
      <c r="Z2120">
        <v>2.1570389999999998E-2</v>
      </c>
      <c r="AA2120">
        <v>0.97781689999999999</v>
      </c>
      <c r="AB2120">
        <v>39</v>
      </c>
      <c r="AC2120">
        <v>-120.9251</v>
      </c>
      <c r="AD2120">
        <v>35.303666999999997</v>
      </c>
      <c r="AE2120">
        <v>-30.2471</v>
      </c>
      <c r="AF2120">
        <v>-24.909379895451899</v>
      </c>
      <c r="AG2120">
        <v>35.303666999999997</v>
      </c>
      <c r="AH2120">
        <v>112.673741580437</v>
      </c>
      <c r="AI2120">
        <v>72.989065205745007</v>
      </c>
      <c r="AJ2120">
        <v>102.466170489418</v>
      </c>
      <c r="AK2120">
        <v>120.673933192541</v>
      </c>
      <c r="AL2120">
        <v>80.595526162882194</v>
      </c>
      <c r="AM2120">
        <v>90.545585518391604</v>
      </c>
      <c r="AN2120">
        <v>1.00000002176753</v>
      </c>
    </row>
    <row r="2121" spans="1:40" x14ac:dyDescent="0.3">
      <c r="A2121" t="str">
        <f>"20200111150841384"</f>
        <v>20200111150841384</v>
      </c>
      <c r="B2121" t="str">
        <f>"1578726521375189"</f>
        <v>1578726521375189</v>
      </c>
      <c r="C2121" t="s">
        <v>40</v>
      </c>
      <c r="D2121">
        <v>5.4856730000000002</v>
      </c>
      <c r="E2121">
        <v>0.48168270000000002</v>
      </c>
      <c r="F2121" t="s">
        <v>49</v>
      </c>
      <c r="G2121">
        <v>0</v>
      </c>
      <c r="H2121">
        <v>0</v>
      </c>
      <c r="I2121">
        <v>0</v>
      </c>
      <c r="J2121">
        <v>-320.06880000000001</v>
      </c>
      <c r="K2121">
        <v>1.1102749999999999</v>
      </c>
      <c r="L2121">
        <v>142.07210000000001</v>
      </c>
      <c r="M2121">
        <v>-0.99954270000000001</v>
      </c>
      <c r="N2121">
        <v>0</v>
      </c>
      <c r="O2121">
        <v>-2.775232E-2</v>
      </c>
      <c r="P2121">
        <v>-0.98775400000000002</v>
      </c>
      <c r="Q2121">
        <v>0.15155289999999999</v>
      </c>
      <c r="R2121">
        <v>-3.7065460000000001E-2</v>
      </c>
      <c r="S2121">
        <v>-2.9408569999999998</v>
      </c>
      <c r="T2121">
        <v>0.56649629999999995</v>
      </c>
      <c r="U2121">
        <v>-0.25401309999999999</v>
      </c>
      <c r="V2121">
        <v>-9.7793810000000002E-3</v>
      </c>
      <c r="W2121">
        <v>0.1634148</v>
      </c>
      <c r="X2121">
        <v>0.98650899999999997</v>
      </c>
      <c r="Y2121">
        <v>-5.7820450000000002E-2</v>
      </c>
      <c r="Z2121">
        <v>2.2231550000000001E-4</v>
      </c>
      <c r="AA2121">
        <v>0.99832699999999996</v>
      </c>
      <c r="AB2121">
        <v>39</v>
      </c>
      <c r="AC2121">
        <v>-2.9408569999999998</v>
      </c>
      <c r="AD2121">
        <v>0.56649629999999995</v>
      </c>
      <c r="AE2121">
        <v>-0.25401309999999999</v>
      </c>
      <c r="AF2121">
        <v>-0.16617335903070601</v>
      </c>
      <c r="AG2121">
        <v>0.56649629999999995</v>
      </c>
      <c r="AH2121">
        <v>2.8420956786432501</v>
      </c>
      <c r="AI2121">
        <v>78.746073281137896</v>
      </c>
      <c r="AJ2121">
        <v>93.346194482301101</v>
      </c>
      <c r="AK2121">
        <v>2.9027641119677501</v>
      </c>
      <c r="AL2121">
        <v>80.594840845496293</v>
      </c>
      <c r="AM2121">
        <v>90.567961270014493</v>
      </c>
      <c r="AN2121">
        <v>1.0000000201163901</v>
      </c>
    </row>
    <row r="2122" spans="1:40" x14ac:dyDescent="0.3">
      <c r="A2122" t="str">
        <f>"20200111150841401"</f>
        <v>20200111150841401</v>
      </c>
      <c r="B2122" t="str">
        <f>"1578726521395686"</f>
        <v>1578726521395686</v>
      </c>
      <c r="C2122" t="s">
        <v>40</v>
      </c>
      <c r="D2122">
        <v>5.4081999999999999</v>
      </c>
      <c r="E2122">
        <v>0.4766572</v>
      </c>
      <c r="F2122" t="s">
        <v>49</v>
      </c>
      <c r="G2122">
        <v>0</v>
      </c>
      <c r="H2122">
        <v>0</v>
      </c>
      <c r="I2122">
        <v>0</v>
      </c>
      <c r="J2122">
        <v>-320.35390000000001</v>
      </c>
      <c r="K2122">
        <v>1.110252</v>
      </c>
      <c r="L2122">
        <v>142.06389999999999</v>
      </c>
      <c r="M2122">
        <v>-0.99953689999999995</v>
      </c>
      <c r="N2122">
        <v>0</v>
      </c>
      <c r="O2122">
        <v>-2.802294E-2</v>
      </c>
      <c r="P2122">
        <v>-0.98775599999999997</v>
      </c>
      <c r="Q2122">
        <v>0.1513688</v>
      </c>
      <c r="R2122">
        <v>-3.7757220000000001E-2</v>
      </c>
      <c r="S2122">
        <v>-2.940582</v>
      </c>
      <c r="T2122">
        <v>0.5669611</v>
      </c>
      <c r="U2122">
        <v>-0.2557526</v>
      </c>
      <c r="V2122">
        <v>-1.020331E-2</v>
      </c>
      <c r="W2122">
        <v>0.16307940000000001</v>
      </c>
      <c r="X2122">
        <v>0.9865602</v>
      </c>
      <c r="Y2122">
        <v>-5.8142480000000003E-2</v>
      </c>
      <c r="Z2122">
        <v>2.0167049999999999E-4</v>
      </c>
      <c r="AA2122">
        <v>0.99830830000000004</v>
      </c>
      <c r="AB2122">
        <v>39</v>
      </c>
      <c r="AC2122">
        <v>-2.940582</v>
      </c>
      <c r="AD2122">
        <v>0.5669611</v>
      </c>
      <c r="AE2122">
        <v>-0.2557526</v>
      </c>
      <c r="AF2122">
        <v>-0.16707824955904199</v>
      </c>
      <c r="AG2122">
        <v>0.5669611</v>
      </c>
      <c r="AH2122">
        <v>2.8417482485607199</v>
      </c>
      <c r="AI2122">
        <v>78.7359425971284</v>
      </c>
      <c r="AJ2122">
        <v>93.364784691316899</v>
      </c>
      <c r="AK2122">
        <v>2.90256664670888</v>
      </c>
      <c r="AL2122">
        <v>80.614319081692301</v>
      </c>
      <c r="AM2122">
        <v>90.592549504404403</v>
      </c>
      <c r="AN2122">
        <v>1.00000001323167</v>
      </c>
    </row>
    <row r="2123" spans="1:40" x14ac:dyDescent="0.3">
      <c r="A2123" t="str">
        <f>"20200111150841415"</f>
        <v>20200111150841415</v>
      </c>
      <c r="B2123" t="str">
        <f>"1578726521405445"</f>
        <v>1578726521405445</v>
      </c>
      <c r="C2123" t="s">
        <v>40</v>
      </c>
      <c r="D2123">
        <v>5.1403540000000003</v>
      </c>
      <c r="E2123">
        <v>0.4766572</v>
      </c>
      <c r="F2123" t="s">
        <v>43</v>
      </c>
      <c r="G2123">
        <v>-332.24250000000001</v>
      </c>
      <c r="H2123" s="1">
        <v>-3.9808199999999998E-6</v>
      </c>
      <c r="I2123">
        <v>140.8691</v>
      </c>
      <c r="J2123">
        <v>-320.59690000000001</v>
      </c>
      <c r="K2123">
        <v>1.1102399999999999</v>
      </c>
      <c r="L2123">
        <v>142.05690000000001</v>
      </c>
      <c r="M2123">
        <v>-0.99953179999999997</v>
      </c>
      <c r="N2123">
        <v>0</v>
      </c>
      <c r="O2123">
        <v>-2.8253810000000001E-2</v>
      </c>
      <c r="P2123">
        <v>-0.98776399999999998</v>
      </c>
      <c r="Q2123">
        <v>0.15117259999999999</v>
      </c>
      <c r="R2123">
        <v>-3.8326399999999997E-2</v>
      </c>
      <c r="S2123">
        <v>-3.0693359999999998</v>
      </c>
      <c r="T2123">
        <v>-0.28663850000000002</v>
      </c>
      <c r="U2123">
        <v>-0.30847170000000002</v>
      </c>
      <c r="V2123">
        <v>-1.054447E-2</v>
      </c>
      <c r="W2123">
        <v>0.1627614</v>
      </c>
      <c r="X2123">
        <v>0.98660910000000002</v>
      </c>
      <c r="Y2123">
        <v>-7.165647E-2</v>
      </c>
      <c r="Z2123">
        <v>-7.0506989999999999E-4</v>
      </c>
      <c r="AA2123">
        <v>0.99742909999999996</v>
      </c>
      <c r="AB2123">
        <v>39</v>
      </c>
      <c r="AC2123">
        <v>-11.6456</v>
      </c>
      <c r="AD2123">
        <v>-1.11024398082</v>
      </c>
      <c r="AE2123">
        <v>-1.18780000000001</v>
      </c>
      <c r="AF2123">
        <v>-0.85061886231891903</v>
      </c>
      <c r="AG2123">
        <v>-1.11024398082</v>
      </c>
      <c r="AH2123">
        <v>11.5704322300758</v>
      </c>
      <c r="AI2123">
        <v>95.466388706868401</v>
      </c>
      <c r="AJ2123">
        <v>94.204627007743298</v>
      </c>
      <c r="AK2123">
        <v>11.654659846458699</v>
      </c>
      <c r="AL2123">
        <v>80.632785628773206</v>
      </c>
      <c r="AM2123">
        <v>90.612330280279494</v>
      </c>
      <c r="AN2123">
        <v>0.99999998769017495</v>
      </c>
    </row>
    <row r="2124" spans="1:40" x14ac:dyDescent="0.3">
      <c r="A2124" t="str">
        <f>"20200111150841428"</f>
        <v>20200111150841428</v>
      </c>
      <c r="B2124" t="str">
        <f>"1578726521424965"</f>
        <v>1578726521424965</v>
      </c>
      <c r="C2124" t="s">
        <v>40</v>
      </c>
      <c r="D2124">
        <v>4.7387420000000002</v>
      </c>
      <c r="E2124">
        <v>0.46387089999999997</v>
      </c>
      <c r="F2124" t="s">
        <v>43</v>
      </c>
      <c r="G2124">
        <v>-332.45650000000001</v>
      </c>
      <c r="H2124" s="1">
        <v>-3.876896E-6</v>
      </c>
      <c r="I2124">
        <v>140.8587</v>
      </c>
      <c r="J2124">
        <v>-320.8211</v>
      </c>
      <c r="K2124">
        <v>1.1102369999999999</v>
      </c>
      <c r="L2124">
        <v>142.0504</v>
      </c>
      <c r="M2124">
        <v>-0.9995271</v>
      </c>
      <c r="N2124">
        <v>0</v>
      </c>
      <c r="O2124">
        <v>-2.8466910000000002E-2</v>
      </c>
      <c r="P2124">
        <v>-0.98776419999999998</v>
      </c>
      <c r="Q2124">
        <v>0.15113940000000001</v>
      </c>
      <c r="R2124">
        <v>-3.8456320000000002E-2</v>
      </c>
      <c r="S2124">
        <v>-3.0690309999999998</v>
      </c>
      <c r="T2124">
        <v>-0.28730869999999997</v>
      </c>
      <c r="U2124">
        <v>-0.31007390000000001</v>
      </c>
      <c r="V2124">
        <v>-1.0463790000000001E-2</v>
      </c>
      <c r="W2124">
        <v>0.16262209999999999</v>
      </c>
      <c r="X2124">
        <v>0.98663290000000003</v>
      </c>
      <c r="Y2124">
        <v>-7.1967879999999998E-2</v>
      </c>
      <c r="Z2124">
        <v>-7.0144309999999998E-4</v>
      </c>
      <c r="AA2124">
        <v>0.99740669999999998</v>
      </c>
      <c r="AB2124">
        <v>39</v>
      </c>
      <c r="AC2124">
        <v>-11.635400000000001</v>
      </c>
      <c r="AD2124">
        <v>-1.1102408768959999</v>
      </c>
      <c r="AE2124">
        <v>-1.19169999999999</v>
      </c>
      <c r="AF2124">
        <v>-0.85229129116240099</v>
      </c>
      <c r="AG2124">
        <v>-1.1102408768959999</v>
      </c>
      <c r="AH2124">
        <v>11.5604470258601</v>
      </c>
      <c r="AI2124">
        <v>95.470983511027299</v>
      </c>
      <c r="AJ2124">
        <v>94.216489819340097</v>
      </c>
      <c r="AK2124">
        <v>11.6448688566012</v>
      </c>
      <c r="AL2124">
        <v>80.640874429656193</v>
      </c>
      <c r="AM2124">
        <v>90.607630789780302</v>
      </c>
      <c r="AN2124">
        <v>0.99999995883599102</v>
      </c>
    </row>
    <row r="2125" spans="1:40" x14ac:dyDescent="0.3">
      <c r="A2125" t="str">
        <f>"20200111150841446"</f>
        <v>20200111150841446</v>
      </c>
      <c r="B2125" t="str">
        <f>"1578726521435701"</f>
        <v>1578726521435701</v>
      </c>
      <c r="C2125" t="s">
        <v>40</v>
      </c>
      <c r="D2125">
        <v>5.1738119999999999</v>
      </c>
      <c r="E2125">
        <v>0.46463100000000002</v>
      </c>
      <c r="F2125" t="s">
        <v>49</v>
      </c>
      <c r="G2125">
        <v>0</v>
      </c>
      <c r="H2125">
        <v>0</v>
      </c>
      <c r="I2125">
        <v>0</v>
      </c>
      <c r="J2125">
        <v>-321.13229999999999</v>
      </c>
      <c r="K2125">
        <v>1.1102240000000001</v>
      </c>
      <c r="L2125">
        <v>142.04130000000001</v>
      </c>
      <c r="M2125">
        <v>-0.99952030000000003</v>
      </c>
      <c r="N2125">
        <v>0</v>
      </c>
      <c r="O2125">
        <v>-2.8762309999999999E-2</v>
      </c>
      <c r="P2125">
        <v>-0.98778299999999997</v>
      </c>
      <c r="Q2125">
        <v>0.15096399999999999</v>
      </c>
      <c r="R2125">
        <v>-3.8660939999999998E-2</v>
      </c>
      <c r="S2125">
        <v>-2.9689329999999998</v>
      </c>
      <c r="T2125">
        <v>0.3428872</v>
      </c>
      <c r="U2125">
        <v>-0.40473940000000003</v>
      </c>
      <c r="V2125">
        <v>-1.037683E-2</v>
      </c>
      <c r="W2125">
        <v>0.16230829999999999</v>
      </c>
      <c r="X2125">
        <v>0.98668549999999999</v>
      </c>
      <c r="Y2125">
        <v>-0.10601530000000001</v>
      </c>
      <c r="Z2125">
        <v>2.7798649999999999E-3</v>
      </c>
      <c r="AA2125">
        <v>0.99436060000000004</v>
      </c>
      <c r="AB2125">
        <v>39</v>
      </c>
      <c r="AC2125">
        <v>-2.9689329999999998</v>
      </c>
      <c r="AD2125">
        <v>0.3428872</v>
      </c>
      <c r="AE2125">
        <v>-0.40473940000000003</v>
      </c>
      <c r="AF2125">
        <v>-0.31504738731725102</v>
      </c>
      <c r="AG2125">
        <v>0.3428872</v>
      </c>
      <c r="AH2125">
        <v>2.9408363553543899</v>
      </c>
      <c r="AI2125">
        <v>83.3871188217243</v>
      </c>
      <c r="AJ2125">
        <v>96.114690293922706</v>
      </c>
      <c r="AK2125">
        <v>2.9774729145960901</v>
      </c>
      <c r="AL2125">
        <v>80.6590960313669</v>
      </c>
      <c r="AM2125">
        <v>90.602549287800798</v>
      </c>
      <c r="AN2125">
        <v>0.99999996937999303</v>
      </c>
    </row>
    <row r="2126" spans="1:40" x14ac:dyDescent="0.3">
      <c r="A2126" t="str">
        <f>"20200111150841460"</f>
        <v>20200111150841460</v>
      </c>
      <c r="B2126" t="str">
        <f>"1578726521455221"</f>
        <v>1578726521455221</v>
      </c>
      <c r="C2126" t="s">
        <v>40</v>
      </c>
      <c r="D2126">
        <v>4.2834009999999996</v>
      </c>
      <c r="E2126">
        <v>0.47471669999999999</v>
      </c>
      <c r="F2126" t="s">
        <v>49</v>
      </c>
      <c r="G2126">
        <v>0</v>
      </c>
      <c r="H2126">
        <v>0</v>
      </c>
      <c r="I2126">
        <v>0</v>
      </c>
      <c r="J2126">
        <v>-321.3809</v>
      </c>
      <c r="K2126">
        <v>1.1102179999999999</v>
      </c>
      <c r="L2126">
        <v>142.03399999999999</v>
      </c>
      <c r="M2126">
        <v>-0.99951460000000003</v>
      </c>
      <c r="N2126">
        <v>0</v>
      </c>
      <c r="O2126">
        <v>-2.899821E-2</v>
      </c>
      <c r="P2126">
        <v>-0.98778250000000001</v>
      </c>
      <c r="Q2126">
        <v>0.15094389999999999</v>
      </c>
      <c r="R2126">
        <v>-3.8752219999999997E-2</v>
      </c>
      <c r="S2126">
        <v>-2.9853519999999998</v>
      </c>
      <c r="T2126">
        <v>0.23614450000000001</v>
      </c>
      <c r="U2126">
        <v>-0.40048220000000001</v>
      </c>
      <c r="V2126">
        <v>-1.023496E-2</v>
      </c>
      <c r="W2126">
        <v>0.16218450000000001</v>
      </c>
      <c r="X2126">
        <v>0.98670740000000001</v>
      </c>
      <c r="Y2126">
        <v>-0.1039298</v>
      </c>
      <c r="Z2126">
        <v>1.807E-3</v>
      </c>
      <c r="AA2126">
        <v>0.99458299999999999</v>
      </c>
      <c r="AB2126">
        <v>39</v>
      </c>
      <c r="AC2126">
        <v>-2.9853519999999998</v>
      </c>
      <c r="AD2126">
        <v>0.23614450000000001</v>
      </c>
      <c r="AE2126">
        <v>-0.40048220000000001</v>
      </c>
      <c r="AF2126">
        <v>-0.31182171250442697</v>
      </c>
      <c r="AG2126">
        <v>0.23614450000000001</v>
      </c>
      <c r="AH2126">
        <v>2.97741015081519</v>
      </c>
      <c r="AI2126">
        <v>85.489811167555601</v>
      </c>
      <c r="AJ2126">
        <v>95.978744670913201</v>
      </c>
      <c r="AK2126">
        <v>3.0029932086914202</v>
      </c>
      <c r="AL2126">
        <v>80.6662850635268</v>
      </c>
      <c r="AM2126">
        <v>90.594298756371501</v>
      </c>
      <c r="AN2126">
        <v>1.0000000298306</v>
      </c>
    </row>
    <row r="2127" spans="1:40" x14ac:dyDescent="0.3">
      <c r="A2127" t="str">
        <f>"20200111150841586"</f>
        <v>20200111150841586</v>
      </c>
      <c r="B2127" t="str">
        <f>"1578726521575269"</f>
        <v>1578726521575269</v>
      </c>
      <c r="C2127" t="s">
        <v>40</v>
      </c>
      <c r="D2127">
        <v>5.614185</v>
      </c>
      <c r="E2127">
        <v>0.4789003</v>
      </c>
      <c r="F2127" t="s">
        <v>41</v>
      </c>
      <c r="G2127">
        <v>-324.12950000000001</v>
      </c>
      <c r="H2127">
        <v>0.86914969999999903</v>
      </c>
      <c r="I2127">
        <v>141.90020000000001</v>
      </c>
      <c r="J2127">
        <v>-323.58580000000001</v>
      </c>
      <c r="K2127">
        <v>1.110185</v>
      </c>
      <c r="L2127">
        <v>141.96639999999999</v>
      </c>
      <c r="M2127">
        <v>-0.99945859999999997</v>
      </c>
      <c r="N2127">
        <v>0</v>
      </c>
      <c r="O2127">
        <v>-3.10888E-2</v>
      </c>
      <c r="P2127">
        <v>-0.98797990000000002</v>
      </c>
      <c r="Q2127">
        <v>0.1499009</v>
      </c>
      <c r="R2127">
        <v>-3.775336E-2</v>
      </c>
      <c r="S2127">
        <v>-3.1726990000000002</v>
      </c>
      <c r="T2127">
        <v>-0.96777460000000004</v>
      </c>
      <c r="U2127">
        <v>-0.2973633</v>
      </c>
      <c r="V2127">
        <v>-7.1654600000000002E-3</v>
      </c>
      <c r="W2127">
        <v>0.16052849999999999</v>
      </c>
      <c r="X2127">
        <v>0.98700520000000003</v>
      </c>
      <c r="Y2127">
        <v>-6.0969740000000001E-2</v>
      </c>
      <c r="Z2127">
        <v>1.7586070000000001E-4</v>
      </c>
      <c r="AA2127">
        <v>0.99813960000000002</v>
      </c>
      <c r="AB2127">
        <v>39</v>
      </c>
      <c r="AC2127">
        <v>-0.54370000000000096</v>
      </c>
      <c r="AD2127">
        <v>-0.24103530000000001</v>
      </c>
      <c r="AE2127">
        <v>-6.6199999999980705E-2</v>
      </c>
      <c r="AF2127">
        <v>-4.1271236479932499E-2</v>
      </c>
      <c r="AG2127">
        <v>-0.24103530000000001</v>
      </c>
      <c r="AH2127">
        <v>0.45699195026254702</v>
      </c>
      <c r="AI2127">
        <v>117.71299082551801</v>
      </c>
      <c r="AJ2127">
        <v>95.160419541781295</v>
      </c>
      <c r="AK2127">
        <v>0.51830779794581405</v>
      </c>
      <c r="AL2127">
        <v>80.762426464910902</v>
      </c>
      <c r="AM2127">
        <v>90.415948572358104</v>
      </c>
      <c r="AN2127">
        <v>1.00000000397815</v>
      </c>
    </row>
    <row r="2128" spans="1:40" x14ac:dyDescent="0.3">
      <c r="A2128" t="str">
        <f>"20200111150841602"</f>
        <v>20200111150841602</v>
      </c>
      <c r="B2128" t="str">
        <f>"1578726521595764"</f>
        <v>1578726521595764</v>
      </c>
      <c r="C2128" t="s">
        <v>40</v>
      </c>
      <c r="D2128">
        <v>7.7517639999999997</v>
      </c>
      <c r="E2128">
        <v>0.45428360000000001</v>
      </c>
      <c r="F2128" t="s">
        <v>41</v>
      </c>
      <c r="G2128">
        <v>-324.47640000000001</v>
      </c>
      <c r="H2128">
        <v>0.85619279999999998</v>
      </c>
      <c r="I2128">
        <v>141.88249999999999</v>
      </c>
      <c r="J2128">
        <v>-323.87419999999997</v>
      </c>
      <c r="K2128">
        <v>1.110182</v>
      </c>
      <c r="L2128">
        <v>141.9572</v>
      </c>
      <c r="M2128">
        <v>-0.99945070000000003</v>
      </c>
      <c r="N2128">
        <v>0</v>
      </c>
      <c r="O2128">
        <v>-3.1362370000000001E-2</v>
      </c>
      <c r="P2128">
        <v>-0.98808879999999999</v>
      </c>
      <c r="Q2128">
        <v>0.14924760000000001</v>
      </c>
      <c r="R2128">
        <v>-3.7496559999999998E-2</v>
      </c>
      <c r="S2128">
        <v>-3.1619259999999998</v>
      </c>
      <c r="T2128">
        <v>-0.90183500000000005</v>
      </c>
      <c r="U2128">
        <v>-0.2991028</v>
      </c>
      <c r="V2128">
        <v>-6.6348630000000004E-3</v>
      </c>
      <c r="W2128">
        <v>0.15983240000000001</v>
      </c>
      <c r="X2128">
        <v>0.9871219</v>
      </c>
      <c r="Y2128">
        <v>-6.1704769999999999E-2</v>
      </c>
      <c r="Z2128">
        <v>1.3854540000000001E-4</v>
      </c>
      <c r="AA2128">
        <v>0.99809440000000005</v>
      </c>
      <c r="AB2128">
        <v>39</v>
      </c>
      <c r="AC2128">
        <v>-0.60220000000003804</v>
      </c>
      <c r="AD2128">
        <v>-0.25398920000000003</v>
      </c>
      <c r="AE2128">
        <v>-7.4700000000007094E-2</v>
      </c>
      <c r="AF2128">
        <v>-4.7460915898745001E-2</v>
      </c>
      <c r="AG2128">
        <v>-0.25398920000000003</v>
      </c>
      <c r="AH2128">
        <v>0.51416790131582601</v>
      </c>
      <c r="AI2128">
        <v>116.192108576132</v>
      </c>
      <c r="AJ2128">
        <v>95.273814576245499</v>
      </c>
      <c r="AK2128">
        <v>0.57544042523801597</v>
      </c>
      <c r="AL2128">
        <v>80.802832036480297</v>
      </c>
      <c r="AM2128">
        <v>90.3851033220555</v>
      </c>
      <c r="AN2128">
        <v>1.0000000314781901</v>
      </c>
    </row>
    <row r="2129" spans="1:40" x14ac:dyDescent="0.3">
      <c r="A2129" t="str">
        <f>"20200111150841617"</f>
        <v>20200111150841617</v>
      </c>
      <c r="B2129" t="str">
        <f>"1578726521615286"</f>
        <v>1578726521615286</v>
      </c>
      <c r="C2129" t="s">
        <v>40</v>
      </c>
      <c r="D2129">
        <v>6.0222369999999996</v>
      </c>
      <c r="E2129">
        <v>0.45401010000000003</v>
      </c>
      <c r="F2129" t="s">
        <v>43</v>
      </c>
      <c r="G2129">
        <v>-333.18389999999999</v>
      </c>
      <c r="H2129" s="1">
        <v>-3.4316069999999999E-6</v>
      </c>
      <c r="I2129">
        <v>140.47739999999999</v>
      </c>
      <c r="J2129">
        <v>-324.1463</v>
      </c>
      <c r="K2129">
        <v>1.1101810000000001</v>
      </c>
      <c r="L2129">
        <v>141.9485</v>
      </c>
      <c r="M2129">
        <v>-0.99944290000000002</v>
      </c>
      <c r="N2129">
        <v>0</v>
      </c>
      <c r="O2129">
        <v>-3.1620389999999998E-2</v>
      </c>
      <c r="P2129">
        <v>-0.98810609999999999</v>
      </c>
      <c r="Q2129">
        <v>0.14906040000000001</v>
      </c>
      <c r="R2129">
        <v>-3.7780429999999997E-2</v>
      </c>
      <c r="S2129">
        <v>-3.0729679999999999</v>
      </c>
      <c r="T2129">
        <v>-0.36645539999999999</v>
      </c>
      <c r="U2129">
        <v>-0.48846440000000002</v>
      </c>
      <c r="V2129">
        <v>-6.6628759999999999E-3</v>
      </c>
      <c r="W2129">
        <v>0.15961259999999999</v>
      </c>
      <c r="X2129">
        <v>0.98715719999999996</v>
      </c>
      <c r="Y2129">
        <v>-0.1250309</v>
      </c>
      <c r="Z2129">
        <v>-3.6511849999999999E-3</v>
      </c>
      <c r="AA2129">
        <v>0.99214610000000003</v>
      </c>
      <c r="AB2129">
        <v>39</v>
      </c>
      <c r="AC2129">
        <v>-9.0375999999999905</v>
      </c>
      <c r="AD2129">
        <v>-1.11018443160699</v>
      </c>
      <c r="AE2129">
        <v>-1.4711000000000001</v>
      </c>
      <c r="AF2129">
        <v>-1.16741419646059</v>
      </c>
      <c r="AG2129">
        <v>-1.11018443160699</v>
      </c>
      <c r="AH2129">
        <v>8.94806028333619</v>
      </c>
      <c r="AI2129">
        <v>97.013696470902602</v>
      </c>
      <c r="AJ2129">
        <v>97.433145031735293</v>
      </c>
      <c r="AK2129">
        <v>9.0919276400826501</v>
      </c>
      <c r="AL2129">
        <v>80.815588736185106</v>
      </c>
      <c r="AM2129">
        <v>90.386715385589497</v>
      </c>
      <c r="AN2129">
        <v>0.99999995675359399</v>
      </c>
    </row>
    <row r="2130" spans="1:40" x14ac:dyDescent="0.3">
      <c r="A2130" t="str">
        <f>"20200111150841631"</f>
        <v>20200111150841631</v>
      </c>
      <c r="B2130" t="str">
        <f>"1578726521625045"</f>
        <v>1578726521625045</v>
      </c>
      <c r="C2130" t="s">
        <v>40</v>
      </c>
      <c r="D2130">
        <v>6.5143149999999999</v>
      </c>
      <c r="E2130">
        <v>0.45404460000000002</v>
      </c>
      <c r="F2130" t="s">
        <v>43</v>
      </c>
      <c r="G2130">
        <v>-339.07979999999998</v>
      </c>
      <c r="H2130" s="1">
        <v>-4.2654880000000001E-7</v>
      </c>
      <c r="I2130">
        <v>139.5538</v>
      </c>
      <c r="J2130">
        <v>-324.3963</v>
      </c>
      <c r="K2130">
        <v>1.1101780000000001</v>
      </c>
      <c r="L2130">
        <v>141.94040000000001</v>
      </c>
      <c r="M2130">
        <v>-0.99943559999999998</v>
      </c>
      <c r="N2130">
        <v>0</v>
      </c>
      <c r="O2130">
        <v>-3.1857249999999997E-2</v>
      </c>
      <c r="P2130">
        <v>-0.98810109999999995</v>
      </c>
      <c r="Q2130">
        <v>0.14890880000000001</v>
      </c>
      <c r="R2130">
        <v>-3.8501229999999997E-2</v>
      </c>
      <c r="S2130">
        <v>-3.0516359999999998</v>
      </c>
      <c r="T2130">
        <v>-0.2268637</v>
      </c>
      <c r="U2130">
        <v>-0.48934939999999999</v>
      </c>
      <c r="V2130">
        <v>-7.1488560000000003E-3</v>
      </c>
      <c r="W2130">
        <v>0.15943650000000001</v>
      </c>
      <c r="X2130">
        <v>0.98718229999999996</v>
      </c>
      <c r="Y2130">
        <v>-0.1265416</v>
      </c>
      <c r="Z2130">
        <v>-2.319031E-3</v>
      </c>
      <c r="AA2130">
        <v>0.99195860000000002</v>
      </c>
      <c r="AB2130">
        <v>39</v>
      </c>
      <c r="AC2130">
        <v>-14.683499999999899</v>
      </c>
      <c r="AD2130">
        <v>-1.1101784265487999</v>
      </c>
      <c r="AE2130">
        <v>-2.3866000000000098</v>
      </c>
      <c r="AF2130">
        <v>-1.9069654917716099</v>
      </c>
      <c r="AG2130">
        <v>-1.1101784265487999</v>
      </c>
      <c r="AH2130">
        <v>14.670377049767</v>
      </c>
      <c r="AI2130">
        <v>94.291631720300899</v>
      </c>
      <c r="AJ2130">
        <v>97.406207275869406</v>
      </c>
      <c r="AK2130">
        <v>14.8353960617137</v>
      </c>
      <c r="AL2130">
        <v>80.825809796551596</v>
      </c>
      <c r="AM2130">
        <v>90.414910313239901</v>
      </c>
      <c r="AN2130">
        <v>0.99999999855382404</v>
      </c>
    </row>
    <row r="2131" spans="1:40" x14ac:dyDescent="0.3">
      <c r="A2131" t="str">
        <f>"20200111150841647"</f>
        <v>20200111150841647</v>
      </c>
      <c r="B2131" t="str">
        <f>"1578726521635781"</f>
        <v>1578726521635781</v>
      </c>
      <c r="C2131" t="s">
        <v>40</v>
      </c>
      <c r="D2131">
        <v>6.527069</v>
      </c>
      <c r="E2131">
        <v>0.45535799999999998</v>
      </c>
      <c r="F2131" t="s">
        <v>43</v>
      </c>
      <c r="G2131">
        <v>-344.83109999999999</v>
      </c>
      <c r="H2131" s="1">
        <v>-2.3720139999999999E-6</v>
      </c>
      <c r="I2131">
        <v>138.64519999999999</v>
      </c>
      <c r="J2131">
        <v>-324.66649999999998</v>
      </c>
      <c r="K2131">
        <v>1.1101760000000001</v>
      </c>
      <c r="L2131">
        <v>141.9315</v>
      </c>
      <c r="M2131">
        <v>-0.99942770000000003</v>
      </c>
      <c r="N2131">
        <v>0</v>
      </c>
      <c r="O2131">
        <v>-3.2113179999999998E-2</v>
      </c>
      <c r="P2131">
        <v>-0.98800920000000003</v>
      </c>
      <c r="Q2131">
        <v>0.1491527</v>
      </c>
      <c r="R2131">
        <v>-3.9891459999999997E-2</v>
      </c>
      <c r="S2131">
        <v>-3.0419309999999999</v>
      </c>
      <c r="T2131">
        <v>-0.16526260000000001</v>
      </c>
      <c r="U2131">
        <v>-0.49050899999999997</v>
      </c>
      <c r="V2131">
        <v>-8.2886509999999993E-3</v>
      </c>
      <c r="W2131">
        <v>0.159656399999999</v>
      </c>
      <c r="X2131">
        <v>0.98713790000000001</v>
      </c>
      <c r="Y2131">
        <v>-0.12726869999999901</v>
      </c>
      <c r="Z2131">
        <v>-1.7015070000000001E-3</v>
      </c>
      <c r="AA2131">
        <v>0.99186680000000005</v>
      </c>
      <c r="AB2131">
        <v>39</v>
      </c>
      <c r="AC2131">
        <v>-20.1646</v>
      </c>
      <c r="AD2131">
        <v>-1.1101783720139999</v>
      </c>
      <c r="AE2131">
        <v>-3.28630000000001</v>
      </c>
      <c r="AF2131">
        <v>-2.6292553918494299</v>
      </c>
      <c r="AG2131">
        <v>-1.1101783720139999</v>
      </c>
      <c r="AH2131">
        <v>20.200093061904401</v>
      </c>
      <c r="AI2131">
        <v>93.119496884374797</v>
      </c>
      <c r="AJ2131">
        <v>97.4159583744038</v>
      </c>
      <c r="AK2131">
        <v>20.400716645325399</v>
      </c>
      <c r="AL2131">
        <v>80.813047451422307</v>
      </c>
      <c r="AM2131">
        <v>90.481081275248997</v>
      </c>
      <c r="AN2131">
        <v>1.00000005070638</v>
      </c>
    </row>
    <row r="2132" spans="1:40" x14ac:dyDescent="0.3">
      <c r="A2132" t="str">
        <f>"20200111150841669"</f>
        <v>20200111150841669</v>
      </c>
      <c r="B2132" t="str">
        <f>"1578726521665061"</f>
        <v>1578726521665061</v>
      </c>
      <c r="C2132" t="s">
        <v>40</v>
      </c>
      <c r="D2132">
        <v>5.5836610000000002</v>
      </c>
      <c r="E2132">
        <v>0.4126475</v>
      </c>
      <c r="F2132" t="s">
        <v>43</v>
      </c>
      <c r="G2132">
        <v>-354.8732</v>
      </c>
      <c r="H2132" s="1">
        <v>-2.6239949999999999E-6</v>
      </c>
      <c r="I2132">
        <v>137.12280000000001</v>
      </c>
      <c r="J2132">
        <v>-325.05340000000001</v>
      </c>
      <c r="K2132">
        <v>1.1101749999999999</v>
      </c>
      <c r="L2132">
        <v>141.9188</v>
      </c>
      <c r="M2132">
        <v>-0.99941619999999998</v>
      </c>
      <c r="N2132">
        <v>0</v>
      </c>
      <c r="O2132">
        <v>-3.2479599999999997E-2</v>
      </c>
      <c r="P2132">
        <v>-0.98798529999999996</v>
      </c>
      <c r="Q2132">
        <v>0.14910509999999999</v>
      </c>
      <c r="R2132">
        <v>-4.0658180000000002E-2</v>
      </c>
      <c r="S2132">
        <v>-3.033722</v>
      </c>
      <c r="T2132">
        <v>-0.1114979</v>
      </c>
      <c r="U2132">
        <v>-0.4829407</v>
      </c>
      <c r="V2132">
        <v>-8.6935609999999903E-3</v>
      </c>
      <c r="W2132">
        <v>0.159582</v>
      </c>
      <c r="X2132">
        <v>0.98714639999999998</v>
      </c>
      <c r="Y2132">
        <v>-0.12499</v>
      </c>
      <c r="Z2132">
        <v>-1.0967360000000001E-3</v>
      </c>
      <c r="AA2132">
        <v>0.99215739999999997</v>
      </c>
      <c r="AB2132">
        <v>40</v>
      </c>
      <c r="AC2132">
        <v>-29.819799999999901</v>
      </c>
      <c r="AD2132">
        <v>-1.1101776239950001</v>
      </c>
      <c r="AE2132">
        <v>-4.7959999999999896</v>
      </c>
      <c r="AF2132">
        <v>-3.8197189736191199</v>
      </c>
      <c r="AG2132">
        <v>-1.1101776239950001</v>
      </c>
      <c r="AH2132">
        <v>29.919422336301601</v>
      </c>
      <c r="AI2132">
        <v>92.107925128361202</v>
      </c>
      <c r="AJ2132">
        <v>97.275416204495201</v>
      </c>
      <c r="AK2132">
        <v>30.182686764637499</v>
      </c>
      <c r="AL2132">
        <v>80.817365188210104</v>
      </c>
      <c r="AM2132">
        <v>90.504577109681506</v>
      </c>
      <c r="AN2132">
        <v>1.0000000038799099</v>
      </c>
    </row>
    <row r="2133" spans="1:40" x14ac:dyDescent="0.3">
      <c r="A2133" t="str">
        <f>"20200111150841691"</f>
        <v>20200111150841691</v>
      </c>
      <c r="B2133" t="str">
        <f>"1578726521685557"</f>
        <v>1578726521685557</v>
      </c>
      <c r="C2133" t="s">
        <v>40</v>
      </c>
      <c r="D2133">
        <v>5.5943329999999998</v>
      </c>
      <c r="E2133">
        <v>0.47589989999999999</v>
      </c>
      <c r="F2133" t="s">
        <v>85</v>
      </c>
      <c r="G2133">
        <v>-440.75</v>
      </c>
      <c r="H2133">
        <v>15.453290000000001</v>
      </c>
      <c r="I2133">
        <v>109.76430000000001</v>
      </c>
      <c r="J2133">
        <v>-325.45460000000003</v>
      </c>
      <c r="K2133">
        <v>1.1101700000000001</v>
      </c>
      <c r="L2133">
        <v>141.90539999999999</v>
      </c>
      <c r="M2133">
        <v>-0.99940399999999996</v>
      </c>
      <c r="N2133">
        <v>0</v>
      </c>
      <c r="O2133">
        <v>-3.285917E-2</v>
      </c>
      <c r="P2133">
        <v>-0.9880274</v>
      </c>
      <c r="Q2133">
        <v>0.14864059999999901</v>
      </c>
      <c r="R2133">
        <v>-4.132475E-2</v>
      </c>
      <c r="S2133">
        <v>-2.9476619999999998</v>
      </c>
      <c r="T2133">
        <v>0.3654271</v>
      </c>
      <c r="U2133">
        <v>-0.81921390000000005</v>
      </c>
      <c r="V2133">
        <v>-8.9828149999999999E-3</v>
      </c>
      <c r="W2133">
        <v>0.15909760000000001</v>
      </c>
      <c r="X2133">
        <v>0.98722200000000004</v>
      </c>
      <c r="Y2133">
        <v>-0.23453499999999999</v>
      </c>
      <c r="Z2133">
        <v>1.0237349999999999E-2</v>
      </c>
      <c r="AA2133">
        <v>0.97205379999999997</v>
      </c>
      <c r="AB2133">
        <v>40</v>
      </c>
      <c r="AC2133">
        <v>-115.29539999999901</v>
      </c>
      <c r="AD2133">
        <v>14.343120000000001</v>
      </c>
      <c r="AE2133">
        <v>-32.141099999999902</v>
      </c>
      <c r="AF2133">
        <v>-27.933882818873499</v>
      </c>
      <c r="AG2133">
        <v>14.343120000000001</v>
      </c>
      <c r="AH2133">
        <v>114.643026944594</v>
      </c>
      <c r="AI2133">
        <v>83.069423418518895</v>
      </c>
      <c r="AJ2133">
        <v>103.693831964713</v>
      </c>
      <c r="AK2133">
        <v>118.86568271663501</v>
      </c>
      <c r="AL2133">
        <v>80.845478476090904</v>
      </c>
      <c r="AM2133">
        <v>90.521324671050294</v>
      </c>
      <c r="AN2133">
        <v>1.0000000072875399</v>
      </c>
    </row>
    <row r="2134" spans="1:40" x14ac:dyDescent="0.3">
      <c r="A2134" t="str">
        <f>"20200111150841714"</f>
        <v>20200111150841714</v>
      </c>
      <c r="B2134" t="str">
        <f>"1578726521705080"</f>
        <v>1578726521705080</v>
      </c>
      <c r="C2134" t="s">
        <v>40</v>
      </c>
      <c r="D2134">
        <v>5.6326049999999999</v>
      </c>
      <c r="E2134">
        <v>0.47409050000000003</v>
      </c>
      <c r="F2134" t="s">
        <v>49</v>
      </c>
      <c r="G2134">
        <v>0</v>
      </c>
      <c r="H2134">
        <v>0</v>
      </c>
      <c r="I2134">
        <v>0</v>
      </c>
      <c r="J2134">
        <v>-325.86520000000002</v>
      </c>
      <c r="K2134">
        <v>1.110168</v>
      </c>
      <c r="L2134">
        <v>141.89160000000001</v>
      </c>
      <c r="M2134">
        <v>-0.99939120000000004</v>
      </c>
      <c r="N2134">
        <v>0</v>
      </c>
      <c r="O2134">
        <v>-3.3247730000000003E-2</v>
      </c>
      <c r="P2134">
        <v>-0.98793229999999999</v>
      </c>
      <c r="Q2134">
        <v>0.1490049</v>
      </c>
      <c r="R2134">
        <v>-4.2276849999999998E-2</v>
      </c>
      <c r="S2134">
        <v>-3.0227970000000002</v>
      </c>
      <c r="T2134">
        <v>4.6586989999999998E-4</v>
      </c>
      <c r="U2134">
        <v>-0.3223877</v>
      </c>
      <c r="V2134">
        <v>-9.5542189999999992E-3</v>
      </c>
      <c r="W2134">
        <v>0.15944920000000001</v>
      </c>
      <c r="X2134">
        <v>0.98715989999999998</v>
      </c>
      <c r="Y2134">
        <v>-7.2929960000000002E-2</v>
      </c>
      <c r="Z2134" s="1">
        <v>4.9711339999999998E-7</v>
      </c>
      <c r="AA2134">
        <v>0.99733700000000003</v>
      </c>
      <c r="AB2134">
        <v>40</v>
      </c>
      <c r="AC2134">
        <v>-3.0227970000000002</v>
      </c>
      <c r="AD2134">
        <v>4.6586989999999998E-4</v>
      </c>
      <c r="AE2134">
        <v>-0.3223877</v>
      </c>
      <c r="AF2134">
        <v>-0.22170268216191</v>
      </c>
      <c r="AG2134">
        <v>4.6586989999999998E-4</v>
      </c>
      <c r="AH2134">
        <v>3.0318448210574598</v>
      </c>
      <c r="AI2134">
        <v>89.9912194388654</v>
      </c>
      <c r="AJ2134">
        <v>94.182291595877103</v>
      </c>
      <c r="AK2134">
        <v>3.0399400183696899</v>
      </c>
      <c r="AL2134">
        <v>80.825072717863605</v>
      </c>
      <c r="AM2134">
        <v>90.554519418236296</v>
      </c>
      <c r="AN2134">
        <v>0.99999999932467398</v>
      </c>
    </row>
    <row r="2135" spans="1:40" x14ac:dyDescent="0.3">
      <c r="A2135" t="str">
        <f>"20200111150841729"</f>
        <v>20200111150841729</v>
      </c>
      <c r="B2135" t="str">
        <f>"1578726521725576"</f>
        <v>1578726521725576</v>
      </c>
      <c r="C2135" t="s">
        <v>40</v>
      </c>
      <c r="D2135">
        <v>5.1809379999999896</v>
      </c>
      <c r="E2135">
        <v>0.47122760000000002</v>
      </c>
      <c r="F2135" t="s">
        <v>49</v>
      </c>
      <c r="G2135">
        <v>0</v>
      </c>
      <c r="H2135">
        <v>0</v>
      </c>
      <c r="I2135">
        <v>0</v>
      </c>
      <c r="J2135">
        <v>-326.12270000000001</v>
      </c>
      <c r="K2135">
        <v>1.110169</v>
      </c>
      <c r="L2135">
        <v>141.8828</v>
      </c>
      <c r="M2135">
        <v>-0.99938300000000002</v>
      </c>
      <c r="N2135">
        <v>0</v>
      </c>
      <c r="O2135">
        <v>-3.3491130000000001E-2</v>
      </c>
      <c r="P2135">
        <v>-0.98787029999999998</v>
      </c>
      <c r="Q2135">
        <v>0.14922089999999999</v>
      </c>
      <c r="R2135">
        <v>-4.2955979999999998E-2</v>
      </c>
      <c r="S2135">
        <v>-3.020721</v>
      </c>
      <c r="T2135">
        <v>9.2283490000000003E-3</v>
      </c>
      <c r="U2135">
        <v>-0.33938600000000002</v>
      </c>
      <c r="V2135">
        <v>-9.9944609999999996E-3</v>
      </c>
      <c r="W2135">
        <v>0.15966060000000001</v>
      </c>
      <c r="X2135">
        <v>0.98712140000000004</v>
      </c>
      <c r="Y2135">
        <v>-7.8303719999999993E-2</v>
      </c>
      <c r="Z2135" s="1">
        <v>1.729569E-5</v>
      </c>
      <c r="AA2135">
        <v>0.99692950000000002</v>
      </c>
      <c r="AB2135">
        <v>40</v>
      </c>
      <c r="AC2135">
        <v>-3.020721</v>
      </c>
      <c r="AD2135">
        <v>9.2283490000000003E-3</v>
      </c>
      <c r="AE2135">
        <v>-0.33938600000000002</v>
      </c>
      <c r="AF2135">
        <v>-0.23802037064858</v>
      </c>
      <c r="AG2135">
        <v>9.2283490000000003E-3</v>
      </c>
      <c r="AH2135">
        <v>3.0303653570976401</v>
      </c>
      <c r="AI2135">
        <v>89.826053867286902</v>
      </c>
      <c r="AJ2135">
        <v>94.491082604277693</v>
      </c>
      <c r="AK2135">
        <v>3.0397126602306401</v>
      </c>
      <c r="AL2135">
        <v>80.812803466101101</v>
      </c>
      <c r="AM2135">
        <v>90.580091635511906</v>
      </c>
      <c r="AN2135">
        <v>1.0000000273904901</v>
      </c>
    </row>
    <row r="2136" spans="1:40" x14ac:dyDescent="0.3">
      <c r="A2136" t="str">
        <f>"20200111150841747"</f>
        <v>20200111150841747</v>
      </c>
      <c r="B2136" t="str">
        <f>"1578726521735333"</f>
        <v>1578726521735333</v>
      </c>
      <c r="C2136" t="s">
        <v>40</v>
      </c>
      <c r="D2136">
        <v>9.1462129999999995</v>
      </c>
      <c r="E2136">
        <v>0.47122760000000002</v>
      </c>
      <c r="F2136" t="s">
        <v>49</v>
      </c>
      <c r="G2136">
        <v>0</v>
      </c>
      <c r="H2136">
        <v>0</v>
      </c>
      <c r="I2136">
        <v>0</v>
      </c>
      <c r="J2136">
        <v>-326.43619999999999</v>
      </c>
      <c r="K2136">
        <v>1.1101700000000001</v>
      </c>
      <c r="L2136">
        <v>141.87209999999999</v>
      </c>
      <c r="M2136">
        <v>-0.99937319999999996</v>
      </c>
      <c r="N2136">
        <v>0</v>
      </c>
      <c r="O2136">
        <v>-3.378772E-2</v>
      </c>
      <c r="P2136">
        <v>-0.98777130000000002</v>
      </c>
      <c r="Q2136">
        <v>0.14965719999999999</v>
      </c>
      <c r="R2136">
        <v>-4.3712529999999999E-2</v>
      </c>
      <c r="S2136">
        <v>-3.0062869999999999</v>
      </c>
      <c r="T2136">
        <v>9.7984310000000005E-2</v>
      </c>
      <c r="U2136">
        <v>-0.36283870000000001</v>
      </c>
      <c r="V2136">
        <v>-1.0461120000000001E-2</v>
      </c>
      <c r="W2136">
        <v>0.16009499999999999</v>
      </c>
      <c r="X2136">
        <v>0.98704619999999998</v>
      </c>
      <c r="Y2136">
        <v>-8.6181770000000005E-2</v>
      </c>
      <c r="Z2136">
        <v>3.0269569999999998E-4</v>
      </c>
      <c r="AA2136">
        <v>0.99627940000000004</v>
      </c>
      <c r="AB2136">
        <v>40</v>
      </c>
      <c r="AC2136">
        <v>-3.0062869999999999</v>
      </c>
      <c r="AD2136">
        <v>9.7984310000000005E-2</v>
      </c>
      <c r="AE2136">
        <v>-0.36283870000000001</v>
      </c>
      <c r="AF2136">
        <v>-0.26077720658686099</v>
      </c>
      <c r="AG2136">
        <v>9.7984310000000005E-2</v>
      </c>
      <c r="AH2136">
        <v>3.0136749929747202</v>
      </c>
      <c r="AI2136">
        <v>88.144713169649606</v>
      </c>
      <c r="AJ2136">
        <v>94.945559113731505</v>
      </c>
      <c r="AK2136">
        <v>3.0265231933296901</v>
      </c>
      <c r="AL2136">
        <v>80.787589807069693</v>
      </c>
      <c r="AM2136">
        <v>90.607221409213395</v>
      </c>
      <c r="AN2136">
        <v>1.0000000224955401</v>
      </c>
    </row>
    <row r="2137" spans="1:40" x14ac:dyDescent="0.3">
      <c r="A2137" t="str">
        <f>"20200111150841763"</f>
        <v>20200111150841763</v>
      </c>
      <c r="B2137" t="str">
        <f>"1578726521754853"</f>
        <v>1578726521754853</v>
      </c>
      <c r="C2137" t="s">
        <v>40</v>
      </c>
      <c r="D2137">
        <v>5.2245720000000002</v>
      </c>
      <c r="E2137">
        <v>0.47005219999999998</v>
      </c>
      <c r="F2137" t="s">
        <v>49</v>
      </c>
      <c r="G2137">
        <v>0</v>
      </c>
      <c r="H2137">
        <v>0</v>
      </c>
      <c r="I2137">
        <v>0</v>
      </c>
      <c r="J2137">
        <v>-326.72629999999998</v>
      </c>
      <c r="K2137">
        <v>1.1101719999999999</v>
      </c>
      <c r="L2137">
        <v>141.86199999999999</v>
      </c>
      <c r="M2137">
        <v>-0.99936369999999997</v>
      </c>
      <c r="N2137">
        <v>0</v>
      </c>
      <c r="O2137">
        <v>-3.4061800000000003E-2</v>
      </c>
      <c r="P2137">
        <v>-0.98771209999999998</v>
      </c>
      <c r="Q2137">
        <v>0.14993099999999901</v>
      </c>
      <c r="R2137">
        <v>-4.4108420000000002E-2</v>
      </c>
      <c r="S2137">
        <v>-3.0059200000000001</v>
      </c>
      <c r="T2137">
        <v>9.930348E-2</v>
      </c>
      <c r="U2137">
        <v>-0.36518859999999997</v>
      </c>
      <c r="V2137">
        <v>-1.058771E-2</v>
      </c>
      <c r="W2137">
        <v>0.1603704</v>
      </c>
      <c r="X2137">
        <v>0.98700010000000005</v>
      </c>
      <c r="Y2137">
        <v>-8.668969E-2</v>
      </c>
      <c r="Z2137">
        <v>3.0614560000000001E-4</v>
      </c>
      <c r="AA2137">
        <v>0.99623530000000005</v>
      </c>
      <c r="AB2137">
        <v>40</v>
      </c>
      <c r="AC2137">
        <v>-3.0059200000000001</v>
      </c>
      <c r="AD2137">
        <v>9.930348E-2</v>
      </c>
      <c r="AE2137">
        <v>-0.36518859999999997</v>
      </c>
      <c r="AF2137">
        <v>-0.26230178243466001</v>
      </c>
      <c r="AG2137">
        <v>9.930348E-2</v>
      </c>
      <c r="AH2137">
        <v>3.01337434518021</v>
      </c>
      <c r="AI2137">
        <v>88.119648944774198</v>
      </c>
      <c r="AJ2137">
        <v>94.974821377279298</v>
      </c>
      <c r="AK2137">
        <v>3.0263985775833899</v>
      </c>
      <c r="AL2137">
        <v>80.771603616038007</v>
      </c>
      <c r="AM2137">
        <v>90.614597537084904</v>
      </c>
      <c r="AN2137">
        <v>0.99999998109960697</v>
      </c>
    </row>
    <row r="2138" spans="1:40" x14ac:dyDescent="0.3">
      <c r="A2138" t="str">
        <f>"20200111150841776"</f>
        <v>20200111150841776</v>
      </c>
      <c r="B2138" t="str">
        <f>"1578726521765589"</f>
        <v>1578726521765589</v>
      </c>
      <c r="C2138" t="s">
        <v>40</v>
      </c>
      <c r="D2138">
        <v>5.6452580000000001</v>
      </c>
      <c r="E2138">
        <v>0.47291349999999999</v>
      </c>
      <c r="F2138" t="s">
        <v>49</v>
      </c>
      <c r="G2138">
        <v>0</v>
      </c>
      <c r="H2138">
        <v>0</v>
      </c>
      <c r="I2138">
        <v>0</v>
      </c>
      <c r="J2138">
        <v>-326.96949999999998</v>
      </c>
      <c r="K2138">
        <v>1.1101730000000001</v>
      </c>
      <c r="L2138">
        <v>141.8536</v>
      </c>
      <c r="M2138">
        <v>-0.99935589999999996</v>
      </c>
      <c r="N2138">
        <v>0</v>
      </c>
      <c r="O2138">
        <v>-3.4291889999999998E-2</v>
      </c>
      <c r="P2138">
        <v>-0.98767660000000002</v>
      </c>
      <c r="Q2138">
        <v>0.15010870000000001</v>
      </c>
      <c r="R2138">
        <v>-4.4300819999999998E-2</v>
      </c>
      <c r="S2138">
        <v>-2.9908139999999999</v>
      </c>
      <c r="T2138">
        <v>0.19638069999999999</v>
      </c>
      <c r="U2138">
        <v>-0.37463380000000002</v>
      </c>
      <c r="V2138">
        <v>-1.055351E-2</v>
      </c>
      <c r="W2138">
        <v>0.160553</v>
      </c>
      <c r="X2138">
        <v>0.98697080000000004</v>
      </c>
      <c r="Y2138">
        <v>-9.0071029999999996E-2</v>
      </c>
      <c r="Z2138">
        <v>7.0334759999999999E-4</v>
      </c>
      <c r="AA2138">
        <v>0.99593509999999996</v>
      </c>
      <c r="AB2138">
        <v>40</v>
      </c>
      <c r="AC2138">
        <v>-2.9908139999999999</v>
      </c>
      <c r="AD2138">
        <v>0.19638069999999999</v>
      </c>
      <c r="AE2138">
        <v>-0.37463380000000002</v>
      </c>
      <c r="AF2138">
        <v>-0.27069797802636902</v>
      </c>
      <c r="AG2138">
        <v>0.19638069999999999</v>
      </c>
      <c r="AH2138">
        <v>2.9892137854385101</v>
      </c>
      <c r="AI2138">
        <v>86.2565471954278</v>
      </c>
      <c r="AJ2138">
        <v>95.174491508723406</v>
      </c>
      <c r="AK2138">
        <v>3.0078633329484399</v>
      </c>
      <c r="AL2138">
        <v>80.761004245619702</v>
      </c>
      <c r="AM2138">
        <v>90.612630625209206</v>
      </c>
      <c r="AN2138">
        <v>1.0000000012174799</v>
      </c>
    </row>
    <row r="2139" spans="1:40" x14ac:dyDescent="0.3">
      <c r="A2139" t="str">
        <f>"20200111150841792"</f>
        <v>20200111150841792</v>
      </c>
      <c r="B2139" t="str">
        <f>"1578726521785112"</f>
        <v>1578726521785112</v>
      </c>
      <c r="C2139" t="s">
        <v>40</v>
      </c>
      <c r="D2139">
        <v>7.78592</v>
      </c>
      <c r="E2139">
        <v>0.47211819999999999</v>
      </c>
      <c r="F2139" t="s">
        <v>49</v>
      </c>
      <c r="G2139">
        <v>0</v>
      </c>
      <c r="H2139">
        <v>0</v>
      </c>
      <c r="I2139">
        <v>0</v>
      </c>
      <c r="J2139">
        <v>-327.24259999999998</v>
      </c>
      <c r="K2139">
        <v>1.1101749999999999</v>
      </c>
      <c r="L2139">
        <v>141.84399999999999</v>
      </c>
      <c r="M2139">
        <v>-0.99934699999999999</v>
      </c>
      <c r="N2139">
        <v>0</v>
      </c>
      <c r="O2139">
        <v>-3.455014E-2</v>
      </c>
      <c r="P2139">
        <v>-0.98760499999999996</v>
      </c>
      <c r="Q2139">
        <v>0.1505321</v>
      </c>
      <c r="R2139">
        <v>-4.4460800000000002E-2</v>
      </c>
      <c r="S2139">
        <v>-2.9853209999999999</v>
      </c>
      <c r="T2139">
        <v>0.23930560000000001</v>
      </c>
      <c r="U2139">
        <v>-0.35189819999999999</v>
      </c>
      <c r="V2139">
        <v>-1.046147E-2</v>
      </c>
      <c r="W2139">
        <v>0.16098219999999999</v>
      </c>
      <c r="X2139">
        <v>0.9869019</v>
      </c>
      <c r="Y2139">
        <v>-8.2529599999999995E-2</v>
      </c>
      <c r="Z2139">
        <v>5.3719800000000002E-4</v>
      </c>
      <c r="AA2139">
        <v>0.99658849999999999</v>
      </c>
      <c r="AB2139">
        <v>40</v>
      </c>
      <c r="AC2139">
        <v>-2.9853209999999999</v>
      </c>
      <c r="AD2139">
        <v>0.23930560000000001</v>
      </c>
      <c r="AE2139">
        <v>-0.35189819999999999</v>
      </c>
      <c r="AF2139">
        <v>-0.246973810723291</v>
      </c>
      <c r="AG2139">
        <v>0.23930560000000001</v>
      </c>
      <c r="AH2139">
        <v>2.9768310513489</v>
      </c>
      <c r="AI2139">
        <v>85.419581258727703</v>
      </c>
      <c r="AJ2139">
        <v>94.7427021984535</v>
      </c>
      <c r="AK2139">
        <v>2.9966291631847901</v>
      </c>
      <c r="AL2139">
        <v>80.736089125779003</v>
      </c>
      <c r="AM2139">
        <v>90.607330504916703</v>
      </c>
      <c r="AN2139">
        <v>1.0000000356475001</v>
      </c>
    </row>
    <row r="2140" spans="1:40" x14ac:dyDescent="0.3">
      <c r="A2140" t="str">
        <f>"20200111150841807"</f>
        <v>20200111150841807</v>
      </c>
      <c r="B2140" t="str">
        <f>"1578726521805605"</f>
        <v>1578726521805605</v>
      </c>
      <c r="C2140" t="s">
        <v>40</v>
      </c>
      <c r="D2140">
        <v>5.5556190000000001</v>
      </c>
      <c r="E2140">
        <v>0.42197010000000001</v>
      </c>
      <c r="F2140" t="s">
        <v>49</v>
      </c>
      <c r="G2140">
        <v>0</v>
      </c>
      <c r="H2140">
        <v>0</v>
      </c>
      <c r="I2140">
        <v>0</v>
      </c>
      <c r="J2140">
        <v>-327.50400000000002</v>
      </c>
      <c r="K2140">
        <v>1.1101760000000001</v>
      </c>
      <c r="L2140">
        <v>141.8347</v>
      </c>
      <c r="M2140">
        <v>-0.99933819999999995</v>
      </c>
      <c r="N2140">
        <v>0</v>
      </c>
      <c r="O2140">
        <v>-3.479695E-2</v>
      </c>
      <c r="P2140">
        <v>-0.98757569999999995</v>
      </c>
      <c r="Q2140">
        <v>0.1505773</v>
      </c>
      <c r="R2140">
        <v>-4.4955490000000001E-2</v>
      </c>
      <c r="S2140">
        <v>-2.9830019999999999</v>
      </c>
      <c r="T2140">
        <v>0.25273240000000002</v>
      </c>
      <c r="U2140">
        <v>-0.35852050000000002</v>
      </c>
      <c r="V2140">
        <v>-1.0712670000000001E-2</v>
      </c>
      <c r="W2140">
        <v>0.16103679999999901</v>
      </c>
      <c r="X2140">
        <v>0.9868903</v>
      </c>
      <c r="Y2140">
        <v>-8.4531029999999993E-2</v>
      </c>
      <c r="Z2140">
        <v>6.3118729999999995E-4</v>
      </c>
      <c r="AA2140">
        <v>0.99642059999999999</v>
      </c>
      <c r="AB2140">
        <v>40</v>
      </c>
      <c r="AC2140">
        <v>-2.9830019999999999</v>
      </c>
      <c r="AD2140">
        <v>0.25273240000000002</v>
      </c>
      <c r="AE2140">
        <v>-0.35852050000000002</v>
      </c>
      <c r="AF2140">
        <v>-0.25270998535551897</v>
      </c>
      <c r="AG2140">
        <v>0.25273240000000002</v>
      </c>
      <c r="AH2140">
        <v>2.9726371182923601</v>
      </c>
      <c r="AI2140">
        <v>85.1578048976818</v>
      </c>
      <c r="AJ2140">
        <v>94.8591485718283</v>
      </c>
      <c r="AK2140">
        <v>2.9940453302776899</v>
      </c>
      <c r="AL2140">
        <v>80.732919445003603</v>
      </c>
      <c r="AM2140">
        <v>90.621919854986999</v>
      </c>
      <c r="AN2140">
        <v>1.00000003824342</v>
      </c>
    </row>
    <row r="2141" spans="1:40" x14ac:dyDescent="0.3">
      <c r="A2141" t="str">
        <f>"20200111150841822"</f>
        <v>20200111150841822</v>
      </c>
      <c r="B2141" t="str">
        <f>"1578726521815365"</f>
        <v>1578726521815365</v>
      </c>
      <c r="C2141" t="s">
        <v>40</v>
      </c>
      <c r="D2141">
        <v>5.129238</v>
      </c>
      <c r="E2141">
        <v>0.42197010000000001</v>
      </c>
      <c r="F2141" t="s">
        <v>85</v>
      </c>
      <c r="G2141">
        <v>-439.84660000000002</v>
      </c>
      <c r="H2141">
        <v>33.962449999999997</v>
      </c>
      <c r="I2141">
        <v>112.49290000000001</v>
      </c>
      <c r="J2141">
        <v>-327.76589999999999</v>
      </c>
      <c r="K2141">
        <v>1.1101799999999999</v>
      </c>
      <c r="L2141">
        <v>141.8254</v>
      </c>
      <c r="M2141">
        <v>-0.99932940000000003</v>
      </c>
      <c r="N2141">
        <v>0</v>
      </c>
      <c r="O2141">
        <v>-3.5044390000000002E-2</v>
      </c>
      <c r="P2141">
        <v>-0.98755170000000003</v>
      </c>
      <c r="Q2141">
        <v>0.15066070000000001</v>
      </c>
      <c r="R2141">
        <v>-4.52025E-2</v>
      </c>
      <c r="S2141">
        <v>-2.8753660000000001</v>
      </c>
      <c r="T2141">
        <v>0.84084119999999996</v>
      </c>
      <c r="U2141">
        <v>-0.75099179999999999</v>
      </c>
      <c r="V2141">
        <v>-1.071626E-2</v>
      </c>
      <c r="W2141">
        <v>0.16113369999999999</v>
      </c>
      <c r="X2141">
        <v>0.98687440000000004</v>
      </c>
      <c r="Y2141">
        <v>-0.2117202</v>
      </c>
      <c r="Z2141">
        <v>1.998043E-2</v>
      </c>
      <c r="AA2141">
        <v>0.9771261</v>
      </c>
      <c r="AB2141">
        <v>40</v>
      </c>
      <c r="AC2141">
        <v>-112.08069999999999</v>
      </c>
      <c r="AD2141">
        <v>32.852269999999997</v>
      </c>
      <c r="AE2141">
        <v>-29.3325</v>
      </c>
      <c r="AF2141">
        <v>-23.497109423422099</v>
      </c>
      <c r="AG2141">
        <v>32.852269999999997</v>
      </c>
      <c r="AH2141">
        <v>104.627019204365</v>
      </c>
      <c r="AI2141">
        <v>72.966858598421197</v>
      </c>
      <c r="AJ2141">
        <v>102.65746291365799</v>
      </c>
      <c r="AK2141">
        <v>112.152569934887</v>
      </c>
      <c r="AL2141">
        <v>80.727293609145903</v>
      </c>
      <c r="AM2141">
        <v>90.622138277264995</v>
      </c>
      <c r="AN2141">
        <v>0.99999999443971799</v>
      </c>
    </row>
    <row r="2142" spans="1:40" x14ac:dyDescent="0.3">
      <c r="A2142" t="str">
        <f>"20200111150841835"</f>
        <v>20200111150841835</v>
      </c>
      <c r="B2142" t="str">
        <f>"1578726521825125"</f>
        <v>1578726521825125</v>
      </c>
      <c r="C2142" t="s">
        <v>40</v>
      </c>
      <c r="D2142">
        <v>5.2122650000000004</v>
      </c>
      <c r="E2142">
        <v>0.48079850000000002</v>
      </c>
      <c r="F2142" t="s">
        <v>85</v>
      </c>
      <c r="G2142">
        <v>-439.84660000000002</v>
      </c>
      <c r="H2142">
        <v>33.894649999999999</v>
      </c>
      <c r="I2142">
        <v>112.518</v>
      </c>
      <c r="J2142">
        <v>-328.02199999999999</v>
      </c>
      <c r="K2142">
        <v>1.11019</v>
      </c>
      <c r="L2142">
        <v>141.81630000000001</v>
      </c>
      <c r="M2142">
        <v>-0.99932080000000001</v>
      </c>
      <c r="N2142">
        <v>0</v>
      </c>
      <c r="O2142">
        <v>-3.5286129999999999E-2</v>
      </c>
      <c r="P2142">
        <v>-0.98756049999999995</v>
      </c>
      <c r="Q2142">
        <v>0.1505735</v>
      </c>
      <c r="R2142">
        <v>-4.5295589999999997E-2</v>
      </c>
      <c r="S2142">
        <v>-2.8750610000000001</v>
      </c>
      <c r="T2142">
        <v>0.84097710000000003</v>
      </c>
      <c r="U2142">
        <v>-0.75178529999999999</v>
      </c>
      <c r="V2142">
        <v>-1.056956E-2</v>
      </c>
      <c r="W2142">
        <v>0.16106599999999999</v>
      </c>
      <c r="X2142">
        <v>0.98688699999999996</v>
      </c>
      <c r="Y2142">
        <v>-0.2117667</v>
      </c>
      <c r="Z2142">
        <v>1.9923440000000001E-2</v>
      </c>
      <c r="AA2142">
        <v>0.97711709999999996</v>
      </c>
      <c r="AB2142">
        <v>40</v>
      </c>
      <c r="AC2142">
        <v>-111.8246</v>
      </c>
      <c r="AD2142">
        <v>32.784460000000003</v>
      </c>
      <c r="AE2142">
        <v>-29.298300000000001</v>
      </c>
      <c r="AF2142">
        <v>-23.4480068851433</v>
      </c>
      <c r="AG2142">
        <v>32.784460000000003</v>
      </c>
      <c r="AH2142">
        <v>104.392368548532</v>
      </c>
      <c r="AI2142">
        <v>72.964103618715399</v>
      </c>
      <c r="AJ2142">
        <v>102.659341407293</v>
      </c>
      <c r="AK2142">
        <v>111.903514044689</v>
      </c>
      <c r="AL2142">
        <v>80.731223560772406</v>
      </c>
      <c r="AM2142">
        <v>90.613614351294103</v>
      </c>
      <c r="AN2142">
        <v>0.99999996136179503</v>
      </c>
    </row>
    <row r="2143" spans="1:40" x14ac:dyDescent="0.3">
      <c r="A2143" t="str">
        <f>"20200111150841853"</f>
        <v>20200111150841853</v>
      </c>
      <c r="B2143" t="str">
        <f>"1578726521845621"</f>
        <v>1578726521845621</v>
      </c>
      <c r="C2143" t="s">
        <v>40</v>
      </c>
      <c r="D2143">
        <v>7.4136819999999997</v>
      </c>
      <c r="E2143">
        <v>0.48295070000000001</v>
      </c>
      <c r="F2143" t="s">
        <v>49</v>
      </c>
      <c r="G2143">
        <v>0</v>
      </c>
      <c r="H2143">
        <v>0</v>
      </c>
      <c r="I2143">
        <v>0</v>
      </c>
      <c r="J2143">
        <v>-328.32639999999998</v>
      </c>
      <c r="K2143">
        <v>1.110193</v>
      </c>
      <c r="L2143">
        <v>141.80529999999999</v>
      </c>
      <c r="M2143">
        <v>-0.99931009999999998</v>
      </c>
      <c r="N2143">
        <v>0</v>
      </c>
      <c r="O2143">
        <v>-3.557312E-2</v>
      </c>
      <c r="P2143">
        <v>-0.98755139999999997</v>
      </c>
      <c r="Q2143">
        <v>0.15059239999999999</v>
      </c>
      <c r="R2143">
        <v>-4.5432159999999999E-2</v>
      </c>
      <c r="S2143">
        <v>-2.9675289999999999</v>
      </c>
      <c r="T2143">
        <v>0.37338290000000002</v>
      </c>
      <c r="U2143">
        <v>-0.28999330000000001</v>
      </c>
      <c r="V2143">
        <v>-1.0423119999999999E-2</v>
      </c>
      <c r="W2143">
        <v>0.16111349999999999</v>
      </c>
      <c r="X2143">
        <v>0.9868808</v>
      </c>
      <c r="Y2143">
        <v>-6.1587719999999999E-2</v>
      </c>
      <c r="Z2143">
        <v>-5.9519960000000002E-4</v>
      </c>
      <c r="AA2143">
        <v>0.99810149999999997</v>
      </c>
      <c r="AB2143">
        <v>40</v>
      </c>
      <c r="AC2143">
        <v>-2.9675289999999999</v>
      </c>
      <c r="AD2143">
        <v>0.37338290000000002</v>
      </c>
      <c r="AE2143">
        <v>-0.28999330000000001</v>
      </c>
      <c r="AF2143">
        <v>-0.181394891243192</v>
      </c>
      <c r="AG2143">
        <v>0.37338290000000002</v>
      </c>
      <c r="AH2143">
        <v>2.9300196330036399</v>
      </c>
      <c r="AI2143">
        <v>82.751465687548503</v>
      </c>
      <c r="AJ2143">
        <v>93.542609046788101</v>
      </c>
      <c r="AK2143">
        <v>2.9592792950933799</v>
      </c>
      <c r="AL2143">
        <v>80.728465959268803</v>
      </c>
      <c r="AM2143">
        <v>90.605117235138707</v>
      </c>
      <c r="AN2143">
        <v>0.99999995736071101</v>
      </c>
    </row>
    <row r="2144" spans="1:40" x14ac:dyDescent="0.3">
      <c r="A2144" t="str">
        <f>"20200111150841870"</f>
        <v>20200111150841870</v>
      </c>
      <c r="B2144" t="str">
        <f>"1578726521865142"</f>
        <v>1578726521865142</v>
      </c>
      <c r="C2144" t="s">
        <v>40</v>
      </c>
      <c r="D2144">
        <v>5.6765679999999996</v>
      </c>
      <c r="E2144">
        <v>0.44631280000000001</v>
      </c>
      <c r="F2144" t="s">
        <v>49</v>
      </c>
      <c r="G2144">
        <v>0</v>
      </c>
      <c r="H2144">
        <v>0</v>
      </c>
      <c r="I2144">
        <v>0</v>
      </c>
      <c r="J2144">
        <v>-328.6207</v>
      </c>
      <c r="K2144">
        <v>1.110198</v>
      </c>
      <c r="L2144">
        <v>141.7946</v>
      </c>
      <c r="M2144">
        <v>-0.99929990000000002</v>
      </c>
      <c r="N2144">
        <v>0</v>
      </c>
      <c r="O2144">
        <v>-3.5850600000000003E-2</v>
      </c>
      <c r="P2144">
        <v>-0.9875777</v>
      </c>
      <c r="Q2144">
        <v>0.15042269999999999</v>
      </c>
      <c r="R2144">
        <v>-4.5423499999999999E-2</v>
      </c>
      <c r="S2144">
        <v>-2.962952</v>
      </c>
      <c r="T2144">
        <v>0.4088871</v>
      </c>
      <c r="U2144">
        <v>-0.27276610000000001</v>
      </c>
      <c r="V2144">
        <v>-1.013912E-2</v>
      </c>
      <c r="W2144">
        <v>0.16097990000000001</v>
      </c>
      <c r="X2144">
        <v>0.98690560000000005</v>
      </c>
      <c r="Y2144">
        <v>-5.5723969999999998E-2</v>
      </c>
      <c r="Z2144">
        <v>-1.0924229999999999E-3</v>
      </c>
      <c r="AA2144">
        <v>0.99844560000000004</v>
      </c>
      <c r="AB2144">
        <v>40</v>
      </c>
      <c r="AC2144">
        <v>-2.962952</v>
      </c>
      <c r="AD2144">
        <v>0.4088871</v>
      </c>
      <c r="AE2144">
        <v>-0.27276610000000001</v>
      </c>
      <c r="AF2144">
        <v>-0.16327772322939799</v>
      </c>
      <c r="AG2144">
        <v>0.4088871</v>
      </c>
      <c r="AH2144">
        <v>2.9157653417299398</v>
      </c>
      <c r="AI2144">
        <v>82.029611739180496</v>
      </c>
      <c r="AJ2144">
        <v>93.2051153241798</v>
      </c>
      <c r="AK2144">
        <v>2.9488193914654901</v>
      </c>
      <c r="AL2144">
        <v>80.736222282937902</v>
      </c>
      <c r="AM2144">
        <v>90.588615918969893</v>
      </c>
      <c r="AN2144">
        <v>0.99999999663487205</v>
      </c>
    </row>
    <row r="2145" spans="1:40" x14ac:dyDescent="0.3">
      <c r="A2145" t="str">
        <f>"20200111150841885"</f>
        <v>20200111150841885</v>
      </c>
      <c r="B2145" t="str">
        <f>"1578726521874902"</f>
        <v>1578726521874902</v>
      </c>
      <c r="C2145" t="s">
        <v>40</v>
      </c>
      <c r="D2145">
        <v>4.7809679999999997</v>
      </c>
      <c r="E2145">
        <v>0.45127099999999998</v>
      </c>
      <c r="F2145" t="s">
        <v>85</v>
      </c>
      <c r="G2145">
        <v>-442.3732</v>
      </c>
      <c r="H2145">
        <v>31.422650000000001</v>
      </c>
      <c r="I2145">
        <v>119.8177</v>
      </c>
      <c r="J2145">
        <v>-328.90109999999999</v>
      </c>
      <c r="K2145">
        <v>1.1102050000000001</v>
      </c>
      <c r="L2145">
        <v>141.7843</v>
      </c>
      <c r="M2145">
        <v>-0.99929000000000001</v>
      </c>
      <c r="N2145">
        <v>0</v>
      </c>
      <c r="O2145">
        <v>-3.6114880000000002E-2</v>
      </c>
      <c r="P2145">
        <v>-0.98761120000000002</v>
      </c>
      <c r="Q2145">
        <v>0.15011459999999999</v>
      </c>
      <c r="R2145">
        <v>-4.5716010000000001E-2</v>
      </c>
      <c r="S2145">
        <v>-2.8945310000000002</v>
      </c>
      <c r="T2145">
        <v>0.77132609999999902</v>
      </c>
      <c r="U2145">
        <v>-0.55921940000000003</v>
      </c>
      <c r="V2145">
        <v>-1.0168740000000001E-2</v>
      </c>
      <c r="W2145">
        <v>0.16071260000000001</v>
      </c>
      <c r="X2145">
        <v>0.98694879999999996</v>
      </c>
      <c r="Y2145">
        <v>-0.15026979999999901</v>
      </c>
      <c r="Z2145">
        <v>1.013959E-2</v>
      </c>
      <c r="AA2145">
        <v>0.98859300000000006</v>
      </c>
      <c r="AB2145">
        <v>40</v>
      </c>
      <c r="AC2145">
        <v>-113.4721</v>
      </c>
      <c r="AD2145">
        <v>30.312445</v>
      </c>
      <c r="AE2145">
        <v>-21.9666</v>
      </c>
      <c r="AF2145">
        <v>-16.704970325448599</v>
      </c>
      <c r="AG2145">
        <v>30.312445</v>
      </c>
      <c r="AH2145">
        <v>106.842411618623</v>
      </c>
      <c r="AI2145">
        <v>74.341483197192403</v>
      </c>
      <c r="AJ2145">
        <v>98.886335466724702</v>
      </c>
      <c r="AK2145">
        <v>112.308509365655</v>
      </c>
      <c r="AL2145">
        <v>80.751738944188702</v>
      </c>
      <c r="AM2145">
        <v>90.590309517418007</v>
      </c>
      <c r="AN2145">
        <v>0.99999993844669099</v>
      </c>
    </row>
    <row r="2146" spans="1:40" x14ac:dyDescent="0.3">
      <c r="A2146" t="str">
        <f>"20200111150841901"</f>
        <v>20200111150841901</v>
      </c>
      <c r="B2146" t="str">
        <f>"1578726521895397"</f>
        <v>1578726521895397</v>
      </c>
      <c r="C2146" t="s">
        <v>40</v>
      </c>
      <c r="D2146">
        <v>5.6930990000000001</v>
      </c>
      <c r="E2146">
        <v>0.45960899999999999</v>
      </c>
      <c r="F2146" t="s">
        <v>85</v>
      </c>
      <c r="G2146">
        <v>-451.23390000000001</v>
      </c>
      <c r="H2146">
        <v>31.649519999999999</v>
      </c>
      <c r="I2146">
        <v>119.8177</v>
      </c>
      <c r="J2146">
        <v>-329.16129999999998</v>
      </c>
      <c r="K2146">
        <v>1.1102110000000001</v>
      </c>
      <c r="L2146">
        <v>141.7747</v>
      </c>
      <c r="M2146">
        <v>-0.99928059999999996</v>
      </c>
      <c r="N2146">
        <v>0</v>
      </c>
      <c r="O2146">
        <v>-3.6359879999999997E-2</v>
      </c>
      <c r="P2146">
        <v>-0.98761330000000003</v>
      </c>
      <c r="Q2146">
        <v>0.150038</v>
      </c>
      <c r="R2146">
        <v>-4.5917520000000003E-2</v>
      </c>
      <c r="S2146">
        <v>-2.9033199999999999</v>
      </c>
      <c r="T2146">
        <v>0.72478809999999905</v>
      </c>
      <c r="U2146">
        <v>-0.52133180000000001</v>
      </c>
      <c r="V2146">
        <v>-1.0127850000000001E-2</v>
      </c>
      <c r="W2146">
        <v>0.16068009999999999</v>
      </c>
      <c r="X2146">
        <v>0.98695460000000002</v>
      </c>
      <c r="Y2146">
        <v>-0.13781769999999999</v>
      </c>
      <c r="Z2146">
        <v>7.9500809999999995E-3</v>
      </c>
      <c r="AA2146">
        <v>0.99042569999999996</v>
      </c>
      <c r="AB2146">
        <v>40</v>
      </c>
      <c r="AC2146">
        <v>-122.07259999999999</v>
      </c>
      <c r="AD2146">
        <v>30.539308999999999</v>
      </c>
      <c r="AE2146">
        <v>-21.956999999999901</v>
      </c>
      <c r="AF2146">
        <v>-16.503166840662701</v>
      </c>
      <c r="AG2146">
        <v>30.539308999999999</v>
      </c>
      <c r="AH2146">
        <v>115.77158386785401</v>
      </c>
      <c r="AI2146">
        <v>75.364117532195706</v>
      </c>
      <c r="AJ2146">
        <v>98.112820446752096</v>
      </c>
      <c r="AK2146">
        <v>120.863822301133</v>
      </c>
      <c r="AL2146">
        <v>80.753626384934904</v>
      </c>
      <c r="AM2146">
        <v>90.587932508080499</v>
      </c>
      <c r="AN2146">
        <v>1.0000000251713901</v>
      </c>
    </row>
    <row r="2147" spans="1:40" x14ac:dyDescent="0.3">
      <c r="A2147" t="str">
        <f>"20200111150841914"</f>
        <v>20200111150841914</v>
      </c>
      <c r="B2147" t="str">
        <f>"1578726521905157"</f>
        <v>1578726521905157</v>
      </c>
      <c r="C2147" t="s">
        <v>40</v>
      </c>
      <c r="D2147">
        <v>7.4190889999999996</v>
      </c>
      <c r="E2147">
        <v>0.45960899999999999</v>
      </c>
      <c r="F2147" t="s">
        <v>85</v>
      </c>
      <c r="G2147">
        <v>-470.8775</v>
      </c>
      <c r="H2147">
        <v>32.578989999999997</v>
      </c>
      <c r="I2147">
        <v>119.5989</v>
      </c>
      <c r="J2147">
        <v>-329.4348</v>
      </c>
      <c r="K2147">
        <v>1.1102209999999999</v>
      </c>
      <c r="L2147">
        <v>141.7645</v>
      </c>
      <c r="M2147">
        <v>-0.99927060000000001</v>
      </c>
      <c r="N2147">
        <v>0</v>
      </c>
      <c r="O2147">
        <v>-3.6617459999999998E-2</v>
      </c>
      <c r="P2147">
        <v>-0.9876779</v>
      </c>
      <c r="Q2147">
        <v>0.1495832</v>
      </c>
      <c r="R2147">
        <v>-4.601264E-2</v>
      </c>
      <c r="S2147">
        <v>-2.9179689999999998</v>
      </c>
      <c r="T2147">
        <v>0.64794890000000005</v>
      </c>
      <c r="U2147">
        <v>-0.45660400000000001</v>
      </c>
      <c r="V2147">
        <v>-9.9661420000000008E-3</v>
      </c>
      <c r="W2147">
        <v>0.16028239999999999</v>
      </c>
      <c r="X2147">
        <v>0.98702089999999998</v>
      </c>
      <c r="Y2147">
        <v>-0.11642039999999999</v>
      </c>
      <c r="Z2147">
        <v>4.7159259999999996E-3</v>
      </c>
      <c r="AA2147">
        <v>0.99318890000000004</v>
      </c>
      <c r="AB2147">
        <v>40</v>
      </c>
      <c r="AC2147">
        <v>-141.4427</v>
      </c>
      <c r="AD2147">
        <v>31.468769000000002</v>
      </c>
      <c r="AE2147">
        <v>-22.165600000000001</v>
      </c>
      <c r="AF2147">
        <v>-16.189020380617201</v>
      </c>
      <c r="AG2147">
        <v>31.468769000000002</v>
      </c>
      <c r="AH2147">
        <v>135.607934426962</v>
      </c>
      <c r="AI2147">
        <v>77.024336811647501</v>
      </c>
      <c r="AJ2147">
        <v>96.807812213691406</v>
      </c>
      <c r="AK2147">
        <v>140.14949048357801</v>
      </c>
      <c r="AL2147">
        <v>80.776712032626904</v>
      </c>
      <c r="AM2147">
        <v>90.578506969902193</v>
      </c>
      <c r="AN2147">
        <v>1.00000001438646</v>
      </c>
    </row>
    <row r="2148" spans="1:40" x14ac:dyDescent="0.3">
      <c r="A2148" t="str">
        <f>"20200111150841931"</f>
        <v>20200111150841931</v>
      </c>
      <c r="B2148" t="str">
        <f>"1578726521925654"</f>
        <v>1578726521925654</v>
      </c>
      <c r="C2148" t="s">
        <v>40</v>
      </c>
      <c r="D2148">
        <v>5.6729640000000003</v>
      </c>
      <c r="E2148">
        <v>0.4644586</v>
      </c>
      <c r="F2148" t="s">
        <v>85</v>
      </c>
      <c r="G2148">
        <v>-470.8775</v>
      </c>
      <c r="H2148">
        <v>32.451659999999997</v>
      </c>
      <c r="I2148">
        <v>119.61839999999999</v>
      </c>
      <c r="J2148">
        <v>-329.7099</v>
      </c>
      <c r="K2148">
        <v>1.110223</v>
      </c>
      <c r="L2148">
        <v>141.7542</v>
      </c>
      <c r="M2148">
        <v>-0.99926040000000005</v>
      </c>
      <c r="N2148">
        <v>0</v>
      </c>
      <c r="O2148">
        <v>-3.6876409999999998E-2</v>
      </c>
      <c r="P2148">
        <v>-0.98773849999999996</v>
      </c>
      <c r="Q2148">
        <v>0.14918389999999901</v>
      </c>
      <c r="R2148">
        <v>-4.6009050000000003E-2</v>
      </c>
      <c r="S2148">
        <v>-2.9181819999999998</v>
      </c>
      <c r="T2148">
        <v>0.64662269999999999</v>
      </c>
      <c r="U2148">
        <v>-0.45690920000000002</v>
      </c>
      <c r="V2148">
        <v>-9.7040530000000007E-3</v>
      </c>
      <c r="W2148">
        <v>0.15994820000000001</v>
      </c>
      <c r="X2148">
        <v>0.98707769999999995</v>
      </c>
      <c r="Y2148">
        <v>-0.116271</v>
      </c>
      <c r="Z2148">
        <v>4.6336140000000003E-3</v>
      </c>
      <c r="AA2148">
        <v>0.9932067</v>
      </c>
      <c r="AB2148">
        <v>40</v>
      </c>
      <c r="AC2148">
        <v>-141.16759999999999</v>
      </c>
      <c r="AD2148">
        <v>31.341436999999999</v>
      </c>
      <c r="AE2148">
        <v>-22.1358</v>
      </c>
      <c r="AF2148">
        <v>-16.1382953444731</v>
      </c>
      <c r="AG2148">
        <v>31.341436999999999</v>
      </c>
      <c r="AH2148">
        <v>135.37525692372901</v>
      </c>
      <c r="AI2148">
        <v>77.053357254811004</v>
      </c>
      <c r="AJ2148">
        <v>96.798236167254998</v>
      </c>
      <c r="AK2148">
        <v>139.889922571342</v>
      </c>
      <c r="AL2148">
        <v>80.7961103345244</v>
      </c>
      <c r="AM2148">
        <v>90.563262010203005</v>
      </c>
      <c r="AN2148">
        <v>0.99999999058257805</v>
      </c>
    </row>
    <row r="2149" spans="1:40" x14ac:dyDescent="0.3">
      <c r="A2149" t="str">
        <f>"20200111150841948"</f>
        <v>20200111150841948</v>
      </c>
      <c r="B2149" t="str">
        <f>"1578726521945173"</f>
        <v>1578726521945173</v>
      </c>
      <c r="C2149" t="s">
        <v>40</v>
      </c>
      <c r="D2149">
        <v>6.908283</v>
      </c>
      <c r="E2149">
        <v>0.46314929999999899</v>
      </c>
      <c r="F2149" t="s">
        <v>49</v>
      </c>
      <c r="G2149">
        <v>0</v>
      </c>
      <c r="H2149">
        <v>0</v>
      </c>
      <c r="I2149">
        <v>0</v>
      </c>
      <c r="J2149">
        <v>-330.0018</v>
      </c>
      <c r="K2149">
        <v>1.1102369999999999</v>
      </c>
      <c r="L2149">
        <v>141.7432</v>
      </c>
      <c r="M2149">
        <v>-0.99924930000000001</v>
      </c>
      <c r="N2149">
        <v>0</v>
      </c>
      <c r="O2149">
        <v>-3.7151169999999997E-2</v>
      </c>
      <c r="P2149">
        <v>-0.98780489999999999</v>
      </c>
      <c r="Q2149">
        <v>0.14874200000000001</v>
      </c>
      <c r="R2149">
        <v>-4.6011690000000001E-2</v>
      </c>
      <c r="S2149">
        <v>-2.9154360000000001</v>
      </c>
      <c r="T2149">
        <v>0.67739110000000002</v>
      </c>
      <c r="U2149">
        <v>-0.41783140000000002</v>
      </c>
      <c r="V2149">
        <v>-9.4325650000000004E-3</v>
      </c>
      <c r="W2149">
        <v>0.15958339999999999</v>
      </c>
      <c r="X2149">
        <v>0.9871394</v>
      </c>
      <c r="Y2149">
        <v>-0.1032677</v>
      </c>
      <c r="Z2149">
        <v>3.3110409999999998E-3</v>
      </c>
      <c r="AA2149">
        <v>0.99464810000000003</v>
      </c>
      <c r="AB2149">
        <v>40</v>
      </c>
      <c r="AC2149">
        <v>-2.9154360000000001</v>
      </c>
      <c r="AD2149">
        <v>0.67739110000000002</v>
      </c>
      <c r="AE2149">
        <v>-0.41783140000000002</v>
      </c>
      <c r="AF2149">
        <v>-0.29368887332541499</v>
      </c>
      <c r="AG2149">
        <v>0.67739110000000002</v>
      </c>
      <c r="AH2149">
        <v>2.7817946552456898</v>
      </c>
      <c r="AI2149">
        <v>76.387153384944895</v>
      </c>
      <c r="AJ2149">
        <v>96.026695200016704</v>
      </c>
      <c r="AK2149">
        <v>2.8781058633462102</v>
      </c>
      <c r="AL2149">
        <v>80.817284035191307</v>
      </c>
      <c r="AM2149">
        <v>90.547470515915805</v>
      </c>
      <c r="AN2149">
        <v>1.00000001493519</v>
      </c>
    </row>
    <row r="2150" spans="1:40" x14ac:dyDescent="0.3">
      <c r="A2150" t="str">
        <f>"20200111150841977"</f>
        <v>20200111150841977</v>
      </c>
      <c r="B2150" t="str">
        <f>"1578726521975430"</f>
        <v>1578726521975430</v>
      </c>
      <c r="C2150" t="s">
        <v>40</v>
      </c>
      <c r="D2150">
        <v>5.7991599999999996</v>
      </c>
      <c r="E2150">
        <v>0.38317970000000001</v>
      </c>
      <c r="F2150" t="s">
        <v>49</v>
      </c>
      <c r="G2150">
        <v>0</v>
      </c>
      <c r="H2150">
        <v>0</v>
      </c>
      <c r="I2150">
        <v>0</v>
      </c>
      <c r="J2150">
        <v>-330.53739999999999</v>
      </c>
      <c r="K2150">
        <v>1.1102669999999999</v>
      </c>
      <c r="L2150">
        <v>141.72280000000001</v>
      </c>
      <c r="M2150">
        <v>-0.99922869999999997</v>
      </c>
      <c r="N2150">
        <v>0</v>
      </c>
      <c r="O2150">
        <v>-3.7655550000000003E-2</v>
      </c>
      <c r="P2150">
        <v>-0.9878401</v>
      </c>
      <c r="Q2150">
        <v>0.148311</v>
      </c>
      <c r="R2150">
        <v>-4.6649639999999999E-2</v>
      </c>
      <c r="S2150">
        <v>-2.9157709999999999</v>
      </c>
      <c r="T2150">
        <v>0.67275319999999905</v>
      </c>
      <c r="U2150">
        <v>-0.42831419999999998</v>
      </c>
      <c r="V2150">
        <v>-9.5704410000000007E-3</v>
      </c>
      <c r="W2150">
        <v>0.15930939999999999</v>
      </c>
      <c r="X2150">
        <v>0.98718229999999996</v>
      </c>
      <c r="Y2150">
        <v>-0.1062134</v>
      </c>
      <c r="Z2150">
        <v>3.5075229999999998E-3</v>
      </c>
      <c r="AA2150">
        <v>0.99433709999999997</v>
      </c>
      <c r="AB2150">
        <v>40</v>
      </c>
      <c r="AC2150">
        <v>-2.9157709999999999</v>
      </c>
      <c r="AD2150">
        <v>0.67275319999999905</v>
      </c>
      <c r="AE2150">
        <v>-0.42831419999999998</v>
      </c>
      <c r="AF2150">
        <v>-0.30244763956300802</v>
      </c>
      <c r="AG2150">
        <v>0.67275319999999905</v>
      </c>
      <c r="AH2150">
        <v>2.7847166392868501</v>
      </c>
      <c r="AI2150">
        <v>76.494772555550796</v>
      </c>
      <c r="AJ2150">
        <v>96.198588814637503</v>
      </c>
      <c r="AK2150">
        <v>2.88074959062889</v>
      </c>
      <c r="AL2150">
        <v>80.833186256814699</v>
      </c>
      <c r="AM2150">
        <v>90.555448268434802</v>
      </c>
      <c r="AN2150">
        <v>0.99999998585129202</v>
      </c>
    </row>
    <row r="2151" spans="1:40" x14ac:dyDescent="0.3">
      <c r="A2151" t="str">
        <f>"20200111150842010"</f>
        <v>20200111150842010</v>
      </c>
      <c r="B2151" t="str">
        <f>"1578726522005687"</f>
        <v>1578726522005687</v>
      </c>
      <c r="C2151" t="s">
        <v>40</v>
      </c>
      <c r="D2151">
        <v>5.7433300000000003</v>
      </c>
      <c r="E2151">
        <v>0.37555270000000002</v>
      </c>
      <c r="F2151" t="s">
        <v>81</v>
      </c>
      <c r="G2151">
        <v>-390.51280000000003</v>
      </c>
      <c r="H2151">
        <v>13.12837</v>
      </c>
      <c r="I2151">
        <v>119.6157</v>
      </c>
      <c r="J2151">
        <v>-331.10899999999998</v>
      </c>
      <c r="K2151">
        <v>1.110298</v>
      </c>
      <c r="L2151">
        <v>141.70070000000001</v>
      </c>
      <c r="M2151">
        <v>-0.99920640000000005</v>
      </c>
      <c r="N2151">
        <v>0</v>
      </c>
      <c r="O2151">
        <v>-3.8193049999999999E-2</v>
      </c>
      <c r="P2151">
        <v>-0.98770899999999995</v>
      </c>
      <c r="Q2151">
        <v>0.14891450000000001</v>
      </c>
      <c r="R2151">
        <v>-4.7490299999999999E-2</v>
      </c>
      <c r="S2151">
        <v>-2.8992309999999999</v>
      </c>
      <c r="T2151">
        <v>0.58095839999999999</v>
      </c>
      <c r="U2151">
        <v>-1.068665</v>
      </c>
      <c r="V2151">
        <v>-9.8864590000000002E-3</v>
      </c>
      <c r="W2151">
        <v>0.16008139999999901</v>
      </c>
      <c r="X2151">
        <v>0.98705430000000005</v>
      </c>
      <c r="Y2151">
        <v>-0.30510419999999999</v>
      </c>
      <c r="Z2151">
        <v>2.2000559999999999E-2</v>
      </c>
      <c r="AA2151">
        <v>0.95206480000000004</v>
      </c>
      <c r="AB2151">
        <v>40</v>
      </c>
      <c r="AC2151">
        <v>-59.403799999999897</v>
      </c>
      <c r="AD2151">
        <v>12.018072</v>
      </c>
      <c r="AE2151">
        <v>-22.085000000000001</v>
      </c>
      <c r="AF2151">
        <v>-19.112642903107901</v>
      </c>
      <c r="AG2151">
        <v>12.018072</v>
      </c>
      <c r="AH2151">
        <v>58.114232058753203</v>
      </c>
      <c r="AI2151">
        <v>78.885813457558399</v>
      </c>
      <c r="AJ2151">
        <v>108.205031845633</v>
      </c>
      <c r="AK2151">
        <v>62.3457387566907</v>
      </c>
      <c r="AL2151">
        <v>80.788378945328006</v>
      </c>
      <c r="AM2151">
        <v>90.573862485054406</v>
      </c>
      <c r="AN2151">
        <v>0.99999999392300398</v>
      </c>
    </row>
    <row r="2152" spans="1:40" x14ac:dyDescent="0.3">
      <c r="A2152" t="str">
        <f>"20200111150842023"</f>
        <v>20200111150842023</v>
      </c>
      <c r="B2152" t="str">
        <f>"1578726522015445"</f>
        <v>1578726522015445</v>
      </c>
      <c r="C2152" t="s">
        <v>40</v>
      </c>
      <c r="D2152">
        <v>5.7605079999999997</v>
      </c>
      <c r="E2152">
        <v>0.421929</v>
      </c>
      <c r="F2152" t="s">
        <v>81</v>
      </c>
      <c r="G2152">
        <v>-387.46679999999998</v>
      </c>
      <c r="H2152">
        <v>13.655729999999901</v>
      </c>
      <c r="I2152">
        <v>119.6155</v>
      </c>
      <c r="J2152">
        <v>-331.35520000000002</v>
      </c>
      <c r="K2152">
        <v>1.110306</v>
      </c>
      <c r="L2152">
        <v>141.69110000000001</v>
      </c>
      <c r="M2152">
        <v>-0.9991968</v>
      </c>
      <c r="N2152">
        <v>0</v>
      </c>
      <c r="O2152">
        <v>-3.8424489999999999E-2</v>
      </c>
      <c r="P2152">
        <v>-0.98764260000000004</v>
      </c>
      <c r="Q2152">
        <v>0.1492222</v>
      </c>
      <c r="R2152">
        <v>-4.7906360000000002E-2</v>
      </c>
      <c r="S2152">
        <v>-2.8860779999999999</v>
      </c>
      <c r="T2152">
        <v>0.64245090000000005</v>
      </c>
      <c r="U2152">
        <v>-1.130981</v>
      </c>
      <c r="V2152">
        <v>-1.007599E-2</v>
      </c>
      <c r="W2152">
        <v>0.16045699999999999</v>
      </c>
      <c r="X2152">
        <v>0.98699139999999996</v>
      </c>
      <c r="Y2152">
        <v>-0.32279170000000001</v>
      </c>
      <c r="Z2152">
        <v>2.6124870000000001E-2</v>
      </c>
      <c r="AA2152">
        <v>0.94610939999999999</v>
      </c>
      <c r="AB2152">
        <v>40</v>
      </c>
      <c r="AC2152">
        <v>-56.111599999999903</v>
      </c>
      <c r="AD2152">
        <v>12.545424000000001</v>
      </c>
      <c r="AE2152">
        <v>-22.075600000000001</v>
      </c>
      <c r="AF2152">
        <v>-19.077282655968599</v>
      </c>
      <c r="AG2152">
        <v>12.545424000000001</v>
      </c>
      <c r="AH2152">
        <v>54.556811009384703</v>
      </c>
      <c r="AI2152">
        <v>77.753160025744506</v>
      </c>
      <c r="AJ2152">
        <v>109.273576992949</v>
      </c>
      <c r="AK2152">
        <v>59.141998650613999</v>
      </c>
      <c r="AL2152">
        <v>80.766576869426004</v>
      </c>
      <c r="AM2152">
        <v>90.584900382080406</v>
      </c>
      <c r="AN2152">
        <v>0.99999999904871995</v>
      </c>
    </row>
    <row r="2153" spans="1:40" x14ac:dyDescent="0.3">
      <c r="A2153" t="str">
        <f>"20200111150842036"</f>
        <v>20200111150842036</v>
      </c>
      <c r="B2153" t="str">
        <f>"1578726522025205"</f>
        <v>1578726522025205</v>
      </c>
      <c r="C2153" t="s">
        <v>40</v>
      </c>
      <c r="D2153">
        <v>5.8082919999999998</v>
      </c>
      <c r="E2153">
        <v>0.4216742</v>
      </c>
      <c r="F2153" t="s">
        <v>43</v>
      </c>
      <c r="G2153">
        <v>-355.35969999999998</v>
      </c>
      <c r="H2153" s="1">
        <v>-2.695934E-6</v>
      </c>
      <c r="I2153">
        <v>135.54050000000001</v>
      </c>
      <c r="J2153">
        <v>-331.59699999999998</v>
      </c>
      <c r="K2153">
        <v>1.110314</v>
      </c>
      <c r="L2153">
        <v>141.6816</v>
      </c>
      <c r="M2153">
        <v>-0.99918720000000005</v>
      </c>
      <c r="N2153">
        <v>0</v>
      </c>
      <c r="O2153">
        <v>-3.8651970000000001E-2</v>
      </c>
      <c r="P2153">
        <v>-0.98759569999999997</v>
      </c>
      <c r="Q2153">
        <v>0.149428799999999</v>
      </c>
      <c r="R2153">
        <v>-4.8225150000000001E-2</v>
      </c>
      <c r="S2153">
        <v>-3.021118</v>
      </c>
      <c r="T2153">
        <v>-0.13973920000000001</v>
      </c>
      <c r="U2153">
        <v>-0.77407840000000006</v>
      </c>
      <c r="V2153">
        <v>-1.0171070000000001E-2</v>
      </c>
      <c r="W2153">
        <v>0.16072809999999901</v>
      </c>
      <c r="X2153">
        <v>0.98694630000000005</v>
      </c>
      <c r="Y2153">
        <v>-0.21040239999999999</v>
      </c>
      <c r="Z2153">
        <v>-3.0300560000000002E-3</v>
      </c>
      <c r="AA2153">
        <v>0.97761019999999998</v>
      </c>
      <c r="AB2153">
        <v>40</v>
      </c>
      <c r="AC2153">
        <v>-23.762699999999899</v>
      </c>
      <c r="AD2153">
        <v>-1.1103166959340001</v>
      </c>
      <c r="AE2153">
        <v>-6.14109999999999</v>
      </c>
      <c r="AF2153">
        <v>-5.2073179680627604</v>
      </c>
      <c r="AG2153">
        <v>-1.1103166959340001</v>
      </c>
      <c r="AH2153">
        <v>23.933340806386202</v>
      </c>
      <c r="AI2153">
        <v>92.595525292236999</v>
      </c>
      <c r="AJ2153">
        <v>102.274872159042</v>
      </c>
      <c r="AK2153">
        <v>24.518437261383699</v>
      </c>
      <c r="AL2153">
        <v>80.750839605493297</v>
      </c>
      <c r="AM2153">
        <v>90.5904462631174</v>
      </c>
      <c r="AN2153">
        <v>0.99999998593912198</v>
      </c>
    </row>
    <row r="2154" spans="1:40" x14ac:dyDescent="0.3">
      <c r="A2154" t="str">
        <f>"20200111150842051"</f>
        <v>20200111150842051</v>
      </c>
      <c r="B2154" t="str">
        <f>"1578726522045701"</f>
        <v>1578726522045701</v>
      </c>
      <c r="C2154" t="s">
        <v>40</v>
      </c>
      <c r="D2154">
        <v>5.7215879999999997</v>
      </c>
      <c r="E2154">
        <v>0.4210372</v>
      </c>
      <c r="F2154" t="s">
        <v>43</v>
      </c>
      <c r="G2154">
        <v>-354.84539999999998</v>
      </c>
      <c r="H2154" s="1">
        <v>-2.887819E-6</v>
      </c>
      <c r="I2154">
        <v>135.70269999999999</v>
      </c>
      <c r="J2154">
        <v>-331.8553</v>
      </c>
      <c r="K2154">
        <v>1.1103190000000001</v>
      </c>
      <c r="L2154">
        <v>141.6713</v>
      </c>
      <c r="M2154">
        <v>-0.99917690000000003</v>
      </c>
      <c r="N2154">
        <v>0</v>
      </c>
      <c r="O2154">
        <v>-3.8896109999999998E-2</v>
      </c>
      <c r="P2154">
        <v>-0.98758659999999998</v>
      </c>
      <c r="Q2154">
        <v>0.1493312</v>
      </c>
      <c r="R2154">
        <v>-4.8711450000000003E-2</v>
      </c>
      <c r="S2154">
        <v>-3.0215450000000001</v>
      </c>
      <c r="T2154">
        <v>-0.14430589999999999</v>
      </c>
      <c r="U2154">
        <v>-0.77705380000000002</v>
      </c>
      <c r="V2154">
        <v>-1.041537E-2</v>
      </c>
      <c r="W2154">
        <v>0.16069420000000001</v>
      </c>
      <c r="X2154">
        <v>0.98694930000000003</v>
      </c>
      <c r="Y2154">
        <v>-0.21102170000000001</v>
      </c>
      <c r="Z2154">
        <v>-3.1312860000000001E-3</v>
      </c>
      <c r="AA2154">
        <v>0.97747640000000002</v>
      </c>
      <c r="AB2154">
        <v>40</v>
      </c>
      <c r="AC2154">
        <v>-22.990099999999899</v>
      </c>
      <c r="AD2154">
        <v>-1.110321887819</v>
      </c>
      <c r="AE2154">
        <v>-5.9686000000000003</v>
      </c>
      <c r="AF2154">
        <v>-5.05874366141044</v>
      </c>
      <c r="AG2154">
        <v>-1.110321887819</v>
      </c>
      <c r="AH2154">
        <v>23.154274453312201</v>
      </c>
      <c r="AI2154">
        <v>92.682239338483697</v>
      </c>
      <c r="AJ2154">
        <v>102.324317792268</v>
      </c>
      <c r="AK2154">
        <v>23.7264436354405</v>
      </c>
      <c r="AL2154">
        <v>80.752807767626095</v>
      </c>
      <c r="AM2154">
        <v>90.604625375773097</v>
      </c>
      <c r="AN2154">
        <v>1.0000000133081799</v>
      </c>
    </row>
    <row r="2155" spans="1:40" x14ac:dyDescent="0.3">
      <c r="A2155" t="str">
        <f>"20200111150842065"</f>
        <v>20200111150842065</v>
      </c>
      <c r="B2155" t="str">
        <f>"1578726522055461"</f>
        <v>1578726522055461</v>
      </c>
      <c r="C2155" t="s">
        <v>40</v>
      </c>
      <c r="D2155">
        <v>5.9074330000000002</v>
      </c>
      <c r="E2155">
        <v>0.4210372</v>
      </c>
      <c r="F2155" t="s">
        <v>43</v>
      </c>
      <c r="G2155">
        <v>-354.7398</v>
      </c>
      <c r="H2155" s="1">
        <v>-2.927272E-6</v>
      </c>
      <c r="I2155">
        <v>135.73560000000001</v>
      </c>
      <c r="J2155">
        <v>-332.10120000000001</v>
      </c>
      <c r="K2155">
        <v>1.1103190000000001</v>
      </c>
      <c r="L2155">
        <v>141.66159999999999</v>
      </c>
      <c r="M2155">
        <v>-0.99916709999999997</v>
      </c>
      <c r="N2155">
        <v>0</v>
      </c>
      <c r="O2155">
        <v>-3.9129490000000003E-2</v>
      </c>
      <c r="P2155">
        <v>-0.98757740000000005</v>
      </c>
      <c r="Q2155">
        <v>0.14932999999999999</v>
      </c>
      <c r="R2155">
        <v>-4.8903710000000003E-2</v>
      </c>
      <c r="S2155">
        <v>-3.0211790000000001</v>
      </c>
      <c r="T2155">
        <v>-0.14658299999999999</v>
      </c>
      <c r="U2155">
        <v>-0.78361510000000001</v>
      </c>
      <c r="V2155">
        <v>-1.037622E-2</v>
      </c>
      <c r="W2155">
        <v>0.16075110000000001</v>
      </c>
      <c r="X2155">
        <v>0.98694040000000005</v>
      </c>
      <c r="Y2155">
        <v>-0.2128042</v>
      </c>
      <c r="Z2155">
        <v>-3.211598E-3</v>
      </c>
      <c r="AA2155">
        <v>0.9770896</v>
      </c>
      <c r="AB2155">
        <v>40</v>
      </c>
      <c r="AC2155">
        <v>-22.6386</v>
      </c>
      <c r="AD2155">
        <v>-1.110321927272</v>
      </c>
      <c r="AE2155">
        <v>-5.9259999999999797</v>
      </c>
      <c r="AF2155">
        <v>-5.0242540888325697</v>
      </c>
      <c r="AG2155">
        <v>-1.110321927272</v>
      </c>
      <c r="AH2155">
        <v>22.801825108805101</v>
      </c>
      <c r="AI2155">
        <v>92.722575806533001</v>
      </c>
      <c r="AJ2155">
        <v>102.42623794349601</v>
      </c>
      <c r="AK2155">
        <v>23.375182827602998</v>
      </c>
      <c r="AL2155">
        <v>80.7495042702771</v>
      </c>
      <c r="AM2155">
        <v>90.6023582681037</v>
      </c>
      <c r="AN2155">
        <v>0.99999996762242804</v>
      </c>
    </row>
    <row r="2156" spans="1:40" x14ac:dyDescent="0.3">
      <c r="A2156" t="str">
        <f>"20200111150842082"</f>
        <v>20200111150842082</v>
      </c>
      <c r="B2156" t="str">
        <f>"1578726522074984"</f>
        <v>1578726522074984</v>
      </c>
      <c r="C2156" t="s">
        <v>40</v>
      </c>
      <c r="D2156">
        <v>5.2152430000000001</v>
      </c>
      <c r="E2156">
        <v>0.42522109999999902</v>
      </c>
      <c r="F2156" t="s">
        <v>43</v>
      </c>
      <c r="G2156">
        <v>-354.97890000000001</v>
      </c>
      <c r="H2156" s="1">
        <v>-2.8268440000000001E-6</v>
      </c>
      <c r="I2156">
        <v>135.72370000000001</v>
      </c>
      <c r="J2156">
        <v>-332.39789999999999</v>
      </c>
      <c r="K2156">
        <v>1.11032</v>
      </c>
      <c r="L2156">
        <v>141.6497</v>
      </c>
      <c r="M2156">
        <v>-0.99915540000000003</v>
      </c>
      <c r="N2156">
        <v>0</v>
      </c>
      <c r="O2156">
        <v>-3.9412250000000003E-2</v>
      </c>
      <c r="P2156">
        <v>-0.98755309999999996</v>
      </c>
      <c r="Q2156">
        <v>0.14946760000000001</v>
      </c>
      <c r="R2156">
        <v>-4.8977260000000002E-2</v>
      </c>
      <c r="S2156">
        <v>-3.0210569999999999</v>
      </c>
      <c r="T2156">
        <v>-0.146621</v>
      </c>
      <c r="U2156">
        <v>-0.78410340000000001</v>
      </c>
      <c r="V2156">
        <v>-1.0170220000000001E-2</v>
      </c>
      <c r="W2156">
        <v>0.16095400000000001</v>
      </c>
      <c r="X2156">
        <v>0.9869095</v>
      </c>
      <c r="Y2156">
        <v>-0.2126856</v>
      </c>
      <c r="Z2156">
        <v>-3.1962119999999999E-3</v>
      </c>
      <c r="AA2156">
        <v>0.97711550000000003</v>
      </c>
      <c r="AB2156">
        <v>40</v>
      </c>
      <c r="AC2156">
        <v>-22.581</v>
      </c>
      <c r="AD2156">
        <v>-1.110322826844</v>
      </c>
      <c r="AE2156">
        <v>-5.9259999999999797</v>
      </c>
      <c r="AF2156">
        <v>-5.02001180071177</v>
      </c>
      <c r="AG2156">
        <v>-1.110322826844</v>
      </c>
      <c r="AH2156">
        <v>22.745575956338101</v>
      </c>
      <c r="AI2156">
        <v>92.729095311241494</v>
      </c>
      <c r="AJ2156">
        <v>102.445820158293</v>
      </c>
      <c r="AK2156">
        <v>23.319403097949198</v>
      </c>
      <c r="AL2156">
        <v>80.737725810332705</v>
      </c>
      <c r="AM2156">
        <v>90.590418936035505</v>
      </c>
      <c r="AN2156">
        <v>0.99999999234054904</v>
      </c>
    </row>
    <row r="2157" spans="1:40" x14ac:dyDescent="0.3">
      <c r="A2157" t="str">
        <f>"20200111150842106"</f>
        <v>20200111150842106</v>
      </c>
      <c r="B2157" t="str">
        <f>"1578726522095480"</f>
        <v>1578726522095480</v>
      </c>
      <c r="C2157" t="s">
        <v>40</v>
      </c>
      <c r="D2157">
        <v>8.2840819999999997</v>
      </c>
      <c r="E2157">
        <v>0.38821149999999999</v>
      </c>
      <c r="F2157" t="s">
        <v>43</v>
      </c>
      <c r="G2157">
        <v>-359.06709999999998</v>
      </c>
      <c r="H2157" s="1">
        <v>-1.5267060000000001E-6</v>
      </c>
      <c r="I2157">
        <v>135.01910000000001</v>
      </c>
      <c r="J2157">
        <v>-332.8202</v>
      </c>
      <c r="K2157">
        <v>1.1103209999999999</v>
      </c>
      <c r="L2157">
        <v>141.6326</v>
      </c>
      <c r="M2157">
        <v>-0.99913839999999998</v>
      </c>
      <c r="N2157">
        <v>0</v>
      </c>
      <c r="O2157">
        <v>-3.9815030000000001E-2</v>
      </c>
      <c r="P2157">
        <v>-0.98754989999999998</v>
      </c>
      <c r="Q2157">
        <v>0.14945620000000001</v>
      </c>
      <c r="R2157">
        <v>-4.9074689999999997E-2</v>
      </c>
      <c r="S2157">
        <v>-3.0195919999999998</v>
      </c>
      <c r="T2157">
        <v>-0.12571499999999999</v>
      </c>
      <c r="U2157">
        <v>-0.75073239999999997</v>
      </c>
      <c r="V2157">
        <v>-9.8679809999999996E-3</v>
      </c>
      <c r="W2157">
        <v>0.161026</v>
      </c>
      <c r="X2157">
        <v>0.98690080000000002</v>
      </c>
      <c r="Y2157">
        <v>-0.2023103</v>
      </c>
      <c r="Z2157">
        <v>-2.5166450000000001E-3</v>
      </c>
      <c r="AA2157">
        <v>0.97931820000000003</v>
      </c>
      <c r="AB2157">
        <v>40</v>
      </c>
      <c r="AC2157">
        <v>-26.246899999999901</v>
      </c>
      <c r="AD2157">
        <v>-1.110322526706</v>
      </c>
      <c r="AE2157">
        <v>-6.6134999999999797</v>
      </c>
      <c r="AF2157">
        <v>-5.5538169494324396</v>
      </c>
      <c r="AG2157">
        <v>-1.110322526706</v>
      </c>
      <c r="AH2157">
        <v>26.444920805342601</v>
      </c>
      <c r="AI2157">
        <v>92.352951410950396</v>
      </c>
      <c r="AJ2157">
        <v>101.86057508472599</v>
      </c>
      <c r="AK2157">
        <v>27.044621188361202</v>
      </c>
      <c r="AL2157">
        <v>80.733545778179902</v>
      </c>
      <c r="AM2157">
        <v>90.572879079855099</v>
      </c>
      <c r="AN2157">
        <v>0.99999996938282698</v>
      </c>
    </row>
    <row r="2158" spans="1:40" x14ac:dyDescent="0.3">
      <c r="A2158" t="str">
        <f>"20200111150842122"</f>
        <v>20200111150842122</v>
      </c>
      <c r="B2158" t="str">
        <f>"1578726522114997"</f>
        <v>1578726522114997</v>
      </c>
      <c r="C2158" t="s">
        <v>40</v>
      </c>
      <c r="D2158">
        <v>5.6972379999999996</v>
      </c>
      <c r="E2158">
        <v>0.38898349999999998</v>
      </c>
      <c r="F2158" t="s">
        <v>81</v>
      </c>
      <c r="G2158">
        <v>-394.95030000000003</v>
      </c>
      <c r="H2158">
        <v>8.6924729999999997</v>
      </c>
      <c r="I2158">
        <v>119.6172</v>
      </c>
      <c r="J2158">
        <v>-333.11680000000001</v>
      </c>
      <c r="K2158">
        <v>1.1103209999999999</v>
      </c>
      <c r="L2158">
        <v>141.6206</v>
      </c>
      <c r="M2158">
        <v>-0.99912659999999998</v>
      </c>
      <c r="N2158">
        <v>0</v>
      </c>
      <c r="O2158">
        <v>-4.0097500000000001E-2</v>
      </c>
      <c r="P2158">
        <v>-0.9875488</v>
      </c>
      <c r="Q2158">
        <v>0.1494595</v>
      </c>
      <c r="R2158">
        <v>-4.9088840000000002E-2</v>
      </c>
      <c r="S2158">
        <v>-2.932007</v>
      </c>
      <c r="T2158">
        <v>0.35781230000000003</v>
      </c>
      <c r="U2158">
        <v>-1.03894</v>
      </c>
      <c r="V2158">
        <v>-9.6020069999999992E-3</v>
      </c>
      <c r="W2158">
        <v>0.161082</v>
      </c>
      <c r="X2158">
        <v>0.9868943</v>
      </c>
      <c r="Y2158">
        <v>-0.29425980000000002</v>
      </c>
      <c r="Z2158">
        <v>1.2641589999999999E-2</v>
      </c>
      <c r="AA2158">
        <v>0.95564190000000004</v>
      </c>
      <c r="AB2158">
        <v>40</v>
      </c>
      <c r="AC2158">
        <v>-61.833500000000001</v>
      </c>
      <c r="AD2158">
        <v>7.5821519999999998</v>
      </c>
      <c r="AE2158">
        <v>-22.003399999999999</v>
      </c>
      <c r="AF2158">
        <v>-19.249257862357201</v>
      </c>
      <c r="AG2158">
        <v>7.5821519999999998</v>
      </c>
      <c r="AH2158">
        <v>61.840770004766902</v>
      </c>
      <c r="AI2158">
        <v>83.322922168073703</v>
      </c>
      <c r="AJ2158">
        <v>107.28986701692401</v>
      </c>
      <c r="AK2158">
        <v>65.209690936126194</v>
      </c>
      <c r="AL2158">
        <v>80.730294914170202</v>
      </c>
      <c r="AM2158">
        <v>90.557442795123706</v>
      </c>
      <c r="AN2158">
        <v>0.99999998431745796</v>
      </c>
    </row>
    <row r="2159" spans="1:40" x14ac:dyDescent="0.3">
      <c r="A2159" t="str">
        <f>"20200111150842138"</f>
        <v>20200111150842138</v>
      </c>
      <c r="B2159" t="str">
        <f>"1578726522135493"</f>
        <v>1578726522135493</v>
      </c>
      <c r="C2159" t="s">
        <v>40</v>
      </c>
      <c r="D2159">
        <v>7.8446030000000002</v>
      </c>
      <c r="E2159">
        <v>0.38814270000000001</v>
      </c>
      <c r="F2159" t="s">
        <v>81</v>
      </c>
      <c r="G2159">
        <v>-395.38049999999998</v>
      </c>
      <c r="H2159">
        <v>10.62105</v>
      </c>
      <c r="I2159">
        <v>119.6165</v>
      </c>
      <c r="J2159">
        <v>-333.4135</v>
      </c>
      <c r="K2159">
        <v>1.1103240000000001</v>
      </c>
      <c r="L2159">
        <v>141.60839999999999</v>
      </c>
      <c r="M2159">
        <v>-0.99911439999999996</v>
      </c>
      <c r="N2159">
        <v>0</v>
      </c>
      <c r="O2159">
        <v>-4.0379230000000002E-2</v>
      </c>
      <c r="P2159">
        <v>-0.98751529999999998</v>
      </c>
      <c r="Q2159">
        <v>0.14958399999999999</v>
      </c>
      <c r="R2159">
        <v>-4.9377070000000002E-2</v>
      </c>
      <c r="S2159">
        <v>-2.9190670000000001</v>
      </c>
      <c r="T2159">
        <v>0.44588519999999998</v>
      </c>
      <c r="U2159">
        <v>-1.031601</v>
      </c>
      <c r="V2159">
        <v>-9.6125550000000001E-3</v>
      </c>
      <c r="W2159">
        <v>0.16125519999999999</v>
      </c>
      <c r="X2159">
        <v>0.98686589999999996</v>
      </c>
      <c r="Y2159">
        <v>-0.29226950000000002</v>
      </c>
      <c r="Z2159">
        <v>1.560713E-2</v>
      </c>
      <c r="AA2159">
        <v>0.95620859999999996</v>
      </c>
      <c r="AB2159">
        <v>40</v>
      </c>
      <c r="AC2159">
        <v>-61.966999999999899</v>
      </c>
      <c r="AD2159">
        <v>9.510726</v>
      </c>
      <c r="AE2159">
        <v>-21.991899999999902</v>
      </c>
      <c r="AF2159">
        <v>-19.072585281959501</v>
      </c>
      <c r="AG2159">
        <v>9.510726</v>
      </c>
      <c r="AH2159">
        <v>61.517512258683702</v>
      </c>
      <c r="AI2159">
        <v>81.599969302147599</v>
      </c>
      <c r="AJ2159">
        <v>107.225268569579</v>
      </c>
      <c r="AK2159">
        <v>65.104698239696901</v>
      </c>
      <c r="AL2159">
        <v>80.720239724675594</v>
      </c>
      <c r="AM2159">
        <v>90.558071177346093</v>
      </c>
      <c r="AN2159">
        <v>0.99999997266173801</v>
      </c>
    </row>
    <row r="2160" spans="1:40" x14ac:dyDescent="0.3">
      <c r="A2160" t="str">
        <f>"20200111150842161"</f>
        <v>20200111150842161</v>
      </c>
      <c r="B2160" t="str">
        <f>"1578726522155988"</f>
        <v>1578726522155988</v>
      </c>
      <c r="C2160" t="s">
        <v>40</v>
      </c>
      <c r="D2160">
        <v>5.6996270000000004</v>
      </c>
      <c r="E2160">
        <v>0.38751350000000001</v>
      </c>
      <c r="F2160" t="s">
        <v>81</v>
      </c>
      <c r="G2160">
        <v>-395.17039999999997</v>
      </c>
      <c r="H2160">
        <v>10.609439999999999</v>
      </c>
      <c r="I2160">
        <v>119.6165</v>
      </c>
      <c r="J2160">
        <v>-333.79969999999997</v>
      </c>
      <c r="K2160">
        <v>1.1103229999999999</v>
      </c>
      <c r="L2160">
        <v>141.5925</v>
      </c>
      <c r="M2160">
        <v>-0.99909899999999996</v>
      </c>
      <c r="N2160">
        <v>0</v>
      </c>
      <c r="O2160">
        <v>-4.0745530000000002E-2</v>
      </c>
      <c r="P2160">
        <v>-0.98755360000000003</v>
      </c>
      <c r="Q2160">
        <v>0.14916860000000001</v>
      </c>
      <c r="R2160">
        <v>-4.9869950000000003E-2</v>
      </c>
      <c r="S2160">
        <v>-2.9180299999999999</v>
      </c>
      <c r="T2160">
        <v>0.44883600000000001</v>
      </c>
      <c r="U2160">
        <v>-1.0391239999999999</v>
      </c>
      <c r="V2160">
        <v>-9.7406590000000005E-3</v>
      </c>
      <c r="W2160">
        <v>0.1608956</v>
      </c>
      <c r="X2160">
        <v>0.98692329999999995</v>
      </c>
      <c r="Y2160">
        <v>-0.29416579999999998</v>
      </c>
      <c r="Z2160">
        <v>1.579471E-2</v>
      </c>
      <c r="AA2160">
        <v>0.95562389999999997</v>
      </c>
      <c r="AB2160">
        <v>40</v>
      </c>
      <c r="AC2160">
        <v>-61.370699999999999</v>
      </c>
      <c r="AD2160">
        <v>9.499117</v>
      </c>
      <c r="AE2160">
        <v>-21.975999999999999</v>
      </c>
      <c r="AF2160">
        <v>-19.052415228287401</v>
      </c>
      <c r="AG2160">
        <v>9.499117</v>
      </c>
      <c r="AH2160">
        <v>60.921557252162202</v>
      </c>
      <c r="AI2160">
        <v>81.535588550549804</v>
      </c>
      <c r="AJ2160">
        <v>107.366386381661</v>
      </c>
      <c r="AK2160">
        <v>64.5342071140511</v>
      </c>
      <c r="AL2160">
        <v>80.741115556254201</v>
      </c>
      <c r="AM2160">
        <v>90.565475077655705</v>
      </c>
      <c r="AN2160">
        <v>0.99999993731000003</v>
      </c>
    </row>
    <row r="2161" spans="1:40" x14ac:dyDescent="0.3">
      <c r="A2161" t="str">
        <f>"20200111150842175"</f>
        <v>20200111150842175</v>
      </c>
      <c r="B2161" t="str">
        <f>"1578726522165748"</f>
        <v>1578726522165748</v>
      </c>
      <c r="C2161" t="s">
        <v>40</v>
      </c>
      <c r="D2161">
        <v>5.2488580000000002</v>
      </c>
      <c r="E2161">
        <v>0.38757140000000001</v>
      </c>
      <c r="F2161" t="s">
        <v>81</v>
      </c>
      <c r="G2161">
        <v>-395.09519999999998</v>
      </c>
      <c r="H2161">
        <v>10.73358</v>
      </c>
      <c r="I2161">
        <v>119.6165</v>
      </c>
      <c r="J2161">
        <v>-334.07170000000002</v>
      </c>
      <c r="K2161">
        <v>1.110322</v>
      </c>
      <c r="L2161">
        <v>141.58109999999999</v>
      </c>
      <c r="M2161">
        <v>-0.99908799999999998</v>
      </c>
      <c r="N2161">
        <v>0</v>
      </c>
      <c r="O2161">
        <v>-4.1002129999999998E-2</v>
      </c>
      <c r="P2161">
        <v>-0.98758100000000004</v>
      </c>
      <c r="Q2161">
        <v>0.14902689999999999</v>
      </c>
      <c r="R2161">
        <v>-4.9746400000000003E-2</v>
      </c>
      <c r="S2161">
        <v>-2.9158629999999999</v>
      </c>
      <c r="T2161">
        <v>0.45778419999999997</v>
      </c>
      <c r="U2161">
        <v>-1.04541</v>
      </c>
      <c r="V2161">
        <v>-9.3615209999999994E-3</v>
      </c>
      <c r="W2161">
        <v>0.16078689999999901</v>
      </c>
      <c r="X2161">
        <v>0.98694470000000001</v>
      </c>
      <c r="Y2161">
        <v>-0.29584899999999997</v>
      </c>
      <c r="Z2161">
        <v>1.620052E-2</v>
      </c>
      <c r="AA2161">
        <v>0.95509730000000004</v>
      </c>
      <c r="AB2161">
        <v>40</v>
      </c>
      <c r="AC2161">
        <v>-61.023499999999899</v>
      </c>
      <c r="AD2161">
        <v>9.6232579999999999</v>
      </c>
      <c r="AE2161">
        <v>-21.964599999999901</v>
      </c>
      <c r="AF2161">
        <v>-19.024996694537201</v>
      </c>
      <c r="AG2161">
        <v>9.6232579999999999</v>
      </c>
      <c r="AH2161">
        <v>60.5399732012039</v>
      </c>
      <c r="AI2161">
        <v>81.3770571640448</v>
      </c>
      <c r="AJ2161">
        <v>107.445593197063</v>
      </c>
      <c r="AK2161">
        <v>64.184468128700701</v>
      </c>
      <c r="AL2161">
        <v>80.747425912106394</v>
      </c>
      <c r="AM2161">
        <v>90.543454519523706</v>
      </c>
      <c r="AN2161">
        <v>0.99999995307256495</v>
      </c>
    </row>
    <row r="2162" spans="1:40" x14ac:dyDescent="0.3">
      <c r="A2162" t="str">
        <f>"20200111150842190"</f>
        <v>20200111150842190</v>
      </c>
      <c r="B2162" t="str">
        <f>"1578726522185269"</f>
        <v>1578726522185269</v>
      </c>
      <c r="C2162" t="s">
        <v>40</v>
      </c>
      <c r="D2162">
        <v>8.6998909999999992</v>
      </c>
      <c r="E2162">
        <v>0.38599929999999999</v>
      </c>
      <c r="F2162" t="s">
        <v>81</v>
      </c>
      <c r="G2162">
        <v>-395.40800000000002</v>
      </c>
      <c r="H2162">
        <v>10.51735</v>
      </c>
      <c r="I2162">
        <v>119.61660000000001</v>
      </c>
      <c r="J2162">
        <v>-334.31060000000002</v>
      </c>
      <c r="K2162">
        <v>1.1103209999999999</v>
      </c>
      <c r="L2162">
        <v>141.5711</v>
      </c>
      <c r="M2162">
        <v>-0.99907849999999998</v>
      </c>
      <c r="N2162">
        <v>0</v>
      </c>
      <c r="O2162">
        <v>-4.122758E-2</v>
      </c>
      <c r="P2162">
        <v>-0.98762510000000003</v>
      </c>
      <c r="Q2162">
        <v>0.1489105</v>
      </c>
      <c r="R2162">
        <v>-4.921992E-2</v>
      </c>
      <c r="S2162">
        <v>-2.9175719999999998</v>
      </c>
      <c r="T2162">
        <v>0.44746219999999998</v>
      </c>
      <c r="U2162">
        <v>-1.0447850000000001</v>
      </c>
      <c r="V2162">
        <v>-8.6100829999999993E-3</v>
      </c>
      <c r="W2162">
        <v>0.16069559999999999</v>
      </c>
      <c r="X2162">
        <v>0.98696640000000002</v>
      </c>
      <c r="Y2162">
        <v>-0.29540630000000001</v>
      </c>
      <c r="Z2162">
        <v>1.5765069999999999E-2</v>
      </c>
      <c r="AA2162">
        <v>0.95524160000000002</v>
      </c>
      <c r="AB2162">
        <v>40</v>
      </c>
      <c r="AC2162">
        <v>-61.097399999999901</v>
      </c>
      <c r="AD2162">
        <v>9.4070289999999996</v>
      </c>
      <c r="AE2162">
        <v>-21.954499999999999</v>
      </c>
      <c r="AF2162">
        <v>-19.017479496556199</v>
      </c>
      <c r="AG2162">
        <v>9.4070289999999996</v>
      </c>
      <c r="AH2162">
        <v>60.676726361385398</v>
      </c>
      <c r="AI2162">
        <v>81.584752907559803</v>
      </c>
      <c r="AJ2162">
        <v>107.40218917579701</v>
      </c>
      <c r="AK2162">
        <v>64.279248929520193</v>
      </c>
      <c r="AL2162">
        <v>80.752725832714205</v>
      </c>
      <c r="AM2162">
        <v>90.499823401364196</v>
      </c>
      <c r="AN2162">
        <v>0.99999994205879095</v>
      </c>
    </row>
    <row r="2163" spans="1:40" x14ac:dyDescent="0.3">
      <c r="A2163" t="str">
        <f>"20200111150842204"</f>
        <v>20200111150842204</v>
      </c>
      <c r="B2163" t="str">
        <f>"1578726522196005"</f>
        <v>1578726522196005</v>
      </c>
      <c r="C2163" t="s">
        <v>40</v>
      </c>
      <c r="D2163">
        <v>5.7071769999999997</v>
      </c>
      <c r="E2163">
        <v>0.38599929999999999</v>
      </c>
      <c r="F2163" t="s">
        <v>81</v>
      </c>
      <c r="G2163">
        <v>-394.90190000000001</v>
      </c>
      <c r="H2163">
        <v>11.19121</v>
      </c>
      <c r="I2163">
        <v>119.6163</v>
      </c>
      <c r="J2163">
        <v>-334.59059999999999</v>
      </c>
      <c r="K2163">
        <v>1.110322</v>
      </c>
      <c r="L2163">
        <v>141.55940000000001</v>
      </c>
      <c r="M2163">
        <v>-0.99906729999999999</v>
      </c>
      <c r="N2163">
        <v>0</v>
      </c>
      <c r="O2163">
        <v>-4.1491519999999997E-2</v>
      </c>
      <c r="P2163">
        <v>-0.98770670000000005</v>
      </c>
      <c r="Q2163">
        <v>0.1487386</v>
      </c>
      <c r="R2163">
        <v>-4.8087289999999998E-2</v>
      </c>
      <c r="S2163">
        <v>-2.9119259999999998</v>
      </c>
      <c r="T2163">
        <v>0.48447249999999997</v>
      </c>
      <c r="U2163">
        <v>-1.055115</v>
      </c>
      <c r="V2163">
        <v>-7.213438E-3</v>
      </c>
      <c r="W2163">
        <v>0.16055069999999999</v>
      </c>
      <c r="X2163">
        <v>0.98700120000000002</v>
      </c>
      <c r="Y2163">
        <v>-0.29825190000000001</v>
      </c>
      <c r="Z2163">
        <v>1.7260459999999998E-2</v>
      </c>
      <c r="AA2163">
        <v>0.95433109999999999</v>
      </c>
      <c r="AB2163">
        <v>40</v>
      </c>
      <c r="AC2163">
        <v>-60.311300000000003</v>
      </c>
      <c r="AD2163">
        <v>10.080888</v>
      </c>
      <c r="AE2163">
        <v>-21.943100000000001</v>
      </c>
      <c r="AF2163">
        <v>-18.953975291638201</v>
      </c>
      <c r="AG2163">
        <v>10.080888</v>
      </c>
      <c r="AH2163">
        <v>59.697007148570201</v>
      </c>
      <c r="AI2163">
        <v>80.856670246008207</v>
      </c>
      <c r="AJ2163">
        <v>107.61479633483999</v>
      </c>
      <c r="AK2163">
        <v>63.439815137821903</v>
      </c>
      <c r="AL2163">
        <v>80.761137419254396</v>
      </c>
      <c r="AM2163">
        <v>90.418735250629396</v>
      </c>
      <c r="AN2163">
        <v>0.99999996487985399</v>
      </c>
    </row>
    <row r="2164" spans="1:40" x14ac:dyDescent="0.3">
      <c r="A2164" t="str">
        <f>"20200111150842227"</f>
        <v>20200111150842227</v>
      </c>
      <c r="B2164" t="str">
        <f>"1578726522215525"</f>
        <v>1578726522215525</v>
      </c>
      <c r="C2164" t="s">
        <v>40</v>
      </c>
      <c r="D2164">
        <v>6.9583329999999997</v>
      </c>
      <c r="E2164">
        <v>0.41579460000000001</v>
      </c>
      <c r="F2164" t="s">
        <v>81</v>
      </c>
      <c r="G2164">
        <v>-395.36239999999998</v>
      </c>
      <c r="H2164">
        <v>11.208069999999999</v>
      </c>
      <c r="I2164">
        <v>119.6163</v>
      </c>
      <c r="J2164">
        <v>-334.97519999999997</v>
      </c>
      <c r="K2164">
        <v>1.1103160000000001</v>
      </c>
      <c r="L2164">
        <v>141.54310000000001</v>
      </c>
      <c r="M2164">
        <v>-0.99905189999999999</v>
      </c>
      <c r="N2164">
        <v>0</v>
      </c>
      <c r="O2164">
        <v>-4.1852390000000003E-2</v>
      </c>
      <c r="P2164">
        <v>-0.98771439999999999</v>
      </c>
      <c r="Q2164">
        <v>0.14893410000000001</v>
      </c>
      <c r="R2164">
        <v>-4.731979E-2</v>
      </c>
      <c r="S2164">
        <v>-2.913208</v>
      </c>
      <c r="T2164">
        <v>0.48405409999999999</v>
      </c>
      <c r="U2164">
        <v>-1.0518799999999999</v>
      </c>
      <c r="V2164">
        <v>-6.0888519999999996E-3</v>
      </c>
      <c r="W2164">
        <v>0.16077559999999999</v>
      </c>
      <c r="X2164">
        <v>0.98697219999999997</v>
      </c>
      <c r="Y2164">
        <v>-0.29686319999999999</v>
      </c>
      <c r="Z2164">
        <v>1.7073089999999999E-2</v>
      </c>
      <c r="AA2164">
        <v>0.95476740000000004</v>
      </c>
      <c r="AB2164">
        <v>40</v>
      </c>
      <c r="AC2164">
        <v>-60.3872</v>
      </c>
      <c r="AD2164">
        <v>10.097753999999901</v>
      </c>
      <c r="AE2164">
        <v>-21.9268</v>
      </c>
      <c r="AF2164">
        <v>-18.9128260590509</v>
      </c>
      <c r="AG2164">
        <v>10.097753999999901</v>
      </c>
      <c r="AH2164">
        <v>59.775326631656</v>
      </c>
      <c r="AI2164">
        <v>80.850567835875907</v>
      </c>
      <c r="AJ2164">
        <v>107.557295280581</v>
      </c>
      <c r="AK2164">
        <v>63.503931368897099</v>
      </c>
      <c r="AL2164">
        <v>80.748082285792904</v>
      </c>
      <c r="AM2164">
        <v>90.353465980013993</v>
      </c>
      <c r="AN2164">
        <v>0.999999995623438</v>
      </c>
    </row>
    <row r="2165" spans="1:40" x14ac:dyDescent="0.3">
      <c r="A2165" t="str">
        <f>"20200111150842242"</f>
        <v>20200111150842242</v>
      </c>
      <c r="B2165" t="str">
        <f>"1578726522235045"</f>
        <v>1578726522235045</v>
      </c>
      <c r="C2165" t="s">
        <v>40</v>
      </c>
      <c r="D2165">
        <v>8.8114429999999899</v>
      </c>
      <c r="E2165">
        <v>0.38356509999999999</v>
      </c>
      <c r="F2165" t="s">
        <v>43</v>
      </c>
      <c r="G2165">
        <v>-363.75900000000001</v>
      </c>
      <c r="H2165" s="1">
        <v>-3.7078380000000001E-6</v>
      </c>
      <c r="I2165">
        <v>133.7072</v>
      </c>
      <c r="J2165">
        <v>-335.2715</v>
      </c>
      <c r="K2165">
        <v>1.1103149999999999</v>
      </c>
      <c r="L2165">
        <v>141.53039999999999</v>
      </c>
      <c r="M2165">
        <v>-0.99904009999999999</v>
      </c>
      <c r="N2165">
        <v>0</v>
      </c>
      <c r="O2165">
        <v>-4.2127110000000002E-2</v>
      </c>
      <c r="P2165">
        <v>-0.98775409999999997</v>
      </c>
      <c r="Q2165">
        <v>0.14866289999999999</v>
      </c>
      <c r="R2165">
        <v>-4.7343410000000002E-2</v>
      </c>
      <c r="S2165">
        <v>-3.0155639999999999</v>
      </c>
      <c r="T2165">
        <v>-0.1163241</v>
      </c>
      <c r="U2165">
        <v>-0.82092289999999901</v>
      </c>
      <c r="V2165">
        <v>-5.8373100000000001E-3</v>
      </c>
      <c r="W2165">
        <v>0.16052429999999901</v>
      </c>
      <c r="X2165">
        <v>0.98701470000000002</v>
      </c>
      <c r="Y2165">
        <v>-0.22166159999999999</v>
      </c>
      <c r="Z2165">
        <v>-2.6044150000000001E-3</v>
      </c>
      <c r="AA2165">
        <v>0.97512019999999999</v>
      </c>
      <c r="AB2165">
        <v>40</v>
      </c>
      <c r="AC2165">
        <v>-28.487500000000001</v>
      </c>
      <c r="AD2165">
        <v>-1.1103187078379999</v>
      </c>
      <c r="AE2165">
        <v>-7.8231999999999804</v>
      </c>
      <c r="AF2165">
        <v>-6.6067389613607901</v>
      </c>
      <c r="AG2165">
        <v>-1.1103187078379999</v>
      </c>
      <c r="AH2165">
        <v>28.7511863056863</v>
      </c>
      <c r="AI2165">
        <v>92.155439893574396</v>
      </c>
      <c r="AJ2165">
        <v>102.941343702097</v>
      </c>
      <c r="AK2165">
        <v>29.521390911012599</v>
      </c>
      <c r="AL2165">
        <v>80.762670898568203</v>
      </c>
      <c r="AM2165">
        <v>90.338849388402807</v>
      </c>
      <c r="AN2165">
        <v>1.0000000715473001</v>
      </c>
    </row>
    <row r="2166" spans="1:40" x14ac:dyDescent="0.3">
      <c r="A2166" t="str">
        <f>"20200111150842256"</f>
        <v>20200111150842256</v>
      </c>
      <c r="B2166" t="str">
        <f>"1578726522245781"</f>
        <v>1578726522245781</v>
      </c>
      <c r="C2166" t="s">
        <v>40</v>
      </c>
      <c r="D2166">
        <v>5.7082480000000002</v>
      </c>
      <c r="E2166">
        <v>0.44282349999999998</v>
      </c>
      <c r="F2166" t="s">
        <v>81</v>
      </c>
      <c r="G2166">
        <v>-394.96699999999998</v>
      </c>
      <c r="H2166">
        <v>11.269920000000001</v>
      </c>
      <c r="I2166">
        <v>119.6163</v>
      </c>
      <c r="J2166">
        <v>-335.51119999999997</v>
      </c>
      <c r="K2166">
        <v>1.1103099999999999</v>
      </c>
      <c r="L2166">
        <v>141.52010000000001</v>
      </c>
      <c r="M2166">
        <v>-0.99903070000000005</v>
      </c>
      <c r="N2166">
        <v>0</v>
      </c>
      <c r="O2166">
        <v>-4.2345290000000001E-2</v>
      </c>
      <c r="P2166">
        <v>-0.98778010000000005</v>
      </c>
      <c r="Q2166">
        <v>0.14857490000000001</v>
      </c>
      <c r="R2166">
        <v>-4.7076350000000003E-2</v>
      </c>
      <c r="S2166">
        <v>-2.9114070000000001</v>
      </c>
      <c r="T2166">
        <v>0.49549399999999899</v>
      </c>
      <c r="U2166">
        <v>-1.0687709999999999</v>
      </c>
      <c r="V2166">
        <v>-5.3521369999999999E-3</v>
      </c>
      <c r="W2166">
        <v>0.16045129999999999</v>
      </c>
      <c r="X2166">
        <v>0.9870293</v>
      </c>
      <c r="Y2166">
        <v>-0.30127670000000001</v>
      </c>
      <c r="Z2166">
        <v>1.7746129999999999E-2</v>
      </c>
      <c r="AA2166">
        <v>0.95337159999999999</v>
      </c>
      <c r="AB2166">
        <v>40</v>
      </c>
      <c r="AC2166">
        <v>-59.455800000000004</v>
      </c>
      <c r="AD2166">
        <v>10.159610000000001</v>
      </c>
      <c r="AE2166">
        <v>-21.9038</v>
      </c>
      <c r="AF2166">
        <v>-18.880877345297101</v>
      </c>
      <c r="AG2166">
        <v>10.159610000000001</v>
      </c>
      <c r="AH2166">
        <v>58.817874494250503</v>
      </c>
      <c r="AI2166">
        <v>80.660507648839896</v>
      </c>
      <c r="AJ2166">
        <v>107.796930140877</v>
      </c>
      <c r="AK2166">
        <v>62.603894165631999</v>
      </c>
      <c r="AL2166">
        <v>80.766908236042298</v>
      </c>
      <c r="AM2166">
        <v>90.310681613996394</v>
      </c>
      <c r="AN2166">
        <v>1.0000000520503201</v>
      </c>
    </row>
    <row r="2167" spans="1:40" x14ac:dyDescent="0.3">
      <c r="A2167" t="str">
        <f>"20200111150842273"</f>
        <v>20200111150842273</v>
      </c>
      <c r="B2167" t="str">
        <f>"1578726522265301"</f>
        <v>1578726522265301</v>
      </c>
      <c r="C2167" t="s">
        <v>40</v>
      </c>
      <c r="D2167">
        <v>5.1956930000000003</v>
      </c>
      <c r="E2167">
        <v>0.44969540000000002</v>
      </c>
      <c r="F2167" t="s">
        <v>85</v>
      </c>
      <c r="G2167">
        <v>-441.02480000000003</v>
      </c>
      <c r="H2167">
        <v>36.418500000000002</v>
      </c>
      <c r="I2167">
        <v>119.8177</v>
      </c>
      <c r="J2167">
        <v>-335.78809999999999</v>
      </c>
      <c r="K2167">
        <v>1.1102989999999999</v>
      </c>
      <c r="L2167">
        <v>141.50819999999999</v>
      </c>
      <c r="M2167">
        <v>-0.99902029999999997</v>
      </c>
      <c r="N2167">
        <v>0</v>
      </c>
      <c r="O2167">
        <v>-4.2586400000000003E-2</v>
      </c>
      <c r="P2167">
        <v>-0.98778069999999896</v>
      </c>
      <c r="Q2167">
        <v>0.1485282</v>
      </c>
      <c r="R2167">
        <v>-4.7205410000000003E-2</v>
      </c>
      <c r="S2167">
        <v>-2.8648380000000002</v>
      </c>
      <c r="T2167">
        <v>0.95866439999999997</v>
      </c>
      <c r="U2167">
        <v>-0.58924869999999996</v>
      </c>
      <c r="V2167">
        <v>-5.2396789999999997E-3</v>
      </c>
      <c r="W2167">
        <v>0.160418899999999</v>
      </c>
      <c r="X2167">
        <v>0.98703510000000005</v>
      </c>
      <c r="Y2167">
        <v>-0.15375929999999999</v>
      </c>
      <c r="Z2167">
        <v>1.108082E-2</v>
      </c>
      <c r="AA2167">
        <v>0.98804619999999999</v>
      </c>
      <c r="AB2167">
        <v>40</v>
      </c>
      <c r="AC2167">
        <v>-105.2367</v>
      </c>
      <c r="AD2167">
        <v>35.308200999999997</v>
      </c>
      <c r="AE2167">
        <v>-21.690499999999901</v>
      </c>
      <c r="AF2167">
        <v>-15.5136588344568</v>
      </c>
      <c r="AG2167">
        <v>35.308200999999997</v>
      </c>
      <c r="AH2167">
        <v>95.728159035350501</v>
      </c>
      <c r="AI2167">
        <v>69.994036885723403</v>
      </c>
      <c r="AJ2167">
        <v>99.205295781456897</v>
      </c>
      <c r="AK2167">
        <v>103.20476297432</v>
      </c>
      <c r="AL2167">
        <v>80.768788340257899</v>
      </c>
      <c r="AM2167">
        <v>90.304151972653997</v>
      </c>
      <c r="AN2167">
        <v>0.99999998317262095</v>
      </c>
    </row>
    <row r="2168" spans="1:40" x14ac:dyDescent="0.3">
      <c r="A2168" t="str">
        <f>"20200111150842286"</f>
        <v>20200111150842286</v>
      </c>
      <c r="B2168" t="str">
        <f>"1578726522275061"</f>
        <v>1578726522275061</v>
      </c>
      <c r="C2168" t="s">
        <v>40</v>
      </c>
      <c r="D2168">
        <v>5.1735790000000001</v>
      </c>
      <c r="E2168">
        <v>0.4531155</v>
      </c>
      <c r="F2168" t="s">
        <v>85</v>
      </c>
      <c r="G2168">
        <v>-452.36470000000003</v>
      </c>
      <c r="H2168">
        <v>36.20091</v>
      </c>
      <c r="I2168">
        <v>119.8177</v>
      </c>
      <c r="J2168">
        <v>-336.0505</v>
      </c>
      <c r="K2168">
        <v>1.110285</v>
      </c>
      <c r="L2168">
        <v>141.49680000000001</v>
      </c>
      <c r="M2168">
        <v>-0.99901110000000004</v>
      </c>
      <c r="N2168">
        <v>0</v>
      </c>
      <c r="O2168">
        <v>-4.2797380000000003E-2</v>
      </c>
      <c r="P2168">
        <v>-0.98775820000000003</v>
      </c>
      <c r="Q2168">
        <v>0.1484994</v>
      </c>
      <c r="R2168">
        <v>-4.7768720000000001E-2</v>
      </c>
      <c r="S2168">
        <v>-2.8810730000000002</v>
      </c>
      <c r="T2168">
        <v>0.86722829999999995</v>
      </c>
      <c r="U2168">
        <v>-0.53605649999999905</v>
      </c>
      <c r="V2168">
        <v>-5.58845E-3</v>
      </c>
      <c r="W2168">
        <v>0.16040189999999999</v>
      </c>
      <c r="X2168">
        <v>0.98703600000000002</v>
      </c>
      <c r="Y2168">
        <v>-0.1366598</v>
      </c>
      <c r="Z2168">
        <v>7.472963E-3</v>
      </c>
      <c r="AA2168">
        <v>0.99058990000000002</v>
      </c>
      <c r="AB2168">
        <v>40</v>
      </c>
      <c r="AC2168">
        <v>-116.3142</v>
      </c>
      <c r="AD2168">
        <v>35.090625000000003</v>
      </c>
      <c r="AE2168">
        <v>-21.679099999999998</v>
      </c>
      <c r="AF2168">
        <v>-15.332298498049299</v>
      </c>
      <c r="AG2168">
        <v>35.090625000000003</v>
      </c>
      <c r="AH2168">
        <v>107.66524043119</v>
      </c>
      <c r="AI2168">
        <v>72.116768289753495</v>
      </c>
      <c r="AJ2168">
        <v>98.104832919918707</v>
      </c>
      <c r="AK2168">
        <v>114.27263599493099</v>
      </c>
      <c r="AL2168">
        <v>80.769775609320504</v>
      </c>
      <c r="AM2168">
        <v>90.324396655888094</v>
      </c>
      <c r="AN2168">
        <v>1.0000000327965</v>
      </c>
    </row>
    <row r="2169" spans="1:40" x14ac:dyDescent="0.3">
      <c r="A2169" t="str">
        <f>"20200111150842302"</f>
        <v>20200111150842302</v>
      </c>
      <c r="B2169" t="str">
        <f>"1578726522295557"</f>
        <v>1578726522295557</v>
      </c>
      <c r="C2169" t="s">
        <v>40</v>
      </c>
      <c r="D2169">
        <v>5.2677889999999996</v>
      </c>
      <c r="E2169">
        <v>0.45744659999999898</v>
      </c>
      <c r="F2169" t="s">
        <v>85</v>
      </c>
      <c r="G2169">
        <v>-461.03219999999999</v>
      </c>
      <c r="H2169">
        <v>33.381079999999997</v>
      </c>
      <c r="I2169">
        <v>119.4229</v>
      </c>
      <c r="J2169">
        <v>-336.30810000000002</v>
      </c>
      <c r="K2169">
        <v>1.110269</v>
      </c>
      <c r="L2169">
        <v>141.48560000000001</v>
      </c>
      <c r="M2169">
        <v>-0.99900299999999997</v>
      </c>
      <c r="N2169">
        <v>0</v>
      </c>
      <c r="O2169">
        <v>-4.298573E-2</v>
      </c>
      <c r="P2169">
        <v>-0.98766030000000005</v>
      </c>
      <c r="Q2169">
        <v>0.14889559999999999</v>
      </c>
      <c r="R2169">
        <v>-4.8552619999999998E-2</v>
      </c>
      <c r="S2169">
        <v>-2.8998409999999999</v>
      </c>
      <c r="T2169">
        <v>0.74875100000000006</v>
      </c>
      <c r="U2169">
        <v>-0.51216130000000004</v>
      </c>
      <c r="V2169">
        <v>-6.1829440000000001E-3</v>
      </c>
      <c r="W2169">
        <v>0.16080759999999999</v>
      </c>
      <c r="X2169">
        <v>0.98696640000000002</v>
      </c>
      <c r="Y2169">
        <v>-0.12870780000000001</v>
      </c>
      <c r="Z2169">
        <v>5.400373E-3</v>
      </c>
      <c r="AA2169">
        <v>0.99166790000000005</v>
      </c>
      <c r="AB2169">
        <v>40</v>
      </c>
      <c r="AC2169">
        <v>-124.724099999999</v>
      </c>
      <c r="AD2169">
        <v>32.270810999999902</v>
      </c>
      <c r="AE2169">
        <v>-22.0627</v>
      </c>
      <c r="AF2169">
        <v>-15.663762070409399</v>
      </c>
      <c r="AG2169">
        <v>32.270810999999902</v>
      </c>
      <c r="AH2169">
        <v>117.90365998965601</v>
      </c>
      <c r="AI2169">
        <v>74.819902450796704</v>
      </c>
      <c r="AJ2169">
        <v>97.567556965696099</v>
      </c>
      <c r="AK2169">
        <v>123.23973273158499</v>
      </c>
      <c r="AL2169">
        <v>80.746224633634696</v>
      </c>
      <c r="AM2169">
        <v>90.358930113519094</v>
      </c>
      <c r="AN2169">
        <v>0.99999999387161298</v>
      </c>
    </row>
    <row r="2170" spans="1:40" x14ac:dyDescent="0.3">
      <c r="A2170" t="str">
        <f>"20200111150842316"</f>
        <v>20200111150842316</v>
      </c>
      <c r="B2170" t="str">
        <f>"1578726522305165"</f>
        <v>1578726522305165</v>
      </c>
      <c r="C2170" t="s">
        <v>40</v>
      </c>
      <c r="D2170">
        <v>7.4142679999999901</v>
      </c>
      <c r="E2170">
        <v>0.45275320000000002</v>
      </c>
      <c r="F2170" t="s">
        <v>85</v>
      </c>
      <c r="G2170">
        <v>-466.43849999999998</v>
      </c>
      <c r="H2170">
        <v>33.620489999999997</v>
      </c>
      <c r="I2170">
        <v>119.95480000000001</v>
      </c>
      <c r="J2170">
        <v>-336.57940000000002</v>
      </c>
      <c r="K2170">
        <v>1.110239</v>
      </c>
      <c r="L2170">
        <v>141.47370000000001</v>
      </c>
      <c r="M2170">
        <v>-0.99899570000000004</v>
      </c>
      <c r="N2170">
        <v>0</v>
      </c>
      <c r="O2170">
        <v>-4.3150189999999998E-2</v>
      </c>
      <c r="P2170">
        <v>-0.98757470000000003</v>
      </c>
      <c r="Q2170">
        <v>0.1490417</v>
      </c>
      <c r="R2170">
        <v>-4.9830260000000001E-2</v>
      </c>
      <c r="S2170">
        <v>-2.90448</v>
      </c>
      <c r="T2170">
        <v>0.72562059999999995</v>
      </c>
      <c r="U2170">
        <v>-0.4805603</v>
      </c>
      <c r="V2170">
        <v>-7.2887150000000003E-3</v>
      </c>
      <c r="W2170">
        <v>0.16096289999999999</v>
      </c>
      <c r="X2170">
        <v>0.98693350000000002</v>
      </c>
      <c r="Y2170">
        <v>-0.1182646</v>
      </c>
      <c r="Z2170">
        <v>3.9178839999999999E-3</v>
      </c>
      <c r="AA2170">
        <v>0.99297440000000003</v>
      </c>
      <c r="AB2170">
        <v>40</v>
      </c>
      <c r="AC2170">
        <v>-129.85909999999899</v>
      </c>
      <c r="AD2170">
        <v>32.510250999999997</v>
      </c>
      <c r="AE2170">
        <v>-21.518899999999999</v>
      </c>
      <c r="AF2170">
        <v>-14.981148652526301</v>
      </c>
      <c r="AG2170">
        <v>32.510250999999997</v>
      </c>
      <c r="AH2170">
        <v>123.154309010666</v>
      </c>
      <c r="AI2170">
        <v>75.315922230900696</v>
      </c>
      <c r="AJ2170">
        <v>96.935688446389406</v>
      </c>
      <c r="AK2170">
        <v>128.25106261909301</v>
      </c>
      <c r="AL2170">
        <v>80.737208810738494</v>
      </c>
      <c r="AM2170">
        <v>90.4231338944642</v>
      </c>
      <c r="AN2170">
        <v>0.99999995698250399</v>
      </c>
    </row>
    <row r="2171" spans="1:40" x14ac:dyDescent="0.3">
      <c r="A2171" t="str">
        <f>"20200111150846436"</f>
        <v>20200111150846436</v>
      </c>
      <c r="B2171" t="str">
        <f>"1578726526426042"</f>
        <v>1578726526426042</v>
      </c>
      <c r="C2171" t="s">
        <v>40</v>
      </c>
      <c r="D2171">
        <v>5.193676</v>
      </c>
      <c r="E2171">
        <v>0.4222245</v>
      </c>
      <c r="F2171" t="s">
        <v>85</v>
      </c>
      <c r="G2171">
        <v>-459.21969999999999</v>
      </c>
      <c r="H2171">
        <v>33.576749999999997</v>
      </c>
      <c r="I2171">
        <v>119.395</v>
      </c>
      <c r="J2171">
        <v>-408.36649999999997</v>
      </c>
      <c r="K2171">
        <v>1.123362</v>
      </c>
      <c r="L2171">
        <v>133.35429999999999</v>
      </c>
      <c r="M2171">
        <v>-0.74716510000000003</v>
      </c>
      <c r="N2171">
        <v>0</v>
      </c>
      <c r="O2171">
        <v>-0.66450540000000002</v>
      </c>
      <c r="P2171">
        <v>-0.65154579999999995</v>
      </c>
      <c r="Q2171">
        <v>0.15400220000000001</v>
      </c>
      <c r="R2171">
        <v>-0.74281319999999995</v>
      </c>
      <c r="S2171">
        <v>-2.8957519999999999</v>
      </c>
      <c r="T2171">
        <v>0.76659069999999996</v>
      </c>
      <c r="U2171">
        <v>-0.52131649999999996</v>
      </c>
      <c r="V2171">
        <v>-0.12765739999999901</v>
      </c>
      <c r="W2171">
        <v>0.16279950000000001</v>
      </c>
      <c r="X2171">
        <v>0.97836599999999996</v>
      </c>
      <c r="Y2171">
        <v>0.48751270000000002</v>
      </c>
      <c r="Z2171">
        <v>-0.2196467</v>
      </c>
      <c r="AA2171">
        <v>0.84503649999999997</v>
      </c>
      <c r="AB2171">
        <v>40</v>
      </c>
      <c r="AC2171">
        <v>-50.853200000000001</v>
      </c>
      <c r="AD2171">
        <v>32.453387999999997</v>
      </c>
      <c r="AE2171">
        <v>-13.959300000000001</v>
      </c>
      <c r="AF2171">
        <v>16.946276562966201</v>
      </c>
      <c r="AG2171">
        <v>32.453387999999997</v>
      </c>
      <c r="AH2171">
        <v>34.289414907563703</v>
      </c>
      <c r="AI2171">
        <v>49.685727101972503</v>
      </c>
      <c r="AJ2171">
        <v>63.700816272822202</v>
      </c>
      <c r="AK2171">
        <v>50.161366176870899</v>
      </c>
      <c r="AL2171">
        <v>80.630573828758102</v>
      </c>
      <c r="AM2171">
        <v>97.433967147366005</v>
      </c>
      <c r="AN2171">
        <v>1.0000000594655001</v>
      </c>
    </row>
    <row r="2172" spans="1:40" x14ac:dyDescent="0.3">
      <c r="A2172" t="str">
        <f>"20200111150846627"</f>
        <v>20200111150846627</v>
      </c>
      <c r="B2172" t="str">
        <f>"1578726526615385"</f>
        <v>1578726526615385</v>
      </c>
      <c r="C2172" t="s">
        <v>40</v>
      </c>
      <c r="D2172">
        <v>5.1131640000000003</v>
      </c>
      <c r="E2172">
        <v>0.42725400000000002</v>
      </c>
      <c r="F2172" t="s">
        <v>86</v>
      </c>
      <c r="G2172">
        <v>-415.4479</v>
      </c>
      <c r="H2172" s="1">
        <v>-1.7755899999999999E-6</v>
      </c>
      <c r="I2172">
        <v>121.1234</v>
      </c>
      <c r="J2172">
        <v>-410.7321</v>
      </c>
      <c r="K2172">
        <v>1.1223030000000001</v>
      </c>
      <c r="L2172">
        <v>130.96119999999999</v>
      </c>
      <c r="M2172">
        <v>-0.67579259999999997</v>
      </c>
      <c r="N2172">
        <v>0</v>
      </c>
      <c r="O2172">
        <v>-0.73697609999999902</v>
      </c>
      <c r="P2172">
        <v>-0.58522649999999998</v>
      </c>
      <c r="Q2172">
        <v>0.15501870000000001</v>
      </c>
      <c r="R2172">
        <v>-0.79591409999999996</v>
      </c>
      <c r="S2172">
        <v>-1.5706180000000001</v>
      </c>
      <c r="T2172">
        <v>-0.24915499999999999</v>
      </c>
      <c r="U2172">
        <v>-2.712723</v>
      </c>
      <c r="V2172">
        <v>-0.11178059999999999</v>
      </c>
      <c r="W2172">
        <v>0.1644111</v>
      </c>
      <c r="X2172">
        <v>0.98003779999999996</v>
      </c>
      <c r="Y2172">
        <v>-0.21649689999999999</v>
      </c>
      <c r="Z2172">
        <v>5.256777E-2</v>
      </c>
      <c r="AA2172">
        <v>0.97486700000000004</v>
      </c>
      <c r="AB2172">
        <v>40</v>
      </c>
      <c r="AC2172">
        <v>-4.7157999999999998</v>
      </c>
      <c r="AD2172">
        <v>-1.12230477559</v>
      </c>
      <c r="AE2172">
        <v>-9.8377999999999801</v>
      </c>
      <c r="AF2172">
        <v>-3.13992226168005</v>
      </c>
      <c r="AG2172">
        <v>-1.12230477559</v>
      </c>
      <c r="AH2172">
        <v>10.3287106054986</v>
      </c>
      <c r="AI2172">
        <v>95.935209461232205</v>
      </c>
      <c r="AJ2172">
        <v>106.909242549396</v>
      </c>
      <c r="AK2172">
        <v>10.853614263960401</v>
      </c>
      <c r="AL2172">
        <v>80.536974220464302</v>
      </c>
      <c r="AM2172">
        <v>96.506890745136104</v>
      </c>
      <c r="AN2172">
        <v>1.0000000008842</v>
      </c>
    </row>
    <row r="2173" spans="1:40" x14ac:dyDescent="0.3">
      <c r="A2173" t="str">
        <f>"20200111150846649"</f>
        <v>20200111150846649</v>
      </c>
      <c r="B2173" t="str">
        <f>"1578726526645641"</f>
        <v>1578726526645641</v>
      </c>
      <c r="C2173" t="s">
        <v>40</v>
      </c>
      <c r="D2173">
        <v>5.0675840000000001</v>
      </c>
      <c r="E2173">
        <v>0.43188510000000002</v>
      </c>
      <c r="F2173" t="s">
        <v>43</v>
      </c>
      <c r="G2173">
        <v>-417.60509999999999</v>
      </c>
      <c r="H2173" s="1">
        <v>-3.461752E-6</v>
      </c>
      <c r="I2173">
        <v>116.7119</v>
      </c>
      <c r="J2173">
        <v>-410.99279999999999</v>
      </c>
      <c r="K2173">
        <v>1.1222049999999999</v>
      </c>
      <c r="L2173">
        <v>130.66640000000001</v>
      </c>
      <c r="M2173">
        <v>-0.66747209999999901</v>
      </c>
      <c r="N2173">
        <v>0</v>
      </c>
      <c r="O2173">
        <v>-0.74452069999999904</v>
      </c>
      <c r="P2173">
        <v>-0.57788779999999995</v>
      </c>
      <c r="Q2173">
        <v>0.15512609999999999</v>
      </c>
      <c r="R2173">
        <v>-0.80123759999999999</v>
      </c>
      <c r="S2173">
        <v>-1.3574520000000001</v>
      </c>
      <c r="T2173">
        <v>-0.22166140000000001</v>
      </c>
      <c r="U2173">
        <v>-2.8143009999999999</v>
      </c>
      <c r="V2173">
        <v>-0.1097236</v>
      </c>
      <c r="W2173">
        <v>0.16459219999999999</v>
      </c>
      <c r="X2173">
        <v>0.98023979999999999</v>
      </c>
      <c r="Y2173">
        <v>-0.27833720000000001</v>
      </c>
      <c r="Z2173">
        <v>4.600597E-2</v>
      </c>
      <c r="AA2173">
        <v>0.95938100000000004</v>
      </c>
      <c r="AB2173">
        <v>40</v>
      </c>
      <c r="AC2173">
        <v>-6.6123000000000003</v>
      </c>
      <c r="AD2173">
        <v>-1.1222084617519901</v>
      </c>
      <c r="AE2173">
        <v>-13.954499999999999</v>
      </c>
      <c r="AF2173">
        <v>-4.36854630828247</v>
      </c>
      <c r="AG2173">
        <v>-1.1222084617519901</v>
      </c>
      <c r="AH2173">
        <v>14.726421657929601</v>
      </c>
      <c r="AI2173">
        <v>94.178435931417795</v>
      </c>
      <c r="AJ2173">
        <v>106.52282283133199</v>
      </c>
      <c r="AK2173">
        <v>15.401657168187301</v>
      </c>
      <c r="AL2173">
        <v>80.526454283345402</v>
      </c>
      <c r="AM2173">
        <v>96.386843638907706</v>
      </c>
      <c r="AN2173">
        <v>0.99999996310091899</v>
      </c>
    </row>
    <row r="2174" spans="1:40" x14ac:dyDescent="0.3">
      <c r="A2174" t="str">
        <f>"20200111150846671"</f>
        <v>20200111150846671</v>
      </c>
      <c r="B2174" t="str">
        <f>"1578726526666137"</f>
        <v>1578726526666137</v>
      </c>
      <c r="C2174" t="s">
        <v>40</v>
      </c>
      <c r="D2174">
        <v>5.1287859999999998</v>
      </c>
      <c r="E2174">
        <v>0.4330736</v>
      </c>
      <c r="F2174" t="s">
        <v>43</v>
      </c>
      <c r="G2174">
        <v>-417.81700000000001</v>
      </c>
      <c r="H2174" s="1">
        <v>-3.3807199999999901E-6</v>
      </c>
      <c r="I2174">
        <v>116.61069999999999</v>
      </c>
      <c r="J2174">
        <v>-411.25470000000001</v>
      </c>
      <c r="K2174">
        <v>1.122117</v>
      </c>
      <c r="L2174">
        <v>130.36330000000001</v>
      </c>
      <c r="M2174">
        <v>-0.65897139999999998</v>
      </c>
      <c r="N2174">
        <v>0</v>
      </c>
      <c r="O2174">
        <v>-0.75205549999999999</v>
      </c>
      <c r="P2174">
        <v>-0.56958120000000001</v>
      </c>
      <c r="Q2174">
        <v>0.15456819999999999</v>
      </c>
      <c r="R2174">
        <v>-0.80727079999999996</v>
      </c>
      <c r="S2174">
        <v>-1.3620000000000001</v>
      </c>
      <c r="T2174">
        <v>-0.22397500000000001</v>
      </c>
      <c r="U2174">
        <v>-2.8052980000000001</v>
      </c>
      <c r="V2174">
        <v>-0.1087277</v>
      </c>
      <c r="W2174">
        <v>0.16407430000000001</v>
      </c>
      <c r="X2174">
        <v>0.98043760000000002</v>
      </c>
      <c r="Y2174">
        <v>-0.26497340000000003</v>
      </c>
      <c r="Z2174">
        <v>4.7535300000000003E-2</v>
      </c>
      <c r="AA2174">
        <v>0.96308329999999998</v>
      </c>
      <c r="AB2174">
        <v>40</v>
      </c>
      <c r="AC2174">
        <v>-6.5622999999999303</v>
      </c>
      <c r="AD2174">
        <v>-1.12212038072</v>
      </c>
      <c r="AE2174">
        <v>-13.752599999999999</v>
      </c>
      <c r="AF2174">
        <v>-4.1054426728704803</v>
      </c>
      <c r="AG2174">
        <v>-1.12212038072</v>
      </c>
      <c r="AH2174">
        <v>14.5892137345996</v>
      </c>
      <c r="AI2174">
        <v>94.234382383682998</v>
      </c>
      <c r="AJ2174">
        <v>105.716739913891</v>
      </c>
      <c r="AK2174">
        <v>15.1973343413535</v>
      </c>
      <c r="AL2174">
        <v>80.5565369818313</v>
      </c>
      <c r="AM2174">
        <v>96.328079839158605</v>
      </c>
      <c r="AN2174">
        <v>0.99999998808076995</v>
      </c>
    </row>
    <row r="2175" spans="1:40" x14ac:dyDescent="0.3">
      <c r="A2175" t="str">
        <f>"20200111150846694"</f>
        <v>20200111150846694</v>
      </c>
      <c r="B2175" t="str">
        <f>"1578726526685658"</f>
        <v>1578726526685658</v>
      </c>
      <c r="C2175" t="s">
        <v>40</v>
      </c>
      <c r="D2175">
        <v>5.1155489999999997</v>
      </c>
      <c r="E2175">
        <v>0.43383670000000002</v>
      </c>
      <c r="F2175" t="s">
        <v>43</v>
      </c>
      <c r="G2175">
        <v>-417.86419999999998</v>
      </c>
      <c r="H2175" s="1">
        <v>-3.3229949999999999E-6</v>
      </c>
      <c r="I2175">
        <v>116.4956</v>
      </c>
      <c r="J2175">
        <v>-411.51749999999998</v>
      </c>
      <c r="K2175">
        <v>1.1220300000000001</v>
      </c>
      <c r="L2175">
        <v>130.0522</v>
      </c>
      <c r="M2175">
        <v>-0.65028450000000004</v>
      </c>
      <c r="N2175">
        <v>0</v>
      </c>
      <c r="O2175">
        <v>-0.75957959999999902</v>
      </c>
      <c r="P2175">
        <v>-0.5606217</v>
      </c>
      <c r="Q2175">
        <v>0.1525379</v>
      </c>
      <c r="R2175">
        <v>-0.81390119999999999</v>
      </c>
      <c r="S2175">
        <v>-1.3410029999999999</v>
      </c>
      <c r="T2175">
        <v>-0.22766800000000001</v>
      </c>
      <c r="U2175">
        <v>-2.8136290000000002</v>
      </c>
      <c r="V2175">
        <v>-0.1084509</v>
      </c>
      <c r="W2175">
        <v>0.1620636</v>
      </c>
      <c r="X2175">
        <v>0.98080259999999997</v>
      </c>
      <c r="Y2175">
        <v>-0.26088359999999999</v>
      </c>
      <c r="Z2175">
        <v>4.9075760000000003E-2</v>
      </c>
      <c r="AA2175">
        <v>0.96412209999999998</v>
      </c>
      <c r="AB2175">
        <v>40</v>
      </c>
      <c r="AC2175">
        <v>-6.3466999999999896</v>
      </c>
      <c r="AD2175">
        <v>-1.1220333229949999</v>
      </c>
      <c r="AE2175">
        <v>-13.5566</v>
      </c>
      <c r="AF2175">
        <v>-3.9728378446988</v>
      </c>
      <c r="AG2175">
        <v>-1.1220333229949999</v>
      </c>
      <c r="AH2175">
        <v>14.3450935854876</v>
      </c>
      <c r="AI2175">
        <v>94.310792407686094</v>
      </c>
      <c r="AJ2175">
        <v>105.479937973745</v>
      </c>
      <c r="AK2175">
        <v>14.927294104913299</v>
      </c>
      <c r="AL2175">
        <v>80.673304470195504</v>
      </c>
      <c r="AM2175">
        <v>96.309769889514101</v>
      </c>
      <c r="AN2175">
        <v>0.99999997416126396</v>
      </c>
    </row>
    <row r="2176" spans="1:40" x14ac:dyDescent="0.3">
      <c r="A2176" t="str">
        <f>"20200111150846715"</f>
        <v>20200111150846715</v>
      </c>
      <c r="B2176" t="str">
        <f>"1578726526706153"</f>
        <v>1578726526706153</v>
      </c>
      <c r="C2176" t="s">
        <v>40</v>
      </c>
      <c r="D2176">
        <v>5.0930549999999997</v>
      </c>
      <c r="E2176">
        <v>0.43461830000000001</v>
      </c>
      <c r="F2176" t="s">
        <v>43</v>
      </c>
      <c r="G2176">
        <v>-417.86520000000002</v>
      </c>
      <c r="H2176" s="1">
        <v>-3.2835150000000002E-6</v>
      </c>
      <c r="I2176">
        <v>116.404</v>
      </c>
      <c r="J2176">
        <v>-411.76069999999999</v>
      </c>
      <c r="K2176">
        <v>1.121956</v>
      </c>
      <c r="L2176">
        <v>129.7576</v>
      </c>
      <c r="M2176">
        <v>-0.6420882</v>
      </c>
      <c r="N2176">
        <v>0</v>
      </c>
      <c r="O2176">
        <v>-0.76652069999999894</v>
      </c>
      <c r="P2176">
        <v>-0.55210959999999998</v>
      </c>
      <c r="Q2176">
        <v>0.15011289999999999</v>
      </c>
      <c r="R2176">
        <v>-0.82014699999999996</v>
      </c>
      <c r="S2176">
        <v>-1.31369</v>
      </c>
      <c r="T2176">
        <v>-0.23221169999999999</v>
      </c>
      <c r="U2176">
        <v>-2.82457</v>
      </c>
      <c r="V2176">
        <v>-0.108321</v>
      </c>
      <c r="W2176">
        <v>0.1596545</v>
      </c>
      <c r="X2176">
        <v>0.98121199999999997</v>
      </c>
      <c r="Y2176">
        <v>-0.25963829999999999</v>
      </c>
      <c r="Z2176">
        <v>5.0706429999999997E-2</v>
      </c>
      <c r="AA2176">
        <v>0.96437379999999995</v>
      </c>
      <c r="AB2176">
        <v>40</v>
      </c>
      <c r="AC2176">
        <v>-6.10450000000003</v>
      </c>
      <c r="AD2176">
        <v>-1.1219592835149901</v>
      </c>
      <c r="AE2176">
        <v>-13.3536</v>
      </c>
      <c r="AF2176">
        <v>-3.8726794924269101</v>
      </c>
      <c r="AG2176">
        <v>-1.1219592835149901</v>
      </c>
      <c r="AH2176">
        <v>14.0744520796339</v>
      </c>
      <c r="AI2176">
        <v>94.395086092155694</v>
      </c>
      <c r="AJ2176">
        <v>105.384596800067</v>
      </c>
      <c r="AK2176">
        <v>14.640581970223799</v>
      </c>
      <c r="AL2176">
        <v>80.813157199486</v>
      </c>
      <c r="AM2176">
        <v>96.299664631832997</v>
      </c>
      <c r="AN2176">
        <v>0.99999999367762404</v>
      </c>
    </row>
    <row r="2177" spans="1:40" x14ac:dyDescent="0.3">
      <c r="A2177" t="str">
        <f>"20200111150846738"</f>
        <v>20200111150846738</v>
      </c>
      <c r="B2177" t="str">
        <f>"1578726526735437"</f>
        <v>1578726526735437</v>
      </c>
      <c r="C2177" t="s">
        <v>40</v>
      </c>
      <c r="D2177">
        <v>5.2834890000000003</v>
      </c>
      <c r="E2177">
        <v>0.43647459999999999</v>
      </c>
      <c r="F2177" t="s">
        <v>43</v>
      </c>
      <c r="G2177">
        <v>-417.72300000000001</v>
      </c>
      <c r="H2177" s="1">
        <v>-3.4110110000000001E-6</v>
      </c>
      <c r="I2177">
        <v>116.64239999999999</v>
      </c>
      <c r="J2177">
        <v>-412.00670000000002</v>
      </c>
      <c r="K2177">
        <v>1.1218870000000001</v>
      </c>
      <c r="L2177">
        <v>129.4529</v>
      </c>
      <c r="M2177">
        <v>-0.63363130000000001</v>
      </c>
      <c r="N2177">
        <v>0</v>
      </c>
      <c r="O2177">
        <v>-0.77352609999999999</v>
      </c>
      <c r="P2177">
        <v>-0.54364559999999995</v>
      </c>
      <c r="Q2177">
        <v>0.14880380000000001</v>
      </c>
      <c r="R2177">
        <v>-0.82601859999999905</v>
      </c>
      <c r="S2177">
        <v>-1.2886959999999901</v>
      </c>
      <c r="T2177">
        <v>-0.2425023</v>
      </c>
      <c r="U2177">
        <v>-2.8347319999999998</v>
      </c>
      <c r="V2177">
        <v>-0.10771790000000001</v>
      </c>
      <c r="W2177">
        <v>0.1583745</v>
      </c>
      <c r="X2177">
        <v>0.98148579999999996</v>
      </c>
      <c r="Y2177">
        <v>-0.2574497</v>
      </c>
      <c r="Z2177">
        <v>5.3650049999999998E-2</v>
      </c>
      <c r="AA2177">
        <v>0.96480120000000003</v>
      </c>
      <c r="AB2177">
        <v>40</v>
      </c>
      <c r="AC2177">
        <v>-5.7162999999999897</v>
      </c>
      <c r="AD2177">
        <v>-1.121890411011</v>
      </c>
      <c r="AE2177">
        <v>-12.810499999999999</v>
      </c>
      <c r="AF2177">
        <v>-3.6722506226195399</v>
      </c>
      <c r="AG2177">
        <v>-1.121890411011</v>
      </c>
      <c r="AH2177">
        <v>13.4464211433403</v>
      </c>
      <c r="AI2177">
        <v>94.601620565192803</v>
      </c>
      <c r="AJ2177">
        <v>105.275124937789</v>
      </c>
      <c r="AK2177">
        <v>13.9839302162775</v>
      </c>
      <c r="AL2177">
        <v>80.887441047322696</v>
      </c>
      <c r="AM2177">
        <v>96.263135801184106</v>
      </c>
      <c r="AN2177">
        <v>1.0000000019161499</v>
      </c>
    </row>
    <row r="2178" spans="1:40" x14ac:dyDescent="0.3">
      <c r="A2178" t="str">
        <f>"20200111150846760"</f>
        <v>20200111150846760</v>
      </c>
      <c r="B2178" t="str">
        <f>"1578726526755932"</f>
        <v>1578726526755932</v>
      </c>
      <c r="C2178" t="s">
        <v>40</v>
      </c>
      <c r="D2178">
        <v>5.0820059999999998</v>
      </c>
      <c r="E2178">
        <v>0.4374441</v>
      </c>
      <c r="F2178" t="s">
        <v>43</v>
      </c>
      <c r="G2178">
        <v>-417.7987</v>
      </c>
      <c r="H2178" s="1">
        <v>-3.341089E-6</v>
      </c>
      <c r="I2178">
        <v>116.5107</v>
      </c>
      <c r="J2178">
        <v>-412.25400000000002</v>
      </c>
      <c r="K2178">
        <v>1.1218239999999999</v>
      </c>
      <c r="L2178">
        <v>129.13929999999999</v>
      </c>
      <c r="M2178">
        <v>-0.62494439999999996</v>
      </c>
      <c r="N2178">
        <v>0</v>
      </c>
      <c r="O2178">
        <v>-0.78056150000000002</v>
      </c>
      <c r="P2178">
        <v>-0.53508500000000003</v>
      </c>
      <c r="Q2178">
        <v>0.14806529999999901</v>
      </c>
      <c r="R2178">
        <v>-0.83172169999999901</v>
      </c>
      <c r="S2178">
        <v>-1.270905</v>
      </c>
      <c r="T2178">
        <v>-0.24616930000000001</v>
      </c>
      <c r="U2178">
        <v>-2.8398129999999999</v>
      </c>
      <c r="V2178">
        <v>-0.1069153</v>
      </c>
      <c r="W2178">
        <v>0.15767049999999999</v>
      </c>
      <c r="X2178">
        <v>0.98168690000000003</v>
      </c>
      <c r="Y2178">
        <v>-0.2523569</v>
      </c>
      <c r="Z2178">
        <v>5.5280129999999997E-2</v>
      </c>
      <c r="AA2178">
        <v>0.96605379999999996</v>
      </c>
      <c r="AB2178">
        <v>40</v>
      </c>
      <c r="AC2178">
        <v>-5.5446999999999704</v>
      </c>
      <c r="AD2178">
        <v>-1.1218273410889901</v>
      </c>
      <c r="AE2178">
        <v>-12.628599999999899</v>
      </c>
      <c r="AF2178">
        <v>-3.5410662919631499</v>
      </c>
      <c r="AG2178">
        <v>-1.1218273410889901</v>
      </c>
      <c r="AH2178">
        <v>13.236081438546099</v>
      </c>
      <c r="AI2178">
        <v>94.680698790735306</v>
      </c>
      <c r="AJ2178">
        <v>104.97765898279</v>
      </c>
      <c r="AK2178">
        <v>13.7474178999228</v>
      </c>
      <c r="AL2178">
        <v>80.928290684139</v>
      </c>
      <c r="AM2178">
        <v>96.215572736762894</v>
      </c>
      <c r="AN2178">
        <v>1.0000000187879701</v>
      </c>
    </row>
    <row r="2179" spans="1:40" x14ac:dyDescent="0.3">
      <c r="A2179" t="str">
        <f>"20200111150846784"</f>
        <v>20200111150846784</v>
      </c>
      <c r="B2179" t="str">
        <f>"1578726526775452"</f>
        <v>1578726526775452</v>
      </c>
      <c r="C2179" t="s">
        <v>40</v>
      </c>
      <c r="D2179">
        <v>5.1655110000000004</v>
      </c>
      <c r="E2179">
        <v>0.4383166</v>
      </c>
      <c r="F2179" t="s">
        <v>43</v>
      </c>
      <c r="G2179">
        <v>-417.79020000000003</v>
      </c>
      <c r="H2179" s="1">
        <v>-3.336616E-6</v>
      </c>
      <c r="I2179">
        <v>116.49679999999999</v>
      </c>
      <c r="J2179">
        <v>-412.5077</v>
      </c>
      <c r="K2179">
        <v>1.121761</v>
      </c>
      <c r="L2179">
        <v>128.80940000000001</v>
      </c>
      <c r="M2179">
        <v>-0.61582199999999998</v>
      </c>
      <c r="N2179">
        <v>0</v>
      </c>
      <c r="O2179">
        <v>-0.78777889999999995</v>
      </c>
      <c r="P2179">
        <v>-0.52599839999999998</v>
      </c>
      <c r="Q2179">
        <v>0.14735490000000001</v>
      </c>
      <c r="R2179">
        <v>-0.83762309999999995</v>
      </c>
      <c r="S2179">
        <v>-1.247711</v>
      </c>
      <c r="T2179">
        <v>-0.25282909999999997</v>
      </c>
      <c r="U2179">
        <v>-2.8492739999999999</v>
      </c>
      <c r="V2179">
        <v>-0.1062116</v>
      </c>
      <c r="W2179">
        <v>0.15699199999999999</v>
      </c>
      <c r="X2179">
        <v>0.98187199999999997</v>
      </c>
      <c r="Y2179">
        <v>-0.2489295</v>
      </c>
      <c r="Z2179">
        <v>5.7549740000000002E-2</v>
      </c>
      <c r="AA2179">
        <v>0.96681030000000001</v>
      </c>
      <c r="AB2179">
        <v>40</v>
      </c>
      <c r="AC2179">
        <v>-5.2825000000000202</v>
      </c>
      <c r="AD2179">
        <v>-1.1217643366159999</v>
      </c>
      <c r="AE2179">
        <v>-12.3126</v>
      </c>
      <c r="AF2179">
        <v>-3.3973984959375501</v>
      </c>
      <c r="AG2179">
        <v>-1.1217643366159999</v>
      </c>
      <c r="AH2179">
        <v>12.8635965640807</v>
      </c>
      <c r="AI2179">
        <v>94.819411149661093</v>
      </c>
      <c r="AJ2179">
        <v>104.79454439726101</v>
      </c>
      <c r="AK2179">
        <v>13.3518833252291</v>
      </c>
      <c r="AL2179">
        <v>80.967656036044502</v>
      </c>
      <c r="AM2179">
        <v>96.173824778761698</v>
      </c>
      <c r="AN2179">
        <v>1.0000000082112701</v>
      </c>
    </row>
    <row r="2180" spans="1:40" x14ac:dyDescent="0.3">
      <c r="A2180" t="str">
        <f>"20200111150846805"</f>
        <v>20200111150846805</v>
      </c>
      <c r="B2180" t="str">
        <f>"1578726526795945"</f>
        <v>1578726526795945</v>
      </c>
      <c r="C2180" t="s">
        <v>40</v>
      </c>
      <c r="D2180">
        <v>4.2597610000000001</v>
      </c>
      <c r="E2180">
        <v>0.43874429999999998</v>
      </c>
      <c r="F2180" t="s">
        <v>43</v>
      </c>
      <c r="G2180">
        <v>-417.8322</v>
      </c>
      <c r="H2180" s="1">
        <v>-3.2695549999999998E-6</v>
      </c>
      <c r="I2180">
        <v>116.3578</v>
      </c>
      <c r="J2180">
        <v>-412.73320000000001</v>
      </c>
      <c r="K2180">
        <v>1.1217010000000001</v>
      </c>
      <c r="L2180">
        <v>128.50960000000001</v>
      </c>
      <c r="M2180">
        <v>-0.60753369999999995</v>
      </c>
      <c r="N2180">
        <v>0</v>
      </c>
      <c r="O2180">
        <v>-0.79418829999999996</v>
      </c>
      <c r="P2180">
        <v>-0.51786769999999904</v>
      </c>
      <c r="Q2180">
        <v>0.1461557</v>
      </c>
      <c r="R2180">
        <v>-0.84288299999999905</v>
      </c>
      <c r="S2180">
        <v>-1.222626</v>
      </c>
      <c r="T2180">
        <v>-0.25758059999999999</v>
      </c>
      <c r="U2180">
        <v>-2.859146</v>
      </c>
      <c r="V2180">
        <v>-0.1054939</v>
      </c>
      <c r="W2180">
        <v>0.1558244</v>
      </c>
      <c r="X2180">
        <v>0.98213530000000004</v>
      </c>
      <c r="Y2180">
        <v>-0.2471981</v>
      </c>
      <c r="Z2180">
        <v>5.9302729999999998E-2</v>
      </c>
      <c r="AA2180">
        <v>0.96714849999999997</v>
      </c>
      <c r="AB2180">
        <v>40</v>
      </c>
      <c r="AC2180">
        <v>-5.0989999999999798</v>
      </c>
      <c r="AD2180">
        <v>-1.1217042695549999</v>
      </c>
      <c r="AE2180">
        <v>-12.1518</v>
      </c>
      <c r="AF2180">
        <v>-3.3093649265177398</v>
      </c>
      <c r="AG2180">
        <v>-1.1217042695549999</v>
      </c>
      <c r="AH2180">
        <v>12.657993242090001</v>
      </c>
      <c r="AI2180">
        <v>94.900247166315694</v>
      </c>
      <c r="AJ2180">
        <v>104.651721448019</v>
      </c>
      <c r="AK2180">
        <v>13.1314473536621</v>
      </c>
      <c r="AL2180">
        <v>81.035387923743201</v>
      </c>
      <c r="AM2180">
        <v>96.130794032923504</v>
      </c>
      <c r="AN2180">
        <v>0.99999997703932897</v>
      </c>
    </row>
    <row r="2181" spans="1:40" x14ac:dyDescent="0.3">
      <c r="A2181" t="str">
        <f>"20200111150846828"</f>
        <v>20200111150846828</v>
      </c>
      <c r="B2181" t="str">
        <f>"1578726526815465"</f>
        <v>1578726526815465</v>
      </c>
      <c r="C2181" t="s">
        <v>40</v>
      </c>
      <c r="D2181">
        <v>5.1714969999999996</v>
      </c>
      <c r="E2181">
        <v>0.43948700000000002</v>
      </c>
      <c r="F2181" t="s">
        <v>43</v>
      </c>
      <c r="G2181">
        <v>-417.86470000000003</v>
      </c>
      <c r="H2181" s="1">
        <v>-3.197964E-6</v>
      </c>
      <c r="I2181">
        <v>116.20440000000001</v>
      </c>
      <c r="J2181">
        <v>-412.96699999999998</v>
      </c>
      <c r="K2181">
        <v>1.1216459999999999</v>
      </c>
      <c r="L2181">
        <v>128.1917</v>
      </c>
      <c r="M2181">
        <v>-0.59874949999999905</v>
      </c>
      <c r="N2181">
        <v>0</v>
      </c>
      <c r="O2181">
        <v>-0.80083190000000004</v>
      </c>
      <c r="P2181">
        <v>-0.50880340000000002</v>
      </c>
      <c r="Q2181">
        <v>0.14656749999999999</v>
      </c>
      <c r="R2181">
        <v>-0.84831449999999997</v>
      </c>
      <c r="S2181">
        <v>-1.196564</v>
      </c>
      <c r="T2181">
        <v>-0.26156069999999998</v>
      </c>
      <c r="U2181">
        <v>-2.869354</v>
      </c>
      <c r="V2181">
        <v>-0.1051523</v>
      </c>
      <c r="W2181">
        <v>0.15625259999999999</v>
      </c>
      <c r="X2181">
        <v>0.98210390000000003</v>
      </c>
      <c r="Y2181">
        <v>-0.24526619999999999</v>
      </c>
      <c r="Z2181">
        <v>6.0927410000000001E-2</v>
      </c>
      <c r="AA2181">
        <v>0.96753929999999999</v>
      </c>
      <c r="AB2181">
        <v>40</v>
      </c>
      <c r="AC2181">
        <v>-4.8977000000000404</v>
      </c>
      <c r="AD2181">
        <v>-1.121649197964</v>
      </c>
      <c r="AE2181">
        <v>-11.9872999999999</v>
      </c>
      <c r="AF2181">
        <v>-3.2311847667007698</v>
      </c>
      <c r="AG2181">
        <v>-1.121649197964</v>
      </c>
      <c r="AH2181">
        <v>12.440020698236699</v>
      </c>
      <c r="AI2181">
        <v>94.987498549715497</v>
      </c>
      <c r="AJ2181">
        <v>104.56032117956001</v>
      </c>
      <c r="AK2181">
        <v>12.9016575250008</v>
      </c>
      <c r="AL2181">
        <v>81.010549613960094</v>
      </c>
      <c r="AM2181">
        <v>96.111286261862006</v>
      </c>
      <c r="AN2181">
        <v>0.99999997579862898</v>
      </c>
    </row>
    <row r="2182" spans="1:40" x14ac:dyDescent="0.3">
      <c r="A2182" t="str">
        <f>"20200111150846850"</f>
        <v>20200111150846850</v>
      </c>
      <c r="B2182" t="str">
        <f>"1578726526845721"</f>
        <v>1578726526845721</v>
      </c>
      <c r="C2182" t="s">
        <v>40</v>
      </c>
      <c r="D2182">
        <v>5.0049630000000001</v>
      </c>
      <c r="E2182">
        <v>0.40423100000000001</v>
      </c>
      <c r="F2182" t="s">
        <v>43</v>
      </c>
      <c r="G2182">
        <v>-417.99470000000002</v>
      </c>
      <c r="H2182" s="1">
        <v>-3.0163639999999999E-6</v>
      </c>
      <c r="I2182">
        <v>115.8348</v>
      </c>
      <c r="J2182">
        <v>-413.19810000000001</v>
      </c>
      <c r="K2182">
        <v>1.121602</v>
      </c>
      <c r="L2182">
        <v>127.87009999999999</v>
      </c>
      <c r="M2182">
        <v>-0.58986470000000002</v>
      </c>
      <c r="N2182">
        <v>0</v>
      </c>
      <c r="O2182">
        <v>-0.80739839999999996</v>
      </c>
      <c r="P2182">
        <v>-0.4993919</v>
      </c>
      <c r="Q2182">
        <v>0.1459336</v>
      </c>
      <c r="R2182">
        <v>-0.85399729999999996</v>
      </c>
      <c r="S2182">
        <v>-1.171387</v>
      </c>
      <c r="T2182">
        <v>-0.26133020000000001</v>
      </c>
      <c r="U2182">
        <v>-2.8789980000000002</v>
      </c>
      <c r="V2182">
        <v>-0.1051887</v>
      </c>
      <c r="W2182">
        <v>0.15562429999999999</v>
      </c>
      <c r="X2182">
        <v>0.98219979999999996</v>
      </c>
      <c r="Y2182">
        <v>-0.242954</v>
      </c>
      <c r="Z2182">
        <v>6.1589169999999999E-2</v>
      </c>
      <c r="AA2182">
        <v>0.96808059999999996</v>
      </c>
      <c r="AB2182">
        <v>40</v>
      </c>
      <c r="AC2182">
        <v>-4.7966000000000104</v>
      </c>
      <c r="AD2182">
        <v>-1.1216050163639999</v>
      </c>
      <c r="AE2182">
        <v>-12.0352999999999</v>
      </c>
      <c r="AF2182">
        <v>-3.20269896753266</v>
      </c>
      <c r="AG2182">
        <v>-1.1216050163639999</v>
      </c>
      <c r="AH2182">
        <v>12.4543384241785</v>
      </c>
      <c r="AI2182">
        <v>94.984704465122405</v>
      </c>
      <c r="AJ2182">
        <v>104.421441114842</v>
      </c>
      <c r="AK2182">
        <v>12.9083625635994</v>
      </c>
      <c r="AL2182">
        <v>81.046994756006896</v>
      </c>
      <c r="AM2182">
        <v>96.112793376414402</v>
      </c>
      <c r="AN2182">
        <v>1.0000000162391001</v>
      </c>
    </row>
    <row r="2183" spans="1:40" x14ac:dyDescent="0.3">
      <c r="A2183" t="str">
        <f>"20200111150846873"</f>
        <v>20200111150846873</v>
      </c>
      <c r="B2183" t="str">
        <f>"1578726526865241"</f>
        <v>1578726526865241</v>
      </c>
      <c r="C2183" t="s">
        <v>40</v>
      </c>
      <c r="D2183">
        <v>5.2301169999999999</v>
      </c>
      <c r="E2183">
        <v>0.3949474</v>
      </c>
      <c r="F2183" t="s">
        <v>80</v>
      </c>
      <c r="G2183">
        <v>-442.33499999999998</v>
      </c>
      <c r="H2183">
        <v>29.799790000000002</v>
      </c>
      <c r="I2183">
        <v>23.338760000000001</v>
      </c>
      <c r="J2183">
        <v>-413.4323</v>
      </c>
      <c r="K2183">
        <v>1.1215649999999999</v>
      </c>
      <c r="L2183">
        <v>127.5365</v>
      </c>
      <c r="M2183">
        <v>-0.58065169999999999</v>
      </c>
      <c r="N2183">
        <v>0</v>
      </c>
      <c r="O2183">
        <v>-0.81404929999999998</v>
      </c>
      <c r="P2183">
        <v>-0.49024600000000002</v>
      </c>
      <c r="Q2183">
        <v>0.1457581</v>
      </c>
      <c r="R2183">
        <v>-0.85930969999999995</v>
      </c>
      <c r="S2183">
        <v>-0.8093262</v>
      </c>
      <c r="T2183">
        <v>0.79658099999999998</v>
      </c>
      <c r="U2183">
        <v>-2.9035190000000002</v>
      </c>
      <c r="V2183">
        <v>-0.1045083</v>
      </c>
      <c r="W2183">
        <v>0.1554749</v>
      </c>
      <c r="X2183">
        <v>0.98229599999999995</v>
      </c>
      <c r="Y2183">
        <v>-0.34563860000000002</v>
      </c>
      <c r="Z2183">
        <v>-0.18240219999999999</v>
      </c>
      <c r="AA2183">
        <v>0.92046919999999999</v>
      </c>
      <c r="AB2183">
        <v>40</v>
      </c>
      <c r="AC2183">
        <v>-28.9026999999999</v>
      </c>
      <c r="AD2183">
        <v>28.678225000000001</v>
      </c>
      <c r="AE2183">
        <v>-104.19774</v>
      </c>
      <c r="AF2183">
        <v>-34.547435987076902</v>
      </c>
      <c r="AG2183">
        <v>28.678225000000001</v>
      </c>
      <c r="AH2183">
        <v>94.935349178449897</v>
      </c>
      <c r="AI2183">
        <v>74.152354749036206</v>
      </c>
      <c r="AJ2183">
        <v>109.99669297279701</v>
      </c>
      <c r="AK2183">
        <v>105.017553037889</v>
      </c>
      <c r="AL2183">
        <v>81.055659447092793</v>
      </c>
      <c r="AM2183">
        <v>96.072959657817094</v>
      </c>
      <c r="AN2183">
        <v>0.99999993045744695</v>
      </c>
    </row>
    <row r="2184" spans="1:40" x14ac:dyDescent="0.3">
      <c r="A2184" t="str">
        <f>"20200111150846894"</f>
        <v>20200111150846894</v>
      </c>
      <c r="B2184" t="str">
        <f>"1578726526885737"</f>
        <v>1578726526885737</v>
      </c>
      <c r="C2184" t="s">
        <v>40</v>
      </c>
      <c r="D2184">
        <v>5.1023139999999998</v>
      </c>
      <c r="E2184">
        <v>0.4606789</v>
      </c>
      <c r="F2184" t="s">
        <v>80</v>
      </c>
      <c r="G2184">
        <v>-442.2226</v>
      </c>
      <c r="H2184">
        <v>32.974330000000002</v>
      </c>
      <c r="I2184">
        <v>8.8460029999999996</v>
      </c>
      <c r="J2184">
        <v>-413.65609999999998</v>
      </c>
      <c r="K2184">
        <v>1.1215310000000001</v>
      </c>
      <c r="L2184">
        <v>127.21</v>
      </c>
      <c r="M2184">
        <v>-0.57163520000000001</v>
      </c>
      <c r="N2184">
        <v>0</v>
      </c>
      <c r="O2184">
        <v>-0.82040569999999902</v>
      </c>
      <c r="P2184">
        <v>-0.48131309999999999</v>
      </c>
      <c r="Q2184">
        <v>0.1457705</v>
      </c>
      <c r="R2184">
        <v>-0.86434270000000002</v>
      </c>
      <c r="S2184">
        <v>-0.71530150000000003</v>
      </c>
      <c r="T2184">
        <v>0.79138649999999999</v>
      </c>
      <c r="U2184">
        <v>-2.9488829999999999</v>
      </c>
      <c r="V2184">
        <v>-0.1038369</v>
      </c>
      <c r="W2184">
        <v>0.1555117</v>
      </c>
      <c r="X2184">
        <v>0.98236140000000005</v>
      </c>
      <c r="Y2184">
        <v>-0.366145</v>
      </c>
      <c r="Z2184">
        <v>-0.18047530000000001</v>
      </c>
      <c r="AA2184">
        <v>0.91288910000000001</v>
      </c>
      <c r="AB2184">
        <v>40</v>
      </c>
      <c r="AC2184">
        <v>-28.566500000000001</v>
      </c>
      <c r="AD2184">
        <v>31.852798999999901</v>
      </c>
      <c r="AE2184">
        <v>-118.363997</v>
      </c>
      <c r="AF2184">
        <v>-41.395758825800698</v>
      </c>
      <c r="AG2184">
        <v>31.852798999999901</v>
      </c>
      <c r="AH2184">
        <v>106.179397448835</v>
      </c>
      <c r="AI2184">
        <v>74.384318365572199</v>
      </c>
      <c r="AJ2184">
        <v>111.29912952036899</v>
      </c>
      <c r="AK2184">
        <v>118.331205079201</v>
      </c>
      <c r="AL2184">
        <v>81.0535252260715</v>
      </c>
      <c r="AM2184">
        <v>96.033834731699201</v>
      </c>
      <c r="AN2184">
        <v>0.99999995542422904</v>
      </c>
    </row>
    <row r="2185" spans="1:40" x14ac:dyDescent="0.3">
      <c r="A2185" t="str">
        <f>"20200111150846916"</f>
        <v>20200111150846916</v>
      </c>
      <c r="B2185" t="str">
        <f>"1578726526905258"</f>
        <v>1578726526905258</v>
      </c>
      <c r="C2185" t="s">
        <v>40</v>
      </c>
      <c r="D2185">
        <v>5.0682489999999998</v>
      </c>
      <c r="E2185">
        <v>0.46055220000000002</v>
      </c>
      <c r="F2185" t="s">
        <v>43</v>
      </c>
      <c r="G2185">
        <v>-417.71</v>
      </c>
      <c r="H2185" s="1">
        <v>-3.9252250000000002E-6</v>
      </c>
      <c r="I2185">
        <v>117.8357</v>
      </c>
      <c r="J2185">
        <v>-413.8689</v>
      </c>
      <c r="K2185">
        <v>1.1215079999999999</v>
      </c>
      <c r="L2185">
        <v>126.89230000000001</v>
      </c>
      <c r="M2185">
        <v>-0.56286179999999997</v>
      </c>
      <c r="N2185">
        <v>0</v>
      </c>
      <c r="O2185">
        <v>-0.82645000000000002</v>
      </c>
      <c r="P2185">
        <v>-0.47226020000000002</v>
      </c>
      <c r="Q2185">
        <v>0.14554239999999999</v>
      </c>
      <c r="R2185">
        <v>-0.86936059999999904</v>
      </c>
      <c r="S2185">
        <v>-1.2296450000000001</v>
      </c>
      <c r="T2185">
        <v>-0.34019240000000001</v>
      </c>
      <c r="U2185">
        <v>-2.8434910000000002</v>
      </c>
      <c r="V2185">
        <v>-0.1036335</v>
      </c>
      <c r="W2185">
        <v>0.1552926</v>
      </c>
      <c r="X2185">
        <v>0.9824176</v>
      </c>
      <c r="Y2185">
        <v>-0.19028539999999999</v>
      </c>
      <c r="Z2185">
        <v>8.4389459999999999E-2</v>
      </c>
      <c r="AA2185">
        <v>0.9780951</v>
      </c>
      <c r="AB2185">
        <v>40</v>
      </c>
      <c r="AC2185">
        <v>-3.84109999999998</v>
      </c>
      <c r="AD2185">
        <v>-1.1215119252250001</v>
      </c>
      <c r="AE2185">
        <v>-9.0565999999999995</v>
      </c>
      <c r="AF2185">
        <v>-1.8986214771451499</v>
      </c>
      <c r="AG2185">
        <v>-1.1215119252250001</v>
      </c>
      <c r="AH2185">
        <v>9.52386040847286</v>
      </c>
      <c r="AI2185">
        <v>96.587657964351095</v>
      </c>
      <c r="AJ2185">
        <v>101.27434903152199</v>
      </c>
      <c r="AK2185">
        <v>9.7758104314668195</v>
      </c>
      <c r="AL2185">
        <v>81.066233674312997</v>
      </c>
      <c r="AM2185">
        <v>96.021760378400103</v>
      </c>
      <c r="AN2185">
        <v>1.0000000173633801</v>
      </c>
    </row>
    <row r="2186" spans="1:40" x14ac:dyDescent="0.3">
      <c r="A2186" t="str">
        <f>"20200111150846939"</f>
        <v>20200111150846939</v>
      </c>
      <c r="B2186" t="str">
        <f>"1578726526935513"</f>
        <v>1578726526935513</v>
      </c>
      <c r="C2186" t="s">
        <v>40</v>
      </c>
      <c r="D2186">
        <v>5.1262369999999997</v>
      </c>
      <c r="E2186">
        <v>0.46093220000000001</v>
      </c>
      <c r="F2186" t="s">
        <v>43</v>
      </c>
      <c r="G2186">
        <v>-417.76</v>
      </c>
      <c r="H2186" s="1">
        <v>-3.831427E-6</v>
      </c>
      <c r="I2186">
        <v>117.6377</v>
      </c>
      <c r="J2186">
        <v>-414.09109999999998</v>
      </c>
      <c r="K2186">
        <v>1.1214850000000001</v>
      </c>
      <c r="L2186">
        <v>126.5527</v>
      </c>
      <c r="M2186">
        <v>-0.55348560000000002</v>
      </c>
      <c r="N2186">
        <v>0</v>
      </c>
      <c r="O2186">
        <v>-0.83275840000000001</v>
      </c>
      <c r="P2186">
        <v>-0.46280149999999998</v>
      </c>
      <c r="Q2186">
        <v>0.14551339999999999</v>
      </c>
      <c r="R2186">
        <v>-0.87443749999999998</v>
      </c>
      <c r="S2186">
        <v>-1.2009890000000001</v>
      </c>
      <c r="T2186">
        <v>-0.3461497</v>
      </c>
      <c r="U2186">
        <v>-2.8563689999999999</v>
      </c>
      <c r="V2186">
        <v>-0.1031788</v>
      </c>
      <c r="W2186">
        <v>0.15527939999999901</v>
      </c>
      <c r="X2186">
        <v>0.98246750000000005</v>
      </c>
      <c r="Y2186">
        <v>-0.18918080000000001</v>
      </c>
      <c r="Z2186">
        <v>8.6668410000000001E-2</v>
      </c>
      <c r="AA2186">
        <v>0.97811000000000003</v>
      </c>
      <c r="AB2186">
        <v>40</v>
      </c>
      <c r="AC2186">
        <v>-3.6688999999999998</v>
      </c>
      <c r="AD2186">
        <v>-1.121488831427</v>
      </c>
      <c r="AE2186">
        <v>-8.9149999999999991</v>
      </c>
      <c r="AF2186">
        <v>-1.85408244909339</v>
      </c>
      <c r="AG2186">
        <v>-1.121488831427</v>
      </c>
      <c r="AH2186">
        <v>9.3292611267563501</v>
      </c>
      <c r="AI2186">
        <v>96.724472938405995</v>
      </c>
      <c r="AJ2186">
        <v>101.240411569023</v>
      </c>
      <c r="AK2186">
        <v>9.5776026279157591</v>
      </c>
      <c r="AL2186">
        <v>81.066998863264004</v>
      </c>
      <c r="AM2186">
        <v>95.995230009014705</v>
      </c>
      <c r="AN2186">
        <v>0.99999997269502405</v>
      </c>
    </row>
    <row r="2187" spans="1:40" x14ac:dyDescent="0.3">
      <c r="A2187" t="str">
        <f>"20200111150847006"</f>
        <v>20200111150847006</v>
      </c>
      <c r="B2187" t="str">
        <f>"1578726526996025"</f>
        <v>1578726526996025</v>
      </c>
      <c r="C2187" t="s">
        <v>40</v>
      </c>
      <c r="D2187">
        <v>6.6181669999999997</v>
      </c>
      <c r="E2187">
        <v>0.40235910000000003</v>
      </c>
      <c r="F2187" t="s">
        <v>43</v>
      </c>
      <c r="G2187">
        <v>-417.80029999999999</v>
      </c>
      <c r="H2187" s="1">
        <v>-3.7598399999999998E-6</v>
      </c>
      <c r="I2187">
        <v>117.4875</v>
      </c>
      <c r="J2187">
        <v>-414.7174</v>
      </c>
      <c r="K2187">
        <v>1.121443</v>
      </c>
      <c r="L2187">
        <v>125.5459</v>
      </c>
      <c r="M2187">
        <v>-0.52570319999999904</v>
      </c>
      <c r="N2187">
        <v>0</v>
      </c>
      <c r="O2187">
        <v>-0.850570099999999</v>
      </c>
      <c r="P2187">
        <v>-0.43454280000000001</v>
      </c>
      <c r="Q2187">
        <v>0.1451259</v>
      </c>
      <c r="R2187">
        <v>-0.88888199999999995</v>
      </c>
      <c r="S2187">
        <v>-1.173767</v>
      </c>
      <c r="T2187">
        <v>-0.35488579999999997</v>
      </c>
      <c r="U2187">
        <v>-2.8686069999999999</v>
      </c>
      <c r="V2187">
        <v>-0.102241</v>
      </c>
      <c r="W2187">
        <v>0.1549219</v>
      </c>
      <c r="X2187">
        <v>0.982622</v>
      </c>
      <c r="Y2187">
        <v>-0.1663058</v>
      </c>
      <c r="Z2187">
        <v>9.1830510000000004E-2</v>
      </c>
      <c r="AA2187">
        <v>0.98178889999999996</v>
      </c>
      <c r="AB2187">
        <v>40</v>
      </c>
      <c r="AC2187">
        <v>-3.0828999999999902</v>
      </c>
      <c r="AD2187">
        <v>-1.12144675984</v>
      </c>
      <c r="AE2187">
        <v>-8.0584000000000007</v>
      </c>
      <c r="AF2187">
        <v>-1.5874203487324401</v>
      </c>
      <c r="AG2187">
        <v>-1.12144675984</v>
      </c>
      <c r="AH2187">
        <v>8.3348202519331398</v>
      </c>
      <c r="AI2187">
        <v>97.529354416622795</v>
      </c>
      <c r="AJ2187">
        <v>100.78320689530599</v>
      </c>
      <c r="AK2187">
        <v>8.5584329658390299</v>
      </c>
      <c r="AL2187">
        <v>81.087733315421701</v>
      </c>
      <c r="AM2187">
        <v>95.940202970445398</v>
      </c>
      <c r="AN2187">
        <v>1.0000000060323</v>
      </c>
    </row>
    <row r="2188" spans="1:40" x14ac:dyDescent="0.3">
      <c r="A2188" t="str">
        <f>"20200111150847028"</f>
        <v>20200111150847028</v>
      </c>
      <c r="B2188" t="str">
        <f>"1578726527025523"</f>
        <v>1578726527025523</v>
      </c>
      <c r="C2188" t="s">
        <v>40</v>
      </c>
      <c r="D2188">
        <v>5.0210509999999999</v>
      </c>
      <c r="E2188">
        <v>0.35920819999999998</v>
      </c>
      <c r="F2188" t="s">
        <v>88</v>
      </c>
      <c r="G2188">
        <v>-442.88200000000001</v>
      </c>
      <c r="H2188">
        <v>11.91262</v>
      </c>
      <c r="I2188">
        <v>-12.61853</v>
      </c>
      <c r="J2188">
        <v>-414.91719999999998</v>
      </c>
      <c r="K2188">
        <v>1.121434</v>
      </c>
      <c r="L2188">
        <v>125.2086</v>
      </c>
      <c r="M2188">
        <v>-0.51639290000000004</v>
      </c>
      <c r="N2188">
        <v>0</v>
      </c>
      <c r="O2188">
        <v>-0.85625450000000003</v>
      </c>
      <c r="P2188">
        <v>-0.42491499999999999</v>
      </c>
      <c r="Q2188">
        <v>0.14422789999999999</v>
      </c>
      <c r="R2188">
        <v>-0.89366999999999996</v>
      </c>
      <c r="S2188">
        <v>-0.61846919999999905</v>
      </c>
      <c r="T2188">
        <v>0.23696390000000001</v>
      </c>
      <c r="U2188">
        <v>-3.0339659999999999</v>
      </c>
      <c r="V2188">
        <v>-0.10218149999999999</v>
      </c>
      <c r="W2188">
        <v>0.1540263</v>
      </c>
      <c r="X2188">
        <v>0.982769</v>
      </c>
      <c r="Y2188">
        <v>-0.3353372</v>
      </c>
      <c r="Z2188">
        <v>-5.8556749999999998E-2</v>
      </c>
      <c r="AA2188">
        <v>0.94027660000000002</v>
      </c>
      <c r="AB2188">
        <v>40</v>
      </c>
      <c r="AC2188">
        <v>-27.964799999999901</v>
      </c>
      <c r="AD2188">
        <v>10.791186</v>
      </c>
      <c r="AE2188">
        <v>-137.82713000000001</v>
      </c>
      <c r="AF2188">
        <v>-46.955438954841298</v>
      </c>
      <c r="AG2188">
        <v>10.791186</v>
      </c>
      <c r="AH2188">
        <v>131.691594307391</v>
      </c>
      <c r="AI2188">
        <v>85.586469482228395</v>
      </c>
      <c r="AJ2188">
        <v>109.624001938539</v>
      </c>
      <c r="AK2188">
        <v>140.22816747697601</v>
      </c>
      <c r="AL2188">
        <v>81.139671078623294</v>
      </c>
      <c r="AM2188">
        <v>95.935889051610005</v>
      </c>
      <c r="AN2188">
        <v>1.0000000336974599</v>
      </c>
    </row>
    <row r="2189" spans="1:40" x14ac:dyDescent="0.3">
      <c r="A2189" t="str">
        <f>"20200111150847051"</f>
        <v>20200111150847051</v>
      </c>
      <c r="B2189" t="str">
        <f>"1578726527046023"</f>
        <v>1578726527046023</v>
      </c>
      <c r="C2189" t="s">
        <v>40</v>
      </c>
      <c r="D2189">
        <v>4.9842120000000003</v>
      </c>
      <c r="E2189">
        <v>0.42495810000000001</v>
      </c>
      <c r="F2189" t="s">
        <v>88</v>
      </c>
      <c r="G2189">
        <v>-424.68579999999997</v>
      </c>
      <c r="H2189">
        <v>26.795670000000001</v>
      </c>
      <c r="I2189">
        <v>0.42981910000000001</v>
      </c>
      <c r="J2189">
        <v>-415.11860000000001</v>
      </c>
      <c r="K2189">
        <v>1.1214249999999999</v>
      </c>
      <c r="L2189">
        <v>124.8599</v>
      </c>
      <c r="M2189">
        <v>-0.5067682</v>
      </c>
      <c r="N2189">
        <v>0</v>
      </c>
      <c r="O2189">
        <v>-0.86198560000000002</v>
      </c>
      <c r="P2189">
        <v>-0.41549920000000001</v>
      </c>
      <c r="Q2189">
        <v>0.14397960000000001</v>
      </c>
      <c r="R2189">
        <v>-0.89812599999999998</v>
      </c>
      <c r="S2189">
        <v>-0.24551390000000001</v>
      </c>
      <c r="T2189">
        <v>0.64526629999999996</v>
      </c>
      <c r="U2189">
        <v>-3.136047</v>
      </c>
      <c r="V2189">
        <v>-0.1015089</v>
      </c>
      <c r="W2189">
        <v>0.15379779999999901</v>
      </c>
      <c r="X2189">
        <v>0.98287449999999998</v>
      </c>
      <c r="Y2189">
        <v>-0.43842880000000001</v>
      </c>
      <c r="Z2189">
        <v>-0.14999299999999999</v>
      </c>
      <c r="AA2189">
        <v>0.88616159999999999</v>
      </c>
      <c r="AB2189">
        <v>40</v>
      </c>
      <c r="AC2189">
        <v>-9.56719999999995</v>
      </c>
      <c r="AD2189">
        <v>25.674244999999999</v>
      </c>
      <c r="AE2189">
        <v>-124.43008089999999</v>
      </c>
      <c r="AF2189">
        <v>-52.589216028084699</v>
      </c>
      <c r="AG2189">
        <v>25.674244999999999</v>
      </c>
      <c r="AH2189">
        <v>107.56220082665099</v>
      </c>
      <c r="AI2189">
        <v>77.897083297873706</v>
      </c>
      <c r="AJ2189">
        <v>116.054893039848</v>
      </c>
      <c r="AK2189">
        <v>122.45170290951999</v>
      </c>
      <c r="AL2189">
        <v>81.152921201027198</v>
      </c>
      <c r="AM2189">
        <v>95.896464358198003</v>
      </c>
      <c r="AN2189">
        <v>1.0000000514071401</v>
      </c>
    </row>
    <row r="2190" spans="1:40" x14ac:dyDescent="0.3">
      <c r="A2190" t="str">
        <f>"20200111150847073"</f>
        <v>20200111150847073</v>
      </c>
      <c r="B2190" t="str">
        <f>"1578726527065539"</f>
        <v>1578726527065539</v>
      </c>
      <c r="C2190" t="s">
        <v>40</v>
      </c>
      <c r="D2190">
        <v>4.9855369999999999</v>
      </c>
      <c r="E2190">
        <v>0.4254675</v>
      </c>
      <c r="F2190" t="s">
        <v>43</v>
      </c>
      <c r="G2190">
        <v>-418.82979999999998</v>
      </c>
      <c r="H2190" s="1">
        <v>-3.8796009999999998E-7</v>
      </c>
      <c r="I2190">
        <v>109.87309999999999</v>
      </c>
      <c r="J2190">
        <v>-415.31540000000001</v>
      </c>
      <c r="K2190">
        <v>1.121413</v>
      </c>
      <c r="L2190">
        <v>124.5104</v>
      </c>
      <c r="M2190">
        <v>-0.49712200000000001</v>
      </c>
      <c r="N2190">
        <v>0</v>
      </c>
      <c r="O2190">
        <v>-0.86758459999999904</v>
      </c>
      <c r="P2190">
        <v>-0.4057095</v>
      </c>
      <c r="Q2190">
        <v>0.14412320000000001</v>
      </c>
      <c r="R2190">
        <v>-0.90256760000000003</v>
      </c>
      <c r="S2190">
        <v>-0.75021359999999904</v>
      </c>
      <c r="T2190">
        <v>-0.22669610000000001</v>
      </c>
      <c r="U2190">
        <v>-3.0295719999999999</v>
      </c>
      <c r="V2190">
        <v>-0.10122159999999999</v>
      </c>
      <c r="W2190">
        <v>0.15394910000000001</v>
      </c>
      <c r="X2190">
        <v>0.98288039999999999</v>
      </c>
      <c r="Y2190">
        <v>-0.27446399999999999</v>
      </c>
      <c r="Z2190">
        <v>5.7831489999999999E-2</v>
      </c>
      <c r="AA2190">
        <v>0.95985679999999995</v>
      </c>
      <c r="AB2190">
        <v>40</v>
      </c>
      <c r="AC2190">
        <v>-3.5143999999999598</v>
      </c>
      <c r="AD2190">
        <v>-1.1214133879601</v>
      </c>
      <c r="AE2190">
        <v>-14.6373</v>
      </c>
      <c r="AF2190">
        <v>-4.2045032110869496</v>
      </c>
      <c r="AG2190">
        <v>-1.1214133879601</v>
      </c>
      <c r="AH2190">
        <v>14.367649734565401</v>
      </c>
      <c r="AI2190">
        <v>94.284006145900307</v>
      </c>
      <c r="AJ2190">
        <v>106.311418678537</v>
      </c>
      <c r="AK2190">
        <v>15.012154213632799</v>
      </c>
      <c r="AL2190">
        <v>81.144147487760407</v>
      </c>
      <c r="AM2190">
        <v>95.879857673914501</v>
      </c>
      <c r="AN2190">
        <v>1.0000000092007599</v>
      </c>
    </row>
    <row r="2191" spans="1:40" x14ac:dyDescent="0.3">
      <c r="A2191" t="str">
        <f>"20200111150847095"</f>
        <v>20200111150847095</v>
      </c>
      <c r="B2191" t="str">
        <f>"1578726527086035"</f>
        <v>1578726527086035</v>
      </c>
      <c r="C2191" t="s">
        <v>40</v>
      </c>
      <c r="D2191">
        <v>4.9766370000000002</v>
      </c>
      <c r="E2191">
        <v>0.4262917</v>
      </c>
      <c r="F2191" t="s">
        <v>43</v>
      </c>
      <c r="G2191">
        <v>-418.72590000000002</v>
      </c>
      <c r="H2191" s="1">
        <v>-5.1628149999999995E-7</v>
      </c>
      <c r="I2191">
        <v>110.169</v>
      </c>
      <c r="J2191">
        <v>-415.5061</v>
      </c>
      <c r="K2191">
        <v>1.12141</v>
      </c>
      <c r="L2191">
        <v>124.1628</v>
      </c>
      <c r="M2191">
        <v>-0.48752459999999997</v>
      </c>
      <c r="N2191">
        <v>0</v>
      </c>
      <c r="O2191">
        <v>-0.87301399999999996</v>
      </c>
      <c r="P2191">
        <v>-0.3959356</v>
      </c>
      <c r="Q2191">
        <v>0.14456329999999901</v>
      </c>
      <c r="R2191">
        <v>-0.90682759999999996</v>
      </c>
      <c r="S2191">
        <v>-0.72225950000000005</v>
      </c>
      <c r="T2191">
        <v>-0.23748369999999999</v>
      </c>
      <c r="U2191">
        <v>-3.0371090000000001</v>
      </c>
      <c r="V2191">
        <v>-0.10097680000000001</v>
      </c>
      <c r="W2191">
        <v>0.15439430000000001</v>
      </c>
      <c r="X2191">
        <v>0.98283569999999998</v>
      </c>
      <c r="Y2191">
        <v>-0.27280539999999998</v>
      </c>
      <c r="Z2191">
        <v>6.1101009999999997E-2</v>
      </c>
      <c r="AA2191">
        <v>0.96012699999999995</v>
      </c>
      <c r="AB2191">
        <v>40</v>
      </c>
      <c r="AC2191">
        <v>-3.2198000000000202</v>
      </c>
      <c r="AD2191">
        <v>-1.1214105162815</v>
      </c>
      <c r="AE2191">
        <v>-13.9938</v>
      </c>
      <c r="AF2191">
        <v>-3.9874059604587999</v>
      </c>
      <c r="AG2191">
        <v>-1.1214105162815</v>
      </c>
      <c r="AH2191">
        <v>13.704081317897</v>
      </c>
      <c r="AI2191">
        <v>94.492613693482696</v>
      </c>
      <c r="AJ2191">
        <v>106.223139123263</v>
      </c>
      <c r="AK2191">
        <v>14.3163826648726</v>
      </c>
      <c r="AL2191">
        <v>81.118330335315406</v>
      </c>
      <c r="AM2191">
        <v>95.866001684479102</v>
      </c>
      <c r="AN2191">
        <v>0.99999996360260901</v>
      </c>
    </row>
    <row r="2192" spans="1:40" x14ac:dyDescent="0.3">
      <c r="A2192" t="str">
        <f>"20200111150847119"</f>
        <v>20200111150847119</v>
      </c>
      <c r="B2192" t="str">
        <f>"1578726527115316"</f>
        <v>1578726527115316</v>
      </c>
      <c r="C2192" t="s">
        <v>40</v>
      </c>
      <c r="D2192">
        <v>4.9466979999999996</v>
      </c>
      <c r="E2192">
        <v>0.4267862</v>
      </c>
      <c r="F2192" t="s">
        <v>43</v>
      </c>
      <c r="G2192">
        <v>-418.7921</v>
      </c>
      <c r="H2192" s="1">
        <v>-3.6883229999999998E-7</v>
      </c>
      <c r="I2192">
        <v>109.78749999999999</v>
      </c>
      <c r="J2192">
        <v>-415.6927</v>
      </c>
      <c r="K2192">
        <v>1.1214090000000001</v>
      </c>
      <c r="L2192">
        <v>123.8137</v>
      </c>
      <c r="M2192">
        <v>-0.47788550000000002</v>
      </c>
      <c r="N2192">
        <v>0</v>
      </c>
      <c r="O2192">
        <v>-0.87832759999999999</v>
      </c>
      <c r="P2192">
        <v>-0.38682850000000002</v>
      </c>
      <c r="Q2192">
        <v>0.14451129999999901</v>
      </c>
      <c r="R2192">
        <v>-0.91075810000000001</v>
      </c>
      <c r="S2192">
        <v>-0.69546509999999995</v>
      </c>
      <c r="T2192">
        <v>-0.23733770000000001</v>
      </c>
      <c r="U2192">
        <v>-3.0424190000000002</v>
      </c>
      <c r="V2192">
        <v>-0.1000066</v>
      </c>
      <c r="W2192">
        <v>0.15437020000000001</v>
      </c>
      <c r="X2192">
        <v>0.98293869999999905</v>
      </c>
      <c r="Y2192">
        <v>-0.2706172</v>
      </c>
      <c r="Z2192">
        <v>6.1627380000000002E-2</v>
      </c>
      <c r="AA2192">
        <v>0.96071240000000002</v>
      </c>
      <c r="AB2192">
        <v>40</v>
      </c>
      <c r="AC2192">
        <v>-3.0994000000000002</v>
      </c>
      <c r="AD2192">
        <v>-1.1214093688322999</v>
      </c>
      <c r="AE2192">
        <v>-14.026199999999999</v>
      </c>
      <c r="AF2192">
        <v>-3.9568443192799698</v>
      </c>
      <c r="AG2192">
        <v>-1.1214093688322999</v>
      </c>
      <c r="AH2192">
        <v>13.7182957883836</v>
      </c>
      <c r="AI2192">
        <v>94.490995529141202</v>
      </c>
      <c r="AJ2192">
        <v>106.08944218991</v>
      </c>
      <c r="AK2192">
        <v>14.321515816320099</v>
      </c>
      <c r="AL2192">
        <v>81.119728095564994</v>
      </c>
      <c r="AM2192">
        <v>95.8094230430046</v>
      </c>
      <c r="AN2192">
        <v>0.99999998332464402</v>
      </c>
    </row>
    <row r="2193" spans="1:40" x14ac:dyDescent="0.3">
      <c r="A2193" t="str">
        <f>"20200111150847140"</f>
        <v>20200111150847140</v>
      </c>
      <c r="B2193" t="str">
        <f>"1578726527135813"</f>
        <v>1578726527135813</v>
      </c>
      <c r="C2193" t="s">
        <v>40</v>
      </c>
      <c r="D2193">
        <v>5.0621070000000001</v>
      </c>
      <c r="E2193">
        <v>0.42740529999999999</v>
      </c>
      <c r="F2193" t="s">
        <v>43</v>
      </c>
      <c r="G2193">
        <v>-418.80939999999998</v>
      </c>
      <c r="H2193" s="1">
        <v>-4.92324E-6</v>
      </c>
      <c r="I2193">
        <v>109.59950000000001</v>
      </c>
      <c r="J2193">
        <v>-415.87200000000001</v>
      </c>
      <c r="K2193">
        <v>1.1214150000000001</v>
      </c>
      <c r="L2193">
        <v>123.4691</v>
      </c>
      <c r="M2193">
        <v>-0.4683716</v>
      </c>
      <c r="N2193">
        <v>0</v>
      </c>
      <c r="O2193">
        <v>-0.88343749999999999</v>
      </c>
      <c r="P2193">
        <v>-0.37774180000000002</v>
      </c>
      <c r="Q2193">
        <v>0.14479500000000001</v>
      </c>
      <c r="R2193">
        <v>-0.91451939999999998</v>
      </c>
      <c r="S2193">
        <v>-0.66836549999999995</v>
      </c>
      <c r="T2193">
        <v>-0.2404886</v>
      </c>
      <c r="U2193">
        <v>-3.0482640000000001</v>
      </c>
      <c r="V2193">
        <v>-9.9160860000000003E-2</v>
      </c>
      <c r="W2193">
        <v>0.15467790000000001</v>
      </c>
      <c r="X2193">
        <v>0.98297599999999996</v>
      </c>
      <c r="Y2193">
        <v>-0.26877010000000001</v>
      </c>
      <c r="Z2193">
        <v>6.2973539999999995E-2</v>
      </c>
      <c r="AA2193">
        <v>0.96114359999999999</v>
      </c>
      <c r="AB2193">
        <v>40</v>
      </c>
      <c r="AC2193">
        <v>-2.9374000000000202</v>
      </c>
      <c r="AD2193">
        <v>-1.1214199232399999</v>
      </c>
      <c r="AE2193">
        <v>-13.869599999999901</v>
      </c>
      <c r="AF2193">
        <v>-3.8771829001501601</v>
      </c>
      <c r="AG2193">
        <v>-1.1214199232399999</v>
      </c>
      <c r="AH2193">
        <v>13.5451031879212</v>
      </c>
      <c r="AI2193">
        <v>94.550859484676494</v>
      </c>
      <c r="AJ2193">
        <v>105.97336725595299</v>
      </c>
      <c r="AK2193">
        <v>14.133646035503</v>
      </c>
      <c r="AL2193">
        <v>81.101883762223693</v>
      </c>
      <c r="AM2193">
        <v>95.760408361990699</v>
      </c>
      <c r="AN2193">
        <v>0.99999997274017405</v>
      </c>
    </row>
    <row r="2194" spans="1:40" x14ac:dyDescent="0.3">
      <c r="A2194" t="str">
        <f>"20200111150847163"</f>
        <v>20200111150847163</v>
      </c>
      <c r="B2194" t="str">
        <f>"1578726527155331"</f>
        <v>1578726527155331</v>
      </c>
      <c r="C2194" t="s">
        <v>40</v>
      </c>
      <c r="D2194">
        <v>5.0214699999999999</v>
      </c>
      <c r="E2194">
        <v>0.42825809999999997</v>
      </c>
      <c r="F2194" t="s">
        <v>43</v>
      </c>
      <c r="G2194">
        <v>-418.83890000000002</v>
      </c>
      <c r="H2194" s="1">
        <v>-4.8089099999999997E-6</v>
      </c>
      <c r="I2194">
        <v>109.3687</v>
      </c>
      <c r="J2194">
        <v>-416.05720000000002</v>
      </c>
      <c r="K2194">
        <v>1.121421</v>
      </c>
      <c r="L2194">
        <v>123.10290000000001</v>
      </c>
      <c r="M2194">
        <v>-0.45826270000000002</v>
      </c>
      <c r="N2194">
        <v>0</v>
      </c>
      <c r="O2194">
        <v>-0.88872340000000005</v>
      </c>
      <c r="P2194">
        <v>-0.3674</v>
      </c>
      <c r="Q2194">
        <v>0.14530650000000001</v>
      </c>
      <c r="R2194">
        <v>-0.91864239999999997</v>
      </c>
      <c r="S2194">
        <v>-0.64248660000000002</v>
      </c>
      <c r="T2194">
        <v>-0.24284420000000001</v>
      </c>
      <c r="U2194">
        <v>-3.0534669999999999</v>
      </c>
      <c r="V2194">
        <v>-9.9013569999999995E-2</v>
      </c>
      <c r="W2194">
        <v>0.15519179999999999</v>
      </c>
      <c r="X2194">
        <v>0.9829099</v>
      </c>
      <c r="Y2194">
        <v>-0.2659241</v>
      </c>
      <c r="Z2194">
        <v>6.4164410000000005E-2</v>
      </c>
      <c r="AA2194">
        <v>0.96185620000000005</v>
      </c>
      <c r="AB2194">
        <v>40</v>
      </c>
      <c r="AC2194">
        <v>-2.7816999999999998</v>
      </c>
      <c r="AD2194">
        <v>-1.12142580891</v>
      </c>
      <c r="AE2194">
        <v>-13.7342</v>
      </c>
      <c r="AF2194">
        <v>-3.7977051590605799</v>
      </c>
      <c r="AG2194">
        <v>-1.12142580891</v>
      </c>
      <c r="AH2194">
        <v>13.3959809608921</v>
      </c>
      <c r="AI2194">
        <v>94.604643493077603</v>
      </c>
      <c r="AJ2194">
        <v>105.827813733738</v>
      </c>
      <c r="AK2194">
        <v>13.9689822902253</v>
      </c>
      <c r="AL2194">
        <v>81.072080050478107</v>
      </c>
      <c r="AM2194">
        <v>95.752293689098394</v>
      </c>
      <c r="AN2194">
        <v>1.00000002667469</v>
      </c>
    </row>
    <row r="2195" spans="1:40" x14ac:dyDescent="0.3">
      <c r="A2195" t="str">
        <f>"20200111150847185"</f>
        <v>20200111150847185</v>
      </c>
      <c r="B2195" t="str">
        <f>"1578726527175827"</f>
        <v>1578726527175827</v>
      </c>
      <c r="C2195" t="s">
        <v>40</v>
      </c>
      <c r="D2195">
        <v>5.0455379999999996</v>
      </c>
      <c r="E2195">
        <v>0.42910100000000001</v>
      </c>
      <c r="F2195" t="s">
        <v>43</v>
      </c>
      <c r="G2195">
        <v>-418.88600000000002</v>
      </c>
      <c r="H2195" s="1">
        <v>-4.6467949999999998E-6</v>
      </c>
      <c r="I2195">
        <v>109.04340000000001</v>
      </c>
      <c r="J2195">
        <v>-416.22620000000001</v>
      </c>
      <c r="K2195">
        <v>1.121424</v>
      </c>
      <c r="L2195">
        <v>122.7594</v>
      </c>
      <c r="M2195">
        <v>-0.44877709999999998</v>
      </c>
      <c r="N2195">
        <v>0</v>
      </c>
      <c r="O2195">
        <v>-0.89355079999999998</v>
      </c>
      <c r="P2195">
        <v>-0.35789389999999999</v>
      </c>
      <c r="Q2195">
        <v>0.14600089999999999</v>
      </c>
      <c r="R2195">
        <v>-0.92227769999999998</v>
      </c>
      <c r="S2195">
        <v>-0.61532589999999998</v>
      </c>
      <c r="T2195">
        <v>-0.2439289</v>
      </c>
      <c r="U2195">
        <v>-3.058182</v>
      </c>
      <c r="V2195">
        <v>-9.8671149999999999E-2</v>
      </c>
      <c r="W2195">
        <v>0.15589410000000001</v>
      </c>
      <c r="X2195">
        <v>0.98283310000000002</v>
      </c>
      <c r="Y2195">
        <v>-0.26416580000000001</v>
      </c>
      <c r="Z2195">
        <v>6.4975340000000006E-2</v>
      </c>
      <c r="AA2195">
        <v>0.96228610000000003</v>
      </c>
      <c r="AB2195">
        <v>40</v>
      </c>
      <c r="AC2195">
        <v>-2.6597999999999602</v>
      </c>
      <c r="AD2195">
        <v>-1.1214286467950001</v>
      </c>
      <c r="AE2195">
        <v>-13.7159999999999</v>
      </c>
      <c r="AF2195">
        <v>-3.7548831740802302</v>
      </c>
      <c r="AG2195">
        <v>-1.1214286467950001</v>
      </c>
      <c r="AH2195">
        <v>13.3646151931364</v>
      </c>
      <c r="AI2195">
        <v>94.618466037989904</v>
      </c>
      <c r="AJ2195">
        <v>105.693083473749</v>
      </c>
      <c r="AK2195">
        <v>13.927300137552001</v>
      </c>
      <c r="AL2195">
        <v>81.031344614391202</v>
      </c>
      <c r="AM2195">
        <v>95.732978137180197</v>
      </c>
      <c r="AN2195">
        <v>0.99999993435636902</v>
      </c>
    </row>
    <row r="2196" spans="1:40" x14ac:dyDescent="0.3">
      <c r="A2196" t="str">
        <f>"20200111150847207"</f>
        <v>20200111150847207</v>
      </c>
      <c r="B2196" t="str">
        <f>"1578726527195348"</f>
        <v>1578726527195348</v>
      </c>
      <c r="C2196" t="s">
        <v>40</v>
      </c>
      <c r="D2196">
        <v>5.0737389999999998</v>
      </c>
      <c r="E2196">
        <v>0.42989060000000001</v>
      </c>
      <c r="F2196" t="s">
        <v>43</v>
      </c>
      <c r="G2196">
        <v>-418.92290000000003</v>
      </c>
      <c r="H2196" s="1">
        <v>-4.5078420000000002E-6</v>
      </c>
      <c r="I2196">
        <v>108.7633</v>
      </c>
      <c r="J2196">
        <v>-416.39710000000002</v>
      </c>
      <c r="K2196">
        <v>1.1214200000000001</v>
      </c>
      <c r="L2196">
        <v>122.40260000000001</v>
      </c>
      <c r="M2196">
        <v>-0.43892330000000002</v>
      </c>
      <c r="N2196">
        <v>0</v>
      </c>
      <c r="O2196">
        <v>-0.89843209999999996</v>
      </c>
      <c r="P2196">
        <v>-0.34767369999999997</v>
      </c>
      <c r="Q2196">
        <v>0.14607390000000001</v>
      </c>
      <c r="R2196">
        <v>-0.92616699999999996</v>
      </c>
      <c r="S2196">
        <v>-0.5900879</v>
      </c>
      <c r="T2196">
        <v>-0.2453929</v>
      </c>
      <c r="U2196">
        <v>-3.0626530000000001</v>
      </c>
      <c r="V2196">
        <v>-9.8726759999999997E-2</v>
      </c>
      <c r="W2196">
        <v>0.155964299999999</v>
      </c>
      <c r="X2196">
        <v>0.98281649999999998</v>
      </c>
      <c r="Y2196">
        <v>-0.26147369999999998</v>
      </c>
      <c r="Z2196">
        <v>6.5908369999999994E-2</v>
      </c>
      <c r="AA2196">
        <v>0.96295770000000003</v>
      </c>
      <c r="AB2196">
        <v>40</v>
      </c>
      <c r="AC2196">
        <v>-2.5257999999999998</v>
      </c>
      <c r="AD2196">
        <v>-1.121424507842</v>
      </c>
      <c r="AE2196">
        <v>-13.6393</v>
      </c>
      <c r="AF2196">
        <v>-3.6935147154293402</v>
      </c>
      <c r="AG2196">
        <v>-1.121424507842</v>
      </c>
      <c r="AH2196">
        <v>13.276949162159699</v>
      </c>
      <c r="AI2196">
        <v>94.6521330176774</v>
      </c>
      <c r="AJ2196">
        <v>105.546036295541</v>
      </c>
      <c r="AK2196">
        <v>13.8266779428196</v>
      </c>
      <c r="AL2196">
        <v>81.027273728496993</v>
      </c>
      <c r="AM2196">
        <v>95.736283880711596</v>
      </c>
      <c r="AN2196">
        <v>1.00000005434341</v>
      </c>
    </row>
    <row r="2197" spans="1:40" x14ac:dyDescent="0.3">
      <c r="A2197" t="str">
        <f>"20200111150847230"</f>
        <v>20200111150847230</v>
      </c>
      <c r="B2197" t="str">
        <f>"1578726527225603"</f>
        <v>1578726527225603</v>
      </c>
      <c r="C2197" t="s">
        <v>40</v>
      </c>
      <c r="D2197">
        <v>5.0541809999999998</v>
      </c>
      <c r="E2197">
        <v>0.43092419999999998</v>
      </c>
      <c r="F2197" t="s">
        <v>43</v>
      </c>
      <c r="G2197">
        <v>-418.95330000000001</v>
      </c>
      <c r="H2197" s="1">
        <v>-4.355698E-6</v>
      </c>
      <c r="I2197">
        <v>108.4528</v>
      </c>
      <c r="J2197">
        <v>-416.56709999999998</v>
      </c>
      <c r="K2197">
        <v>1.1214189999999999</v>
      </c>
      <c r="L2197">
        <v>122.0372</v>
      </c>
      <c r="M2197">
        <v>-0.42883250000000001</v>
      </c>
      <c r="N2197">
        <v>0</v>
      </c>
      <c r="O2197">
        <v>-0.90329199999999998</v>
      </c>
      <c r="P2197">
        <v>-0.33744279999999999</v>
      </c>
      <c r="Q2197">
        <v>0.14636540000000001</v>
      </c>
      <c r="R2197">
        <v>-0.92989770000000005</v>
      </c>
      <c r="S2197">
        <v>-0.562011699999999</v>
      </c>
      <c r="T2197">
        <v>-0.24656230000000001</v>
      </c>
      <c r="U2197">
        <v>-3.067062</v>
      </c>
      <c r="V2197">
        <v>-9.8540269999999999E-2</v>
      </c>
      <c r="W2197">
        <v>0.1562596</v>
      </c>
      <c r="X2197">
        <v>0.98278829999999995</v>
      </c>
      <c r="Y2197">
        <v>-0.25944200000000001</v>
      </c>
      <c r="Z2197">
        <v>6.6763119999999995E-2</v>
      </c>
      <c r="AA2197">
        <v>0.96344819999999998</v>
      </c>
      <c r="AB2197">
        <v>40</v>
      </c>
      <c r="AC2197">
        <v>-2.3862000000000299</v>
      </c>
      <c r="AD2197">
        <v>-1.121423355698</v>
      </c>
      <c r="AE2197">
        <v>-13.5844</v>
      </c>
      <c r="AF2197">
        <v>-3.6461973090778299</v>
      </c>
      <c r="AG2197">
        <v>-1.121423355698</v>
      </c>
      <c r="AH2197">
        <v>13.207750060435901</v>
      </c>
      <c r="AI2197">
        <v>94.678941117018297</v>
      </c>
      <c r="AJ2197">
        <v>105.43296474903499</v>
      </c>
      <c r="AK2197">
        <v>13.7476182234733</v>
      </c>
      <c r="AL2197">
        <v>81.010144183067396</v>
      </c>
      <c r="AM2197">
        <v>95.725683576262995</v>
      </c>
      <c r="AN2197">
        <v>1.0000000450103601</v>
      </c>
    </row>
    <row r="2198" spans="1:40" x14ac:dyDescent="0.3">
      <c r="A2198" t="str">
        <f>"20200111150847252"</f>
        <v>20200111150847252</v>
      </c>
      <c r="B2198" t="str">
        <f>"1578726527246099"</f>
        <v>1578726527246099</v>
      </c>
      <c r="C2198" t="s">
        <v>40</v>
      </c>
      <c r="D2198">
        <v>5.1134959999999996</v>
      </c>
      <c r="E2198">
        <v>0.43122939999999998</v>
      </c>
      <c r="F2198" t="s">
        <v>43</v>
      </c>
      <c r="G2198">
        <v>-418.98349999999999</v>
      </c>
      <c r="H2198" s="1">
        <v>-4.2251660000000001E-6</v>
      </c>
      <c r="I2198">
        <v>108.188</v>
      </c>
      <c r="J2198">
        <v>-416.73500000000001</v>
      </c>
      <c r="K2198">
        <v>1.1214230000000001</v>
      </c>
      <c r="L2198">
        <v>121.6656</v>
      </c>
      <c r="M2198">
        <v>-0.4185683</v>
      </c>
      <c r="N2198">
        <v>0</v>
      </c>
      <c r="O2198">
        <v>-0.90809399999999996</v>
      </c>
      <c r="P2198">
        <v>-0.3270111</v>
      </c>
      <c r="Q2198">
        <v>0.14655850000000001</v>
      </c>
      <c r="R2198">
        <v>-0.93358699999999994</v>
      </c>
      <c r="S2198">
        <v>-0.53579709999999903</v>
      </c>
      <c r="T2198">
        <v>-0.24865899999999999</v>
      </c>
      <c r="U2198">
        <v>-3.0708470000000001</v>
      </c>
      <c r="V2198">
        <v>-9.8397970000000001E-2</v>
      </c>
      <c r="W2198">
        <v>0.15645599999999901</v>
      </c>
      <c r="X2198">
        <v>0.98277130000000001</v>
      </c>
      <c r="Y2198">
        <v>-0.25668800000000003</v>
      </c>
      <c r="Z2198">
        <v>6.7883769999999996E-2</v>
      </c>
      <c r="AA2198">
        <v>0.96410739999999995</v>
      </c>
      <c r="AB2198">
        <v>40</v>
      </c>
      <c r="AC2198">
        <v>-2.2484999999999702</v>
      </c>
      <c r="AD2198">
        <v>-1.121427225166</v>
      </c>
      <c r="AE2198">
        <v>-13.477600000000001</v>
      </c>
      <c r="AF2198">
        <v>-3.5756600845459698</v>
      </c>
      <c r="AG2198">
        <v>-1.121427225166</v>
      </c>
      <c r="AH2198">
        <v>13.092978947158899</v>
      </c>
      <c r="AI2198">
        <v>94.723349018018595</v>
      </c>
      <c r="AJ2198">
        <v>105.274861837533</v>
      </c>
      <c r="AK2198">
        <v>13.6187019121612</v>
      </c>
      <c r="AL2198">
        <v>80.998751066322299</v>
      </c>
      <c r="AM2198">
        <v>95.717568298247897</v>
      </c>
      <c r="AN2198">
        <v>1.0000000342699</v>
      </c>
    </row>
    <row r="2199" spans="1:40" x14ac:dyDescent="0.3">
      <c r="A2199" t="str">
        <f>"20200111150847275"</f>
        <v>20200111150847275</v>
      </c>
      <c r="B2199" t="str">
        <f>"1578726527265619"</f>
        <v>1578726527265619</v>
      </c>
      <c r="C2199" t="s">
        <v>40</v>
      </c>
      <c r="D2199">
        <v>5.0680019999999999</v>
      </c>
      <c r="E2199">
        <v>0.4405096</v>
      </c>
      <c r="F2199" t="s">
        <v>43</v>
      </c>
      <c r="G2199">
        <v>-419.00299999999999</v>
      </c>
      <c r="H2199" s="1">
        <v>-4.0410090000000004E-6</v>
      </c>
      <c r="I2199">
        <v>107.8058</v>
      </c>
      <c r="J2199">
        <v>-416.89060000000001</v>
      </c>
      <c r="K2199">
        <v>1.121424</v>
      </c>
      <c r="L2199">
        <v>121.3112</v>
      </c>
      <c r="M2199">
        <v>-0.40877740000000001</v>
      </c>
      <c r="N2199">
        <v>0</v>
      </c>
      <c r="O2199">
        <v>-0.9125432</v>
      </c>
      <c r="P2199">
        <v>-0.31756200000000001</v>
      </c>
      <c r="Q2199">
        <v>0.1464934</v>
      </c>
      <c r="R2199">
        <v>-0.93685350000000001</v>
      </c>
      <c r="S2199">
        <v>-0.5033569</v>
      </c>
      <c r="T2199">
        <v>-0.24889729999999999</v>
      </c>
      <c r="U2199">
        <v>-3.0761569999999998</v>
      </c>
      <c r="V2199">
        <v>-9.7758079999999997E-2</v>
      </c>
      <c r="W2199">
        <v>0.15640989999999999</v>
      </c>
      <c r="X2199">
        <v>0.9828424</v>
      </c>
      <c r="Y2199">
        <v>-0.25646360000000001</v>
      </c>
      <c r="Z2199">
        <v>6.8411189999999997E-2</v>
      </c>
      <c r="AA2199">
        <v>0.96412980000000004</v>
      </c>
      <c r="AB2199">
        <v>40</v>
      </c>
      <c r="AC2199">
        <v>-2.1124000000000298</v>
      </c>
      <c r="AD2199">
        <v>-1.1214280410089901</v>
      </c>
      <c r="AE2199">
        <v>-13.5053999999999</v>
      </c>
      <c r="AF2199">
        <v>-3.5693217880989798</v>
      </c>
      <c r="AG2199">
        <v>-1.1214280410089901</v>
      </c>
      <c r="AH2199">
        <v>13.100685826540399</v>
      </c>
      <c r="AI2199">
        <v>94.721355304299394</v>
      </c>
      <c r="AJ2199">
        <v>105.240493529405</v>
      </c>
      <c r="AK2199">
        <v>13.624449640402901</v>
      </c>
      <c r="AL2199">
        <v>81.001424480511403</v>
      </c>
      <c r="AM2199">
        <v>95.680222201038703</v>
      </c>
      <c r="AN2199">
        <v>0.99999994113052604</v>
      </c>
    </row>
    <row r="2200" spans="1:40" x14ac:dyDescent="0.3">
      <c r="A2200" t="str">
        <f>"20200111150847296"</f>
        <v>20200111150847296</v>
      </c>
      <c r="B2200" t="str">
        <f>"1578726527286115"</f>
        <v>1578726527286115</v>
      </c>
      <c r="C2200" t="s">
        <v>40</v>
      </c>
      <c r="D2200">
        <v>5.1258029999999897</v>
      </c>
      <c r="E2200">
        <v>0.43952259999999999</v>
      </c>
      <c r="F2200" t="s">
        <v>43</v>
      </c>
      <c r="G2200">
        <v>-419.15600000000001</v>
      </c>
      <c r="H2200" s="1">
        <v>-4.3677289999999999E-6</v>
      </c>
      <c r="I2200">
        <v>108.5544</v>
      </c>
      <c r="J2200">
        <v>-417.04239999999999</v>
      </c>
      <c r="K2200">
        <v>1.1214230000000001</v>
      </c>
      <c r="L2200">
        <v>120.95489999999999</v>
      </c>
      <c r="M2200">
        <v>-0.39893139999999999</v>
      </c>
      <c r="N2200">
        <v>0</v>
      </c>
      <c r="O2200">
        <v>-0.91689030000000005</v>
      </c>
      <c r="P2200">
        <v>-0.30847859999999899</v>
      </c>
      <c r="Q2200">
        <v>0.1465303</v>
      </c>
      <c r="R2200">
        <v>-0.93987770000000004</v>
      </c>
      <c r="S2200">
        <v>-0.54342650000000003</v>
      </c>
      <c r="T2200">
        <v>-0.26900390000000002</v>
      </c>
      <c r="U2200">
        <v>-3.0600740000000002</v>
      </c>
      <c r="V2200">
        <v>-9.6688899999999994E-2</v>
      </c>
      <c r="W2200">
        <v>0.15647820000000001</v>
      </c>
      <c r="X2200">
        <v>0.98293730000000001</v>
      </c>
      <c r="Y2200">
        <v>-0.2330023</v>
      </c>
      <c r="Z2200">
        <v>7.5023960000000001E-2</v>
      </c>
      <c r="AA2200">
        <v>0.96957789999999999</v>
      </c>
      <c r="AB2200">
        <v>40</v>
      </c>
      <c r="AC2200">
        <v>-2.1136000000000101</v>
      </c>
      <c r="AD2200">
        <v>-1.1214273677290001</v>
      </c>
      <c r="AE2200">
        <v>-12.4004999999999</v>
      </c>
      <c r="AF2200">
        <v>-2.9855318278643499</v>
      </c>
      <c r="AG2200">
        <v>-1.1214273677290001</v>
      </c>
      <c r="AH2200">
        <v>12.1177875739613</v>
      </c>
      <c r="AI2200">
        <v>95.134629767790003</v>
      </c>
      <c r="AJ2200">
        <v>103.84065074492101</v>
      </c>
      <c r="AK2200">
        <v>12.530433963910999</v>
      </c>
      <c r="AL2200">
        <v>80.997462501246901</v>
      </c>
      <c r="AM2200">
        <v>95.617958307449499</v>
      </c>
      <c r="AN2200">
        <v>0.999999953094869</v>
      </c>
    </row>
    <row r="2201" spans="1:40" x14ac:dyDescent="0.3">
      <c r="A2201" t="str">
        <f>"20200111150847319"</f>
        <v>20200111150847319</v>
      </c>
      <c r="B2201" t="str">
        <f>"1578726527315396"</f>
        <v>1578726527315396</v>
      </c>
      <c r="C2201" t="s">
        <v>40</v>
      </c>
      <c r="D2201">
        <v>5.1393810000000002</v>
      </c>
      <c r="E2201">
        <v>0.44058269999999999</v>
      </c>
      <c r="F2201" t="s">
        <v>43</v>
      </c>
      <c r="G2201">
        <v>-419.0505</v>
      </c>
      <c r="H2201" s="1">
        <v>-4.5006660000000003E-6</v>
      </c>
      <c r="I2201">
        <v>108.79600000000001</v>
      </c>
      <c r="J2201">
        <v>-417.19380000000001</v>
      </c>
      <c r="K2201">
        <v>1.121416</v>
      </c>
      <c r="L2201">
        <v>120.5889</v>
      </c>
      <c r="M2201">
        <v>-0.38882169999999999</v>
      </c>
      <c r="N2201">
        <v>0</v>
      </c>
      <c r="O2201">
        <v>-0.92122300000000001</v>
      </c>
      <c r="P2201">
        <v>-0.29915789999999998</v>
      </c>
      <c r="Q2201">
        <v>0.14610780000000001</v>
      </c>
      <c r="R2201">
        <v>-0.9429516</v>
      </c>
      <c r="S2201">
        <v>-0.50695800000000002</v>
      </c>
      <c r="T2201">
        <v>-0.28311789999999998</v>
      </c>
      <c r="U2201">
        <v>-3.0696560000000002</v>
      </c>
      <c r="V2201">
        <v>-9.5619599999999999E-2</v>
      </c>
      <c r="W2201">
        <v>0.15608820000000001</v>
      </c>
      <c r="X2201">
        <v>0.98310390000000003</v>
      </c>
      <c r="Y2201">
        <v>-0.23407049999999999</v>
      </c>
      <c r="Z2201">
        <v>7.9328079999999995E-2</v>
      </c>
      <c r="AA2201">
        <v>0.96897789999999995</v>
      </c>
      <c r="AB2201">
        <v>40</v>
      </c>
      <c r="AC2201">
        <v>-1.85669999999998</v>
      </c>
      <c r="AD2201">
        <v>-1.1214205006659901</v>
      </c>
      <c r="AE2201">
        <v>-11.7928999999999</v>
      </c>
      <c r="AF2201">
        <v>-2.8499910402234798</v>
      </c>
      <c r="AG2201">
        <v>-1.1214205006659901</v>
      </c>
      <c r="AH2201">
        <v>11.4854304041092</v>
      </c>
      <c r="AI2201">
        <v>95.413446515002093</v>
      </c>
      <c r="AJ2201">
        <v>103.935881136864</v>
      </c>
      <c r="AK2201">
        <v>11.886763412985999</v>
      </c>
      <c r="AL2201">
        <v>81.020085873221106</v>
      </c>
      <c r="AM2201">
        <v>95.555283542229105</v>
      </c>
      <c r="AN2201">
        <v>0.99999995613930404</v>
      </c>
    </row>
    <row r="2202" spans="1:40" x14ac:dyDescent="0.3">
      <c r="A2202" t="str">
        <f>"20200111150847342"</f>
        <v>20200111150847342</v>
      </c>
      <c r="B2202" t="str">
        <f>"1578726527335891"</f>
        <v>1578726527335891</v>
      </c>
      <c r="C2202" t="s">
        <v>40</v>
      </c>
      <c r="D2202">
        <v>5.1383910000000004</v>
      </c>
      <c r="E2202">
        <v>0.44131110000000001</v>
      </c>
      <c r="F2202" t="s">
        <v>43</v>
      </c>
      <c r="G2202">
        <v>-419.1114</v>
      </c>
      <c r="H2202" s="1">
        <v>-4.3204509999999997E-6</v>
      </c>
      <c r="I2202">
        <v>108.4376</v>
      </c>
      <c r="J2202">
        <v>-417.34690000000001</v>
      </c>
      <c r="K2202">
        <v>1.1214109999999999</v>
      </c>
      <c r="L2202">
        <v>120.2055</v>
      </c>
      <c r="M2202">
        <v>-0.3782375</v>
      </c>
      <c r="N2202">
        <v>0</v>
      </c>
      <c r="O2202">
        <v>-0.92561910000000003</v>
      </c>
      <c r="P2202">
        <v>-0.28893999999999997</v>
      </c>
      <c r="Q2202">
        <v>0.14617339999999901</v>
      </c>
      <c r="R2202">
        <v>-0.94612209999999997</v>
      </c>
      <c r="S2202">
        <v>-0.48474119999999998</v>
      </c>
      <c r="T2202">
        <v>-0.28347719999999998</v>
      </c>
      <c r="U2202">
        <v>-3.0716549999999998</v>
      </c>
      <c r="V2202">
        <v>-9.4981239999999995E-2</v>
      </c>
      <c r="W2202">
        <v>0.15617249999999999</v>
      </c>
      <c r="X2202">
        <v>0.98315240000000004</v>
      </c>
      <c r="Y2202">
        <v>-0.22986390000000001</v>
      </c>
      <c r="Z2202">
        <v>8.0055150000000005E-2</v>
      </c>
      <c r="AA2202">
        <v>0.96992460000000003</v>
      </c>
      <c r="AB2202">
        <v>40</v>
      </c>
      <c r="AC2202">
        <v>-1.76449999999999</v>
      </c>
      <c r="AD2202">
        <v>-1.121415320451</v>
      </c>
      <c r="AE2202">
        <v>-11.7678999999999</v>
      </c>
      <c r="AF2202">
        <v>-2.7932319449267</v>
      </c>
      <c r="AG2202">
        <v>-1.121415320451</v>
      </c>
      <c r="AH2202">
        <v>11.459177794594201</v>
      </c>
      <c r="AI2202">
        <v>95.431236874976406</v>
      </c>
      <c r="AJ2202">
        <v>103.698987710111</v>
      </c>
      <c r="AK2202">
        <v>11.8478889574144</v>
      </c>
      <c r="AL2202">
        <v>81.015195938232793</v>
      </c>
      <c r="AM2202">
        <v>95.518155410440897</v>
      </c>
      <c r="AN2202">
        <v>0.99999996366697297</v>
      </c>
    </row>
    <row r="2203" spans="1:40" x14ac:dyDescent="0.3">
      <c r="A2203" t="str">
        <f>"20200111150847365"</f>
        <v>20200111150847365</v>
      </c>
      <c r="B2203" t="str">
        <f>"1578726527355411"</f>
        <v>1578726527355411</v>
      </c>
      <c r="C2203" t="s">
        <v>40</v>
      </c>
      <c r="D2203">
        <v>5.1443370000000002</v>
      </c>
      <c r="E2203">
        <v>0.44282070000000001</v>
      </c>
      <c r="F2203" t="s">
        <v>43</v>
      </c>
      <c r="G2203">
        <v>-419.15780000000001</v>
      </c>
      <c r="H2203" s="1">
        <v>-4.1165770000000001E-6</v>
      </c>
      <c r="I2203">
        <v>108.02370000000001</v>
      </c>
      <c r="J2203">
        <v>-417.49029999999999</v>
      </c>
      <c r="K2203">
        <v>1.1214090000000001</v>
      </c>
      <c r="L2203">
        <v>119.8347</v>
      </c>
      <c r="M2203">
        <v>-0.36801010000000001</v>
      </c>
      <c r="N2203">
        <v>0</v>
      </c>
      <c r="O2203">
        <v>-0.92973269999999997</v>
      </c>
      <c r="P2203">
        <v>-0.27924959999999999</v>
      </c>
      <c r="Q2203">
        <v>0.14629549999999999</v>
      </c>
      <c r="R2203">
        <v>-0.94900859999999998</v>
      </c>
      <c r="S2203">
        <v>-0.4571228</v>
      </c>
      <c r="T2203">
        <v>-0.2830743</v>
      </c>
      <c r="U2203">
        <v>-3.0749819999999999</v>
      </c>
      <c r="V2203">
        <v>-9.4189549999999997E-2</v>
      </c>
      <c r="W2203">
        <v>0.1563176</v>
      </c>
      <c r="X2203">
        <v>0.98320560000000001</v>
      </c>
      <c r="Y2203">
        <v>-0.22781019999999999</v>
      </c>
      <c r="Z2203">
        <v>8.0480910000000003E-2</v>
      </c>
      <c r="AA2203">
        <v>0.97037379999999995</v>
      </c>
      <c r="AB2203">
        <v>40</v>
      </c>
      <c r="AC2203">
        <v>-1.66750000000001</v>
      </c>
      <c r="AD2203">
        <v>-1.121413116577</v>
      </c>
      <c r="AE2203">
        <v>-11.8109999999999</v>
      </c>
      <c r="AF2203">
        <v>-2.7719691724914801</v>
      </c>
      <c r="AG2203">
        <v>-1.121413116577</v>
      </c>
      <c r="AH2203">
        <v>11.494097892567</v>
      </c>
      <c r="AI2203">
        <v>95.418017864710293</v>
      </c>
      <c r="AJ2203">
        <v>103.558807480374</v>
      </c>
      <c r="AK2203">
        <v>11.8766858523406</v>
      </c>
      <c r="AL2203">
        <v>81.006779797602405</v>
      </c>
      <c r="AM2203">
        <v>95.472146415142802</v>
      </c>
      <c r="AN2203">
        <v>1.00000005763515</v>
      </c>
    </row>
    <row r="2204" spans="1:40" x14ac:dyDescent="0.3">
      <c r="A2204" t="str">
        <f>"20200111150847386"</f>
        <v>20200111150847386</v>
      </c>
      <c r="B2204" t="str">
        <f>"1578726527375907"</f>
        <v>1578726527375907</v>
      </c>
      <c r="C2204" t="s">
        <v>40</v>
      </c>
      <c r="D2204">
        <v>5.1152350000000002</v>
      </c>
      <c r="E2204">
        <v>0.44374209999999897</v>
      </c>
      <c r="F2204" t="s">
        <v>43</v>
      </c>
      <c r="G2204">
        <v>-419.22519999999997</v>
      </c>
      <c r="H2204" s="1">
        <v>-3.9156420000000001E-6</v>
      </c>
      <c r="I2204">
        <v>107.62390000000001</v>
      </c>
      <c r="J2204">
        <v>-417.62520000000001</v>
      </c>
      <c r="K2204">
        <v>1.1214029999999999</v>
      </c>
      <c r="L2204">
        <v>119.4743</v>
      </c>
      <c r="M2204">
        <v>-0.35807480000000003</v>
      </c>
      <c r="N2204">
        <v>0</v>
      </c>
      <c r="O2204">
        <v>-0.93360410000000005</v>
      </c>
      <c r="P2204">
        <v>-0.27029750000000002</v>
      </c>
      <c r="Q2204">
        <v>0.146558299999999</v>
      </c>
      <c r="R2204">
        <v>-0.95155679999999998</v>
      </c>
      <c r="S2204">
        <v>-0.43704219999999999</v>
      </c>
      <c r="T2204">
        <v>-0.28250629999999999</v>
      </c>
      <c r="U2204">
        <v>-3.0761409999999998</v>
      </c>
      <c r="V2204">
        <v>-9.2955280000000001E-2</v>
      </c>
      <c r="W2204">
        <v>0.1566176</v>
      </c>
      <c r="X2204">
        <v>0.98327529999999996</v>
      </c>
      <c r="Y2204">
        <v>-0.22368450000000001</v>
      </c>
      <c r="Z2204">
        <v>8.0888440000000006E-2</v>
      </c>
      <c r="AA2204">
        <v>0.97129929999999998</v>
      </c>
      <c r="AB2204">
        <v>40</v>
      </c>
      <c r="AC2204">
        <v>-1.5999999999999599</v>
      </c>
      <c r="AD2204">
        <v>-1.1214069156419999</v>
      </c>
      <c r="AE2204">
        <v>-11.850399999999899</v>
      </c>
      <c r="AF2204">
        <v>-2.7258186352273701</v>
      </c>
      <c r="AG2204">
        <v>-1.1214069156419999</v>
      </c>
      <c r="AH2204">
        <v>11.5360123135699</v>
      </c>
      <c r="AI2204">
        <v>95.404333237101795</v>
      </c>
      <c r="AJ2204">
        <v>103.29445348750799</v>
      </c>
      <c r="AK2204">
        <v>11.906604083509199</v>
      </c>
      <c r="AL2204">
        <v>80.989376517286303</v>
      </c>
      <c r="AM2204">
        <v>95.400485045311697</v>
      </c>
      <c r="AN2204">
        <v>1.00000003614986</v>
      </c>
    </row>
    <row r="2205" spans="1:40" x14ac:dyDescent="0.3">
      <c r="A2205" t="str">
        <f>"20200111150847410"</f>
        <v>20200111150847410</v>
      </c>
      <c r="B2205" t="str">
        <f>"1578726527406163"</f>
        <v>1578726527406163</v>
      </c>
      <c r="C2205" t="s">
        <v>40</v>
      </c>
      <c r="D2205">
        <v>4.4457490000000002</v>
      </c>
      <c r="E2205">
        <v>0.44628770000000001</v>
      </c>
      <c r="F2205" t="s">
        <v>43</v>
      </c>
      <c r="G2205">
        <v>-419.29199999999997</v>
      </c>
      <c r="H2205" s="1">
        <v>-3.668372E-6</v>
      </c>
      <c r="I2205">
        <v>107.1259</v>
      </c>
      <c r="J2205">
        <v>-417.76389999999998</v>
      </c>
      <c r="K2205">
        <v>1.121394</v>
      </c>
      <c r="L2205">
        <v>119.0911</v>
      </c>
      <c r="M2205">
        <v>-0.34752529999999998</v>
      </c>
      <c r="N2205">
        <v>0</v>
      </c>
      <c r="O2205">
        <v>-0.93758229999999998</v>
      </c>
      <c r="P2205">
        <v>-0.26134439999999998</v>
      </c>
      <c r="Q2205">
        <v>0.14670239999999901</v>
      </c>
      <c r="R2205">
        <v>-0.9540322</v>
      </c>
      <c r="S2205">
        <v>-0.41543580000000002</v>
      </c>
      <c r="T2205">
        <v>-0.27950360000000002</v>
      </c>
      <c r="U2205">
        <v>-3.0777589999999999</v>
      </c>
      <c r="V2205">
        <v>-9.1096410000000003E-2</v>
      </c>
      <c r="W2205">
        <v>0.1568177</v>
      </c>
      <c r="X2205">
        <v>0.98341730000000005</v>
      </c>
      <c r="Y2205">
        <v>-0.21944910000000001</v>
      </c>
      <c r="Z2205">
        <v>8.0601510000000001E-2</v>
      </c>
      <c r="AA2205">
        <v>0.97228879999999995</v>
      </c>
      <c r="AB2205">
        <v>40</v>
      </c>
      <c r="AC2205">
        <v>-1.52809999999999</v>
      </c>
      <c r="AD2205">
        <v>-1.1213976683719999</v>
      </c>
      <c r="AE2205">
        <v>-11.9651999999999</v>
      </c>
      <c r="AF2205">
        <v>-2.70236002137842</v>
      </c>
      <c r="AG2205">
        <v>-1.1213976683719999</v>
      </c>
      <c r="AH2205">
        <v>11.649700403282001</v>
      </c>
      <c r="AI2205">
        <v>95.356960651799994</v>
      </c>
      <c r="AJ2205">
        <v>103.059822069624</v>
      </c>
      <c r="AK2205">
        <v>12.0114862486706</v>
      </c>
      <c r="AL2205">
        <v>80.977767559182993</v>
      </c>
      <c r="AM2205">
        <v>95.292348688365607</v>
      </c>
      <c r="AN2205">
        <v>0.99999996644373301</v>
      </c>
    </row>
    <row r="2206" spans="1:40" x14ac:dyDescent="0.3">
      <c r="A2206" t="str">
        <f>"20200111150847432"</f>
        <v>20200111150847432</v>
      </c>
      <c r="B2206" t="str">
        <f>"1578726527425683"</f>
        <v>1578726527425683</v>
      </c>
      <c r="C2206" t="s">
        <v>40</v>
      </c>
      <c r="D2206">
        <v>4.6098439999999998</v>
      </c>
      <c r="E2206">
        <v>0.45050610000000002</v>
      </c>
      <c r="F2206" t="s">
        <v>43</v>
      </c>
      <c r="G2206">
        <v>-419.40050000000002</v>
      </c>
      <c r="H2206" s="1">
        <v>-3.4517560000000002E-6</v>
      </c>
      <c r="I2206">
        <v>106.7084</v>
      </c>
      <c r="J2206">
        <v>-417.89569999999998</v>
      </c>
      <c r="K2206">
        <v>1.1213799999999901</v>
      </c>
      <c r="L2206">
        <v>118.71429999999999</v>
      </c>
      <c r="M2206">
        <v>-0.337173</v>
      </c>
      <c r="N2206">
        <v>0</v>
      </c>
      <c r="O2206">
        <v>-0.94135460000000004</v>
      </c>
      <c r="P2206">
        <v>-0.2534363</v>
      </c>
      <c r="Q2206">
        <v>0.1461982</v>
      </c>
      <c r="R2206">
        <v>-0.95624070000000005</v>
      </c>
      <c r="S2206">
        <v>-0.40652470000000002</v>
      </c>
      <c r="T2206">
        <v>-0.27856789999999998</v>
      </c>
      <c r="U2206">
        <v>-3.0760190000000001</v>
      </c>
      <c r="V2206">
        <v>-8.8403839999999997E-2</v>
      </c>
      <c r="W2206">
        <v>0.1563957</v>
      </c>
      <c r="X2206">
        <v>0.9837302</v>
      </c>
      <c r="Y2206">
        <v>-0.21138879999999999</v>
      </c>
      <c r="Z2206">
        <v>8.0973729999999994E-2</v>
      </c>
      <c r="AA2206">
        <v>0.97404210000000002</v>
      </c>
      <c r="AB2206">
        <v>40</v>
      </c>
      <c r="AC2206">
        <v>-1.5048000000000401</v>
      </c>
      <c r="AD2206">
        <v>-1.12138345175599</v>
      </c>
      <c r="AE2206">
        <v>-12.005899999999899</v>
      </c>
      <c r="AF2206">
        <v>-2.6093214063573802</v>
      </c>
      <c r="AG2206">
        <v>-1.12138345175599</v>
      </c>
      <c r="AH2206">
        <v>11.7095915103849</v>
      </c>
      <c r="AI2206">
        <v>95.340125256008207</v>
      </c>
      <c r="AJ2206">
        <v>102.562328705176</v>
      </c>
      <c r="AK2206">
        <v>12.049090936150501</v>
      </c>
      <c r="AL2206">
        <v>81.002248572065199</v>
      </c>
      <c r="AM2206">
        <v>95.135145161614702</v>
      </c>
      <c r="AN2206">
        <v>0.999999980148637</v>
      </c>
    </row>
    <row r="2207" spans="1:40" x14ac:dyDescent="0.3">
      <c r="A2207" t="str">
        <f>"20200111150847453"</f>
        <v>20200111150847453</v>
      </c>
      <c r="B2207" t="str">
        <f>"1578726527446179"</f>
        <v>1578726527446179</v>
      </c>
      <c r="C2207" t="s">
        <v>40</v>
      </c>
      <c r="D2207">
        <v>5.1619199999999896</v>
      </c>
      <c r="E2207">
        <v>0.4372375</v>
      </c>
      <c r="F2207" t="s">
        <v>43</v>
      </c>
      <c r="G2207">
        <v>-419.5367</v>
      </c>
      <c r="H2207" s="1">
        <v>-3.3519309999999998E-6</v>
      </c>
      <c r="I2207">
        <v>106.5483</v>
      </c>
      <c r="J2207">
        <v>-418.0222</v>
      </c>
      <c r="K2207">
        <v>1.1213599999999999</v>
      </c>
      <c r="L2207">
        <v>118.3395</v>
      </c>
      <c r="M2207">
        <v>-0.32690780000000003</v>
      </c>
      <c r="N2207">
        <v>0</v>
      </c>
      <c r="O2207">
        <v>-0.94496849999999999</v>
      </c>
      <c r="P2207">
        <v>-0.2467665</v>
      </c>
      <c r="Q2207">
        <v>0.146313</v>
      </c>
      <c r="R2207">
        <v>-0.95796590000000004</v>
      </c>
      <c r="S2207">
        <v>-0.41418460000000001</v>
      </c>
      <c r="T2207">
        <v>-0.2830433</v>
      </c>
      <c r="U2207">
        <v>-3.07077</v>
      </c>
      <c r="V2207">
        <v>-8.453389E-2</v>
      </c>
      <c r="W2207">
        <v>0.15662699999999999</v>
      </c>
      <c r="X2207">
        <v>0.98403350000000001</v>
      </c>
      <c r="Y2207">
        <v>-0.19815150000000001</v>
      </c>
      <c r="Z2207">
        <v>8.3005969999999998E-2</v>
      </c>
      <c r="AA2207">
        <v>0.97665040000000003</v>
      </c>
      <c r="AB2207">
        <v>40</v>
      </c>
      <c r="AC2207">
        <v>-1.51449999999999</v>
      </c>
      <c r="AD2207">
        <v>-1.121363351931</v>
      </c>
      <c r="AE2207">
        <v>-11.7912</v>
      </c>
      <c r="AF2207">
        <v>-2.4023067802154601</v>
      </c>
      <c r="AG2207">
        <v>-1.121363351931</v>
      </c>
      <c r="AH2207">
        <v>11.5357396510275</v>
      </c>
      <c r="AI2207">
        <v>95.436243486023798</v>
      </c>
      <c r="AJ2207">
        <v>101.763660446252</v>
      </c>
      <c r="AK2207">
        <v>11.8364615882286</v>
      </c>
      <c r="AL2207">
        <v>80.988830537009903</v>
      </c>
      <c r="AM2207">
        <v>94.909968153510405</v>
      </c>
      <c r="AN2207">
        <v>0.99999996240488997</v>
      </c>
    </row>
    <row r="2208" spans="1:40" x14ac:dyDescent="0.3">
      <c r="A2208" t="str">
        <f>"20200111150847510"</f>
        <v>20200111150847510</v>
      </c>
      <c r="B2208" t="str">
        <f>"1578726527505717"</f>
        <v>1578726527505717</v>
      </c>
      <c r="C2208" t="s">
        <v>40</v>
      </c>
      <c r="D2208">
        <v>4.8387310000000001</v>
      </c>
      <c r="E2208">
        <v>0.46100380000000002</v>
      </c>
      <c r="F2208" t="s">
        <v>88</v>
      </c>
      <c r="G2208">
        <v>-427.9606</v>
      </c>
      <c r="H2208">
        <v>23.613620000000001</v>
      </c>
      <c r="I2208">
        <v>-0.40234950000000003</v>
      </c>
      <c r="J2208">
        <v>-418.3211</v>
      </c>
      <c r="K2208">
        <v>1.121246</v>
      </c>
      <c r="L2208">
        <v>117.3952</v>
      </c>
      <c r="M2208">
        <v>-0.30133290000000001</v>
      </c>
      <c r="N2208">
        <v>0</v>
      </c>
      <c r="O2208">
        <v>-0.95343239999999996</v>
      </c>
      <c r="P2208">
        <v>-0.22764499999999999</v>
      </c>
      <c r="Q2208">
        <v>0.1508118</v>
      </c>
      <c r="R2208">
        <v>-0.96199480000000004</v>
      </c>
      <c r="S2208">
        <v>-0.2495117</v>
      </c>
      <c r="T2208">
        <v>0.56468859999999999</v>
      </c>
      <c r="U2208">
        <v>-2.981125</v>
      </c>
      <c r="V2208">
        <v>-7.7473390000000003E-2</v>
      </c>
      <c r="W2208">
        <v>0.16133140000000001</v>
      </c>
      <c r="X2208">
        <v>0.98385469999999997</v>
      </c>
      <c r="Y2208">
        <v>-0.22199659999999999</v>
      </c>
      <c r="Z2208">
        <v>-0.1706704</v>
      </c>
      <c r="AA2208">
        <v>0.95999429999999997</v>
      </c>
      <c r="AB2208">
        <v>40</v>
      </c>
      <c r="AC2208">
        <v>-9.6394999999999893</v>
      </c>
      <c r="AD2208">
        <v>22.492373999999899</v>
      </c>
      <c r="AE2208">
        <v>-117.7975495</v>
      </c>
      <c r="AF2208">
        <v>-25.388374441270699</v>
      </c>
      <c r="AG2208">
        <v>22.492373999999899</v>
      </c>
      <c r="AH2208">
        <v>111.199037419684</v>
      </c>
      <c r="AI2208">
        <v>78.844579640920301</v>
      </c>
      <c r="AJ2208">
        <v>102.861021445283</v>
      </c>
      <c r="AK2208">
        <v>116.257052981702</v>
      </c>
      <c r="AL2208">
        <v>80.715816200378498</v>
      </c>
      <c r="AM2208">
        <v>94.502450864372605</v>
      </c>
      <c r="AN2208">
        <v>1.00000000874807</v>
      </c>
    </row>
    <row r="2209" spans="1:40" x14ac:dyDescent="0.3">
      <c r="A2209" t="str">
        <f>"20200111150847532"</f>
        <v>20200111150847532</v>
      </c>
      <c r="B2209" t="str">
        <f>"1578726527525698"</f>
        <v>1578726527525698</v>
      </c>
      <c r="C2209" t="s">
        <v>40</v>
      </c>
      <c r="D2209">
        <v>5.6184839999999996</v>
      </c>
      <c r="E2209">
        <v>0.437558</v>
      </c>
      <c r="F2209" t="s">
        <v>88</v>
      </c>
      <c r="G2209">
        <v>-434.2842</v>
      </c>
      <c r="H2209">
        <v>3.6187130000000001</v>
      </c>
      <c r="I2209">
        <v>-3.7416230000000001</v>
      </c>
      <c r="J2209">
        <v>-418.43529999999998</v>
      </c>
      <c r="K2209">
        <v>1.1211599999999999</v>
      </c>
      <c r="L2209">
        <v>117.01</v>
      </c>
      <c r="M2209">
        <v>-0.2910855</v>
      </c>
      <c r="N2209">
        <v>0</v>
      </c>
      <c r="O2209">
        <v>-0.95661110000000005</v>
      </c>
      <c r="P2209">
        <v>-0.2171815</v>
      </c>
      <c r="Q2209">
        <v>0.1494849</v>
      </c>
      <c r="R2209">
        <v>-0.96461759999999996</v>
      </c>
      <c r="S2209">
        <v>-0.39727780000000001</v>
      </c>
      <c r="T2209">
        <v>6.2154290000000001E-2</v>
      </c>
      <c r="U2209">
        <v>-3.0147550000000001</v>
      </c>
      <c r="V2209">
        <v>-7.7592640000000004E-2</v>
      </c>
      <c r="W2209">
        <v>0.1600047</v>
      </c>
      <c r="X2209">
        <v>0.98406199999999999</v>
      </c>
      <c r="Y2209">
        <v>-0.16364879999999901</v>
      </c>
      <c r="Z2209">
        <v>-1.9060690000000002E-2</v>
      </c>
      <c r="AA2209">
        <v>0.9863345</v>
      </c>
      <c r="AB2209">
        <v>40</v>
      </c>
      <c r="AC2209">
        <v>-15.8489</v>
      </c>
      <c r="AD2209">
        <v>2.4975529999999999</v>
      </c>
      <c r="AE2209">
        <v>-120.751623</v>
      </c>
      <c r="AF2209">
        <v>-19.9810532601159</v>
      </c>
      <c r="AG2209">
        <v>2.4975529999999999</v>
      </c>
      <c r="AH2209">
        <v>120.085102833787</v>
      </c>
      <c r="AI2209">
        <v>88.824677386273507</v>
      </c>
      <c r="AJ2209">
        <v>99.446941289144505</v>
      </c>
      <c r="AK2209">
        <v>121.761702447742</v>
      </c>
      <c r="AL2209">
        <v>80.7928316316072</v>
      </c>
      <c r="AM2209">
        <v>94.508406635244597</v>
      </c>
      <c r="AN2209">
        <v>1.0000000708241199</v>
      </c>
    </row>
    <row r="2210" spans="1:40" x14ac:dyDescent="0.3">
      <c r="A2210" t="str">
        <f>"20200111150847599"</f>
        <v>20200111150847599</v>
      </c>
      <c r="B2210" t="str">
        <f>"1578726527595970"</f>
        <v>1578726527595970</v>
      </c>
      <c r="C2210" t="s">
        <v>40</v>
      </c>
      <c r="D2210">
        <v>5.2323729999999999</v>
      </c>
      <c r="E2210">
        <v>0.4270775</v>
      </c>
      <c r="F2210" t="s">
        <v>88</v>
      </c>
      <c r="G2210">
        <v>-424.3897</v>
      </c>
      <c r="H2210">
        <v>30.170010000000001</v>
      </c>
      <c r="I2210">
        <v>1.72987</v>
      </c>
      <c r="J2210">
        <v>-418.74900000000002</v>
      </c>
      <c r="K2210">
        <v>1.1206879999999999</v>
      </c>
      <c r="L2210">
        <v>115.8678</v>
      </c>
      <c r="M2210">
        <v>-0.261903</v>
      </c>
      <c r="N2210">
        <v>0</v>
      </c>
      <c r="O2210">
        <v>-0.96500969999999997</v>
      </c>
      <c r="P2210">
        <v>-0.1790967</v>
      </c>
      <c r="Q2210">
        <v>0.1499916</v>
      </c>
      <c r="R2210">
        <v>-0.97233060000000004</v>
      </c>
      <c r="S2210">
        <v>-0.1528931</v>
      </c>
      <c r="T2210">
        <v>0.74588379999999999</v>
      </c>
      <c r="U2210">
        <v>-2.9600369999999998</v>
      </c>
      <c r="V2210">
        <v>-8.6209709999999995E-2</v>
      </c>
      <c r="W2210">
        <v>0.16028429999999999</v>
      </c>
      <c r="X2210">
        <v>0.98329900000000003</v>
      </c>
      <c r="Y2210">
        <v>-0.21311849999999999</v>
      </c>
      <c r="Z2210">
        <v>-0.22878039999999999</v>
      </c>
      <c r="AA2210">
        <v>0.94986320000000002</v>
      </c>
      <c r="AB2210">
        <v>40</v>
      </c>
      <c r="AC2210">
        <v>-5.6406999999999803</v>
      </c>
      <c r="AD2210">
        <v>29.049322</v>
      </c>
      <c r="AE2210">
        <v>-114.13793</v>
      </c>
      <c r="AF2210">
        <v>-22.967612061259199</v>
      </c>
      <c r="AG2210">
        <v>29.049322</v>
      </c>
      <c r="AH2210">
        <v>104.85511566501</v>
      </c>
      <c r="AI2210">
        <v>74.856982085620999</v>
      </c>
      <c r="AJ2210">
        <v>102.355020233834</v>
      </c>
      <c r="AK2210">
        <v>111.202381240596</v>
      </c>
      <c r="AL2210">
        <v>80.776602049689004</v>
      </c>
      <c r="AM2210">
        <v>95.010535474500202</v>
      </c>
      <c r="AN2210">
        <v>1.00000004716288</v>
      </c>
    </row>
    <row r="2211" spans="1:40" x14ac:dyDescent="0.3">
      <c r="A2211" t="str">
        <f>"20200111150847621"</f>
        <v>20200111150847621</v>
      </c>
      <c r="B2211" t="str">
        <f>"1578726527615494"</f>
        <v>1578726527615494</v>
      </c>
      <c r="C2211" t="s">
        <v>40</v>
      </c>
      <c r="D2211">
        <v>5.1848089999999996</v>
      </c>
      <c r="E2211">
        <v>0.4245004</v>
      </c>
      <c r="F2211" t="s">
        <v>43</v>
      </c>
      <c r="G2211">
        <v>-418.71210000000002</v>
      </c>
      <c r="H2211" s="1">
        <v>-7.2726029999999999E-7</v>
      </c>
      <c r="I2211">
        <v>100.6459</v>
      </c>
      <c r="J2211">
        <v>-418.84690000000001</v>
      </c>
      <c r="K2211">
        <v>1.120385</v>
      </c>
      <c r="L2211">
        <v>115.4819</v>
      </c>
      <c r="M2211">
        <v>-0.25275419999999998</v>
      </c>
      <c r="N2211">
        <v>0</v>
      </c>
      <c r="O2211">
        <v>-0.9674469</v>
      </c>
      <c r="P2211">
        <v>-0.16591819999999999</v>
      </c>
      <c r="Q2211">
        <v>0.14804149999999999</v>
      </c>
      <c r="R2211">
        <v>-0.9749641</v>
      </c>
      <c r="S2211">
        <v>7.5683590000000002E-3</v>
      </c>
      <c r="T2211">
        <v>-0.22986809999999999</v>
      </c>
      <c r="U2211">
        <v>-3.1222080000000001</v>
      </c>
      <c r="V2211">
        <v>-9.0121259999999995E-2</v>
      </c>
      <c r="W2211">
        <v>0.15824869999999999</v>
      </c>
      <c r="X2211">
        <v>0.98327790000000004</v>
      </c>
      <c r="Y2211">
        <v>-0.25510189999999999</v>
      </c>
      <c r="Z2211">
        <v>6.8636150000000007E-2</v>
      </c>
      <c r="AA2211">
        <v>0.96447499999999997</v>
      </c>
      <c r="AB2211">
        <v>40</v>
      </c>
      <c r="AC2211">
        <v>0.13479999999998399</v>
      </c>
      <c r="AD2211">
        <v>-1.1203857272602999</v>
      </c>
      <c r="AE2211">
        <v>-14.836</v>
      </c>
      <c r="AF2211">
        <v>-3.85858353520306</v>
      </c>
      <c r="AG2211">
        <v>-1.1203857272602999</v>
      </c>
      <c r="AH2211">
        <v>14.238931986400299</v>
      </c>
      <c r="AI2211">
        <v>94.343022672644096</v>
      </c>
      <c r="AJ2211">
        <v>105.16233825318</v>
      </c>
      <c r="AK2211">
        <v>14.7949692527332</v>
      </c>
      <c r="AL2211">
        <v>80.894740534043905</v>
      </c>
      <c r="AM2211">
        <v>95.236751013353</v>
      </c>
      <c r="AN2211">
        <v>0.99999996059204299</v>
      </c>
    </row>
    <row r="2212" spans="1:40" x14ac:dyDescent="0.3">
      <c r="A2212" t="str">
        <f>"20200111150847644"</f>
        <v>20200111150847644</v>
      </c>
      <c r="B2212" t="str">
        <f>"1578726527635518"</f>
        <v>1578726527635518</v>
      </c>
      <c r="C2212" t="s">
        <v>40</v>
      </c>
      <c r="D2212">
        <v>5.1778449999999996</v>
      </c>
      <c r="E2212">
        <v>0.42461320000000002</v>
      </c>
      <c r="F2212" t="s">
        <v>43</v>
      </c>
      <c r="G2212">
        <v>-418.46870000000001</v>
      </c>
      <c r="H2212" s="1">
        <v>-4.214737E-6</v>
      </c>
      <c r="I2212">
        <v>98.824240000000003</v>
      </c>
      <c r="J2212">
        <v>-418.9434</v>
      </c>
      <c r="K2212">
        <v>1.1199870000000001</v>
      </c>
      <c r="L2212">
        <v>115.08750000000001</v>
      </c>
      <c r="M2212">
        <v>-0.2439085</v>
      </c>
      <c r="N2212">
        <v>0</v>
      </c>
      <c r="O2212">
        <v>-0.96971540000000001</v>
      </c>
      <c r="P2212">
        <v>-0.15369669999999999</v>
      </c>
      <c r="Q2212">
        <v>0.1477242</v>
      </c>
      <c r="R2212">
        <v>-0.97701329999999997</v>
      </c>
      <c r="S2212">
        <v>7.0861820000000006E-2</v>
      </c>
      <c r="T2212">
        <v>-0.20991679999999999</v>
      </c>
      <c r="U2212">
        <v>-3.120987</v>
      </c>
      <c r="V2212">
        <v>-9.3313750000000001E-2</v>
      </c>
      <c r="W2212">
        <v>0.1578773</v>
      </c>
      <c r="X2212">
        <v>0.98303989999999997</v>
      </c>
      <c r="Y2212">
        <v>-0.26582240000000001</v>
      </c>
      <c r="Z2212">
        <v>6.2851389999999993E-2</v>
      </c>
      <c r="AA2212">
        <v>0.96197100000000002</v>
      </c>
      <c r="AB2212">
        <v>40</v>
      </c>
      <c r="AC2212">
        <v>0.47469999999998402</v>
      </c>
      <c r="AD2212">
        <v>-1.1199912147369999</v>
      </c>
      <c r="AE2212">
        <v>-16.263259999999999</v>
      </c>
      <c r="AF2212">
        <v>-4.4065464022591501</v>
      </c>
      <c r="AG2212">
        <v>-1.1199912147369999</v>
      </c>
      <c r="AH2212">
        <v>15.582370611052401</v>
      </c>
      <c r="AI2212">
        <v>93.956459465813495</v>
      </c>
      <c r="AJ2212">
        <v>105.79039914101401</v>
      </c>
      <c r="AK2212">
        <v>16.232138040829401</v>
      </c>
      <c r="AL2212">
        <v>80.916292114073897</v>
      </c>
      <c r="AM2212">
        <v>95.422477904828796</v>
      </c>
      <c r="AN2212">
        <v>1.00000007139317</v>
      </c>
    </row>
    <row r="2213" spans="1:40" x14ac:dyDescent="0.3">
      <c r="A2213" t="str">
        <f>"20200111150847665"</f>
        <v>20200111150847665</v>
      </c>
      <c r="B2213" t="str">
        <f>"1578726527656014"</f>
        <v>1578726527656014</v>
      </c>
      <c r="C2213" t="s">
        <v>40</v>
      </c>
      <c r="D2213">
        <v>5.1902010000000001</v>
      </c>
      <c r="E2213">
        <v>0.42615150000000002</v>
      </c>
      <c r="F2213" t="s">
        <v>43</v>
      </c>
      <c r="G2213">
        <v>-418.3458</v>
      </c>
      <c r="H2213" s="1">
        <v>-3.8959369999999998E-6</v>
      </c>
      <c r="I2213">
        <v>98.030320000000003</v>
      </c>
      <c r="J2213">
        <v>-419.03219999999999</v>
      </c>
      <c r="K2213">
        <v>1.1195919999999999</v>
      </c>
      <c r="L2213">
        <v>114.7115</v>
      </c>
      <c r="M2213">
        <v>-0.2359166</v>
      </c>
      <c r="N2213">
        <v>0</v>
      </c>
      <c r="O2213">
        <v>-0.97169139999999998</v>
      </c>
      <c r="P2213">
        <v>-0.142623</v>
      </c>
      <c r="Q2213">
        <v>0.1486672</v>
      </c>
      <c r="R2213">
        <v>-0.97854839999999998</v>
      </c>
      <c r="S2213">
        <v>0.1092529</v>
      </c>
      <c r="T2213">
        <v>-0.2047784</v>
      </c>
      <c r="U2213">
        <v>-3.1187290000000001</v>
      </c>
      <c r="V2213">
        <v>-9.619374E-2</v>
      </c>
      <c r="W2213">
        <v>0.15878120000000001</v>
      </c>
      <c r="X2213">
        <v>0.9826165</v>
      </c>
      <c r="Y2213">
        <v>-0.26973439999999999</v>
      </c>
      <c r="Z2213">
        <v>6.150999E-2</v>
      </c>
      <c r="AA2213">
        <v>0.96096820000000005</v>
      </c>
      <c r="AB2213">
        <v>40</v>
      </c>
      <c r="AC2213">
        <v>0.68639999999999102</v>
      </c>
      <c r="AD2213">
        <v>-1.11959589593699</v>
      </c>
      <c r="AE2213">
        <v>-16.681180000000001</v>
      </c>
      <c r="AF2213">
        <v>-4.5820963615962702</v>
      </c>
      <c r="AG2213">
        <v>-1.11959589593699</v>
      </c>
      <c r="AH2213">
        <v>15.9764553219946</v>
      </c>
      <c r="AI2213">
        <v>93.853744297100803</v>
      </c>
      <c r="AJ2213">
        <v>106.003053671393</v>
      </c>
      <c r="AK2213">
        <v>16.658217992715802</v>
      </c>
      <c r="AL2213">
        <v>80.863839700951303</v>
      </c>
      <c r="AM2213">
        <v>95.591183683580795</v>
      </c>
      <c r="AN2213">
        <v>0.99999994558043703</v>
      </c>
    </row>
    <row r="2214" spans="1:40" x14ac:dyDescent="0.3">
      <c r="A2214" t="str">
        <f>"20200111150847688"</f>
        <v>20200111150847688</v>
      </c>
      <c r="B2214" t="str">
        <f>"1578726527686270"</f>
        <v>1578726527686270</v>
      </c>
      <c r="C2214" t="s">
        <v>40</v>
      </c>
      <c r="D2214">
        <v>5.2293770000000004</v>
      </c>
      <c r="E2214">
        <v>0.42744369999999998</v>
      </c>
      <c r="F2214" t="s">
        <v>43</v>
      </c>
      <c r="G2214">
        <v>-418.28050000000002</v>
      </c>
      <c r="H2214" s="1">
        <v>-3.4108279999999999E-6</v>
      </c>
      <c r="I2214">
        <v>96.872479999999996</v>
      </c>
      <c r="J2214">
        <v>-419.1191</v>
      </c>
      <c r="K2214">
        <v>1.1191719999999901</v>
      </c>
      <c r="L2214">
        <v>114.33159999999999</v>
      </c>
      <c r="M2214">
        <v>-0.2283597</v>
      </c>
      <c r="N2214">
        <v>0</v>
      </c>
      <c r="O2214">
        <v>-0.97349569999999996</v>
      </c>
      <c r="P2214">
        <v>-0.1348635</v>
      </c>
      <c r="Q2214">
        <v>0.14902489999999999</v>
      </c>
      <c r="R2214">
        <v>-0.97959350000000001</v>
      </c>
      <c r="S2214">
        <v>0.13125609999999999</v>
      </c>
      <c r="T2214">
        <v>-0.1954747</v>
      </c>
      <c r="U2214">
        <v>-3.1145939999999999</v>
      </c>
      <c r="V2214">
        <v>-9.6171880000000001E-2</v>
      </c>
      <c r="W2214">
        <v>0.15918889999999999</v>
      </c>
      <c r="X2214">
        <v>0.98255269999999995</v>
      </c>
      <c r="Y2214">
        <v>-0.26908379999999998</v>
      </c>
      <c r="Z2214">
        <v>5.8970729999999999E-2</v>
      </c>
      <c r="AA2214">
        <v>0.96130970000000004</v>
      </c>
      <c r="AB2214">
        <v>40</v>
      </c>
      <c r="AC2214">
        <v>0.83859999999998502</v>
      </c>
      <c r="AD2214">
        <v>-1.1191754108280001</v>
      </c>
      <c r="AE2214">
        <v>-17.459119999999899</v>
      </c>
      <c r="AF2214">
        <v>-4.7840990207109702</v>
      </c>
      <c r="AG2214">
        <v>-1.1191754108280001</v>
      </c>
      <c r="AH2214">
        <v>16.737584412088399</v>
      </c>
      <c r="AI2214">
        <v>93.678557719058304</v>
      </c>
      <c r="AJ2214">
        <v>105.95151030649799</v>
      </c>
      <c r="AK2214">
        <v>17.443820940148299</v>
      </c>
      <c r="AL2214">
        <v>80.8401795200935</v>
      </c>
      <c r="AM2214">
        <v>95.590281807677002</v>
      </c>
      <c r="AN2214">
        <v>0.99999997233161597</v>
      </c>
    </row>
    <row r="2215" spans="1:40" x14ac:dyDescent="0.3">
      <c r="A2215" t="str">
        <f>"20200111150847710"</f>
        <v>20200111150847710</v>
      </c>
      <c r="B2215" t="str">
        <f>"1578726527705790"</f>
        <v>1578726527705790</v>
      </c>
      <c r="C2215" t="s">
        <v>40</v>
      </c>
      <c r="D2215">
        <v>5.2617799999999999</v>
      </c>
      <c r="E2215">
        <v>0.42859839999999999</v>
      </c>
      <c r="F2215" t="s">
        <v>43</v>
      </c>
      <c r="G2215">
        <v>-418.2833</v>
      </c>
      <c r="H2215" s="1">
        <v>-3.222652E-6</v>
      </c>
      <c r="I2215">
        <v>96.435010000000005</v>
      </c>
      <c r="J2215">
        <v>-419.20780000000002</v>
      </c>
      <c r="K2215">
        <v>1.1186739999999999</v>
      </c>
      <c r="L2215">
        <v>113.9316</v>
      </c>
      <c r="M2215">
        <v>-0.22105849999999999</v>
      </c>
      <c r="N2215">
        <v>0</v>
      </c>
      <c r="O2215">
        <v>-0.97518009999999999</v>
      </c>
      <c r="P2215">
        <v>-0.1307932</v>
      </c>
      <c r="Q2215">
        <v>0.1472368</v>
      </c>
      <c r="R2215">
        <v>-0.9804155</v>
      </c>
      <c r="S2215">
        <v>0.14535519999999999</v>
      </c>
      <c r="T2215">
        <v>-0.19461790000000001</v>
      </c>
      <c r="U2215">
        <v>-3.1121059999999998</v>
      </c>
      <c r="V2215">
        <v>-9.2702199999999998E-2</v>
      </c>
      <c r="W2215">
        <v>0.15755039999999901</v>
      </c>
      <c r="X2215">
        <v>0.98315010000000003</v>
      </c>
      <c r="Y2215">
        <v>-0.26624530000000002</v>
      </c>
      <c r="Z2215">
        <v>5.8936080000000002E-2</v>
      </c>
      <c r="AA2215">
        <v>0.96210189999999995</v>
      </c>
      <c r="AB2215">
        <v>40</v>
      </c>
      <c r="AC2215">
        <v>0.92450000000002297</v>
      </c>
      <c r="AD2215">
        <v>-1.1186772226520001</v>
      </c>
      <c r="AE2215">
        <v>-17.496590000000001</v>
      </c>
      <c r="AF2215">
        <v>-4.7503332363568704</v>
      </c>
      <c r="AG2215">
        <v>-1.1186772226520001</v>
      </c>
      <c r="AH2215">
        <v>16.790832035001099</v>
      </c>
      <c r="AI2215">
        <v>93.668102905359007</v>
      </c>
      <c r="AJ2215">
        <v>105.79686174517001</v>
      </c>
      <c r="AK2215">
        <v>17.485684001849599</v>
      </c>
      <c r="AL2215">
        <v>80.935258580998195</v>
      </c>
      <c r="AM2215">
        <v>95.386550099561802</v>
      </c>
      <c r="AN2215">
        <v>0.99999997277750396</v>
      </c>
    </row>
    <row r="2216" spans="1:40" x14ac:dyDescent="0.3">
      <c r="A2216" t="str">
        <f>"20200111150847733"</f>
        <v>20200111150847733</v>
      </c>
      <c r="B2216" t="str">
        <f>"1578726527725819"</f>
        <v>1578726527725819</v>
      </c>
      <c r="C2216" t="s">
        <v>40</v>
      </c>
      <c r="D2216">
        <v>5.2864389999999997</v>
      </c>
      <c r="E2216">
        <v>0.4296179</v>
      </c>
      <c r="F2216" t="s">
        <v>43</v>
      </c>
      <c r="G2216">
        <v>-418.39879999999999</v>
      </c>
      <c r="H2216" s="1">
        <v>-3.4550169999999998E-6</v>
      </c>
      <c r="I2216">
        <v>97.024439999999998</v>
      </c>
      <c r="J2216">
        <v>-419.29390000000001</v>
      </c>
      <c r="K2216">
        <v>1.1181080000000001</v>
      </c>
      <c r="L2216">
        <v>113.5312</v>
      </c>
      <c r="M2216">
        <v>-0.21448239999999999</v>
      </c>
      <c r="N2216">
        <v>0</v>
      </c>
      <c r="O2216">
        <v>-0.97664839999999997</v>
      </c>
      <c r="P2216">
        <v>-0.1275493</v>
      </c>
      <c r="Q2216">
        <v>0.14735570000000001</v>
      </c>
      <c r="R2216">
        <v>-0.98082519999999995</v>
      </c>
      <c r="S2216">
        <v>0.1488342</v>
      </c>
      <c r="T2216">
        <v>-0.20582159999999999</v>
      </c>
      <c r="U2216">
        <v>-3.110687</v>
      </c>
      <c r="V2216">
        <v>-8.9094930000000003E-2</v>
      </c>
      <c r="W2216">
        <v>0.1578222</v>
      </c>
      <c r="X2216">
        <v>0.98343999999999998</v>
      </c>
      <c r="Y2216">
        <v>-0.26082899999999998</v>
      </c>
      <c r="Z2216">
        <v>6.2535579999999993E-2</v>
      </c>
      <c r="AA2216">
        <v>0.96335740000000003</v>
      </c>
      <c r="AB2216">
        <v>40</v>
      </c>
      <c r="AC2216">
        <v>0.895100000000013</v>
      </c>
      <c r="AD2216">
        <v>-1.1181114550169999</v>
      </c>
      <c r="AE2216">
        <v>-16.50676</v>
      </c>
      <c r="AF2216">
        <v>-4.3948446035467299</v>
      </c>
      <c r="AG2216">
        <v>-1.1181114550169999</v>
      </c>
      <c r="AH2216">
        <v>15.858006745843999</v>
      </c>
      <c r="AI2216">
        <v>93.887080882070805</v>
      </c>
      <c r="AJ2216">
        <v>105.490035490509</v>
      </c>
      <c r="AK2216">
        <v>16.493671824866599</v>
      </c>
      <c r="AL2216">
        <v>80.919488479160506</v>
      </c>
      <c r="AM2216">
        <v>95.176590414687993</v>
      </c>
      <c r="AN2216">
        <v>0.99999999348227198</v>
      </c>
    </row>
    <row r="2217" spans="1:40" x14ac:dyDescent="0.3">
      <c r="A2217" t="str">
        <f>"20200111150847755"</f>
        <v>20200111150847755</v>
      </c>
      <c r="B2217" t="str">
        <f>"1578726527746313"</f>
        <v>1578726527746313</v>
      </c>
      <c r="C2217" t="s">
        <v>40</v>
      </c>
      <c r="D2217">
        <v>5.2403490000000001</v>
      </c>
      <c r="E2217">
        <v>0.43081540000000002</v>
      </c>
      <c r="F2217" t="s">
        <v>43</v>
      </c>
      <c r="G2217">
        <v>-418.49540000000002</v>
      </c>
      <c r="H2217" s="1">
        <v>-3.4347950000000002E-6</v>
      </c>
      <c r="I2217">
        <v>97.017250000000004</v>
      </c>
      <c r="J2217">
        <v>-419.37240000000003</v>
      </c>
      <c r="K2217">
        <v>1.1175299999999999</v>
      </c>
      <c r="L2217">
        <v>113.1562</v>
      </c>
      <c r="M2217">
        <v>-0.209033</v>
      </c>
      <c r="N2217">
        <v>0</v>
      </c>
      <c r="O2217">
        <v>-0.97782959999999997</v>
      </c>
      <c r="P2217">
        <v>-0.1235518</v>
      </c>
      <c r="Q2217">
        <v>0.14901099999999901</v>
      </c>
      <c r="R2217">
        <v>-0.98108640000000003</v>
      </c>
      <c r="S2217">
        <v>0.1503601</v>
      </c>
      <c r="T2217">
        <v>-0.21055779999999999</v>
      </c>
      <c r="U2217">
        <v>-3.1098330000000001</v>
      </c>
      <c r="V2217">
        <v>-8.7359000000000006E-2</v>
      </c>
      <c r="W2217">
        <v>0.15958710000000001</v>
      </c>
      <c r="X2217">
        <v>0.98331089999999999</v>
      </c>
      <c r="Y2217">
        <v>-0.25592189999999998</v>
      </c>
      <c r="Z2217">
        <v>6.414897E-2</v>
      </c>
      <c r="AA2217">
        <v>0.96456660000000005</v>
      </c>
      <c r="AB2217">
        <v>40</v>
      </c>
      <c r="AC2217">
        <v>0.87700000000000899</v>
      </c>
      <c r="AD2217">
        <v>-1.1175334347949999</v>
      </c>
      <c r="AE2217">
        <v>-16.138949999999902</v>
      </c>
      <c r="AF2217">
        <v>-4.21132353777059</v>
      </c>
      <c r="AG2217">
        <v>-1.1175334347949999</v>
      </c>
      <c r="AH2217">
        <v>15.524806801558</v>
      </c>
      <c r="AI2217">
        <v>93.9741260615546</v>
      </c>
      <c r="AJ2217">
        <v>105.17706272917199</v>
      </c>
      <c r="AK2217">
        <v>16.124631876212401</v>
      </c>
      <c r="AL2217">
        <v>80.817068980935602</v>
      </c>
      <c r="AM2217">
        <v>95.076924627120604</v>
      </c>
      <c r="AN2217">
        <v>0.999999981713109</v>
      </c>
    </row>
    <row r="2218" spans="1:40" x14ac:dyDescent="0.3">
      <c r="A2218" t="str">
        <f>"20200111150847777"</f>
        <v>20200111150847777</v>
      </c>
      <c r="B2218" t="str">
        <f>"1578726527765833"</f>
        <v>1578726527765833</v>
      </c>
      <c r="C2218" t="s">
        <v>40</v>
      </c>
      <c r="D2218">
        <v>5.2434729999999998</v>
      </c>
      <c r="E2218">
        <v>0.43212699999999998</v>
      </c>
      <c r="F2218" t="s">
        <v>43</v>
      </c>
      <c r="G2218">
        <v>-418.57549999999998</v>
      </c>
      <c r="H2218" s="1">
        <v>-3.2786369999999998E-6</v>
      </c>
      <c r="I2218">
        <v>96.686359999999993</v>
      </c>
      <c r="J2218">
        <v>-419.4529</v>
      </c>
      <c r="K2218">
        <v>1.1168720000000001</v>
      </c>
      <c r="L2218">
        <v>112.7634</v>
      </c>
      <c r="M2218">
        <v>-0.20406830000000001</v>
      </c>
      <c r="N2218">
        <v>0</v>
      </c>
      <c r="O2218">
        <v>-0.97887840000000004</v>
      </c>
      <c r="P2218">
        <v>-0.1199134</v>
      </c>
      <c r="Q2218">
        <v>0.15117720000000001</v>
      </c>
      <c r="R2218">
        <v>-0.98120640000000003</v>
      </c>
      <c r="S2218">
        <v>0.1504211</v>
      </c>
      <c r="T2218">
        <v>-0.2109434</v>
      </c>
      <c r="U2218">
        <v>-3.1088100000000001</v>
      </c>
      <c r="V2218">
        <v>-8.5713629999999999E-2</v>
      </c>
      <c r="W2218">
        <v>0.16187119999999999</v>
      </c>
      <c r="X2218">
        <v>0.98308240000000002</v>
      </c>
      <c r="Y2218">
        <v>-0.25104700000000002</v>
      </c>
      <c r="Z2218">
        <v>6.4436690000000005E-2</v>
      </c>
      <c r="AA2218">
        <v>0.96582780000000001</v>
      </c>
      <c r="AB2218">
        <v>40</v>
      </c>
      <c r="AC2218">
        <v>0.87740000000002205</v>
      </c>
      <c r="AD2218">
        <v>-1.11687527863699</v>
      </c>
      <c r="AE2218">
        <v>-16.07704</v>
      </c>
      <c r="AF2218">
        <v>-4.1201739178320302</v>
      </c>
      <c r="AG2218">
        <v>-1.11687527863699</v>
      </c>
      <c r="AH2218">
        <v>15.485098772141599</v>
      </c>
      <c r="AI2218">
        <v>93.9871109913353</v>
      </c>
      <c r="AJ2218">
        <v>104.899681113463</v>
      </c>
      <c r="AK2218">
        <v>16.062737235110198</v>
      </c>
      <c r="AL2218">
        <v>80.684476474351101</v>
      </c>
      <c r="AM2218">
        <v>94.982940777410803</v>
      </c>
      <c r="AN2218">
        <v>1.0000000584734801</v>
      </c>
    </row>
    <row r="2219" spans="1:40" x14ac:dyDescent="0.3">
      <c r="A2219" t="str">
        <f>"20200111150847800"</f>
        <v>20200111150847800</v>
      </c>
      <c r="B2219" t="str">
        <f>"1578726527796089"</f>
        <v>1578726527796089</v>
      </c>
      <c r="C2219" t="s">
        <v>40</v>
      </c>
      <c r="D2219">
        <v>5.2927160000000004</v>
      </c>
      <c r="E2219">
        <v>0.43334159999999999</v>
      </c>
      <c r="F2219" t="s">
        <v>43</v>
      </c>
      <c r="G2219">
        <v>-418.6472</v>
      </c>
      <c r="H2219" s="1">
        <v>-2.9960990000000002E-6</v>
      </c>
      <c r="I2219">
        <v>96.057400000000001</v>
      </c>
      <c r="J2219">
        <v>-419.53149999999999</v>
      </c>
      <c r="K2219">
        <v>1.11617099999999</v>
      </c>
      <c r="L2219">
        <v>112.3719</v>
      </c>
      <c r="M2219">
        <v>-0.19990089999999999</v>
      </c>
      <c r="N2219">
        <v>0</v>
      </c>
      <c r="O2219">
        <v>-0.97973869999999996</v>
      </c>
      <c r="P2219">
        <v>-0.11667429999999999</v>
      </c>
      <c r="Q2219">
        <v>0.15387229999999999</v>
      </c>
      <c r="R2219">
        <v>-0.98117799999999999</v>
      </c>
      <c r="S2219">
        <v>0.149871799999999</v>
      </c>
      <c r="T2219">
        <v>-0.20777209999999999</v>
      </c>
      <c r="U2219">
        <v>-3.1078030000000001</v>
      </c>
      <c r="V2219">
        <v>-8.4444599999999995E-2</v>
      </c>
      <c r="W2219">
        <v>0.164683</v>
      </c>
      <c r="X2219">
        <v>0.98272510000000002</v>
      </c>
      <c r="Y2219">
        <v>-0.24677360000000001</v>
      </c>
      <c r="Z2219">
        <v>6.3615729999999995E-2</v>
      </c>
      <c r="AA2219">
        <v>0.96698280000000003</v>
      </c>
      <c r="AB2219">
        <v>40</v>
      </c>
      <c r="AC2219">
        <v>0.88429999999999598</v>
      </c>
      <c r="AD2219">
        <v>-1.11617399609899</v>
      </c>
      <c r="AE2219">
        <v>-16.314499999999899</v>
      </c>
      <c r="AF2219">
        <v>-4.1088033266098396</v>
      </c>
      <c r="AG2219">
        <v>-1.11617399609899</v>
      </c>
      <c r="AH2219">
        <v>15.7349381477121</v>
      </c>
      <c r="AI2219">
        <v>93.926316651298706</v>
      </c>
      <c r="AJ2219">
        <v>104.63463595720199</v>
      </c>
      <c r="AK2219">
        <v>16.300809417898702</v>
      </c>
      <c r="AL2219">
        <v>80.5211802200878</v>
      </c>
      <c r="AM2219">
        <v>94.911305589695203</v>
      </c>
      <c r="AN2219">
        <v>1.00000000156408</v>
      </c>
    </row>
    <row r="2220" spans="1:40" x14ac:dyDescent="0.3">
      <c r="A2220" t="str">
        <f>"20200111150847822"</f>
        <v>20200111150847822</v>
      </c>
      <c r="B2220" t="str">
        <f>"1578726527815608"</f>
        <v>1578726527815608</v>
      </c>
      <c r="C2220" t="s">
        <v>40</v>
      </c>
      <c r="D2220">
        <v>5.2664730000000004</v>
      </c>
      <c r="E2220">
        <v>0.43400610000000001</v>
      </c>
      <c r="F2220" t="s">
        <v>43</v>
      </c>
      <c r="G2220">
        <v>-418.69380000000001</v>
      </c>
      <c r="H2220" s="1">
        <v>-2.5865480000000002E-6</v>
      </c>
      <c r="I2220">
        <v>95.122010000000003</v>
      </c>
      <c r="J2220">
        <v>-419.61110000000002</v>
      </c>
      <c r="K2220">
        <v>1.1154459999999999</v>
      </c>
      <c r="L2220">
        <v>111.9691</v>
      </c>
      <c r="M2220">
        <v>-0.19642109999999999</v>
      </c>
      <c r="N2220">
        <v>0</v>
      </c>
      <c r="O2220">
        <v>-0.98044260000000005</v>
      </c>
      <c r="P2220">
        <v>-0.1128233</v>
      </c>
      <c r="Q2220">
        <v>0.1564401</v>
      </c>
      <c r="R2220">
        <v>-0.98122229999999999</v>
      </c>
      <c r="S2220">
        <v>0.15087890000000001</v>
      </c>
      <c r="T2220">
        <v>-0.2010421</v>
      </c>
      <c r="U2220">
        <v>-3.1070099999999998</v>
      </c>
      <c r="V2220">
        <v>-8.4469829999999996E-2</v>
      </c>
      <c r="W2220">
        <v>0.1673529</v>
      </c>
      <c r="X2220">
        <v>0.98227180000000003</v>
      </c>
      <c r="Y2220">
        <v>-0.24366309999999999</v>
      </c>
      <c r="Z2220">
        <v>6.1672530000000003E-2</v>
      </c>
      <c r="AA2220">
        <v>0.96789709999999995</v>
      </c>
      <c r="AB2220">
        <v>40</v>
      </c>
      <c r="AC2220">
        <v>0.917300000000011</v>
      </c>
      <c r="AD2220">
        <v>-1.1154485865479999</v>
      </c>
      <c r="AE2220">
        <v>-16.847089999999898</v>
      </c>
      <c r="AF2220">
        <v>-4.1904859559356602</v>
      </c>
      <c r="AG2220">
        <v>-1.1154485865479999</v>
      </c>
      <c r="AH2220">
        <v>16.267559049746701</v>
      </c>
      <c r="AI2220">
        <v>93.798931846166298</v>
      </c>
      <c r="AJ2220">
        <v>104.44521523508401</v>
      </c>
      <c r="AK2220">
        <v>16.835613310275399</v>
      </c>
      <c r="AL2220">
        <v>80.366053583760902</v>
      </c>
      <c r="AM2220">
        <v>94.915021834086303</v>
      </c>
      <c r="AN2220">
        <v>1.0000000171969301</v>
      </c>
    </row>
    <row r="2221" spans="1:40" x14ac:dyDescent="0.3">
      <c r="A2221" t="str">
        <f>"20200111150847845"</f>
        <v>20200111150847845</v>
      </c>
      <c r="B2221" t="str">
        <f>"1578726527835635"</f>
        <v>1578726527835635</v>
      </c>
      <c r="C2221" t="s">
        <v>40</v>
      </c>
      <c r="D2221">
        <v>5.2693029999999998</v>
      </c>
      <c r="E2221">
        <v>0.43463069999999998</v>
      </c>
      <c r="F2221" t="s">
        <v>43</v>
      </c>
      <c r="G2221">
        <v>-418.7235</v>
      </c>
      <c r="H2221" s="1">
        <v>-2.209041E-6</v>
      </c>
      <c r="I2221">
        <v>94.254300000000001</v>
      </c>
      <c r="J2221">
        <v>-419.68689999999998</v>
      </c>
      <c r="K2221">
        <v>1.114806</v>
      </c>
      <c r="L2221">
        <v>111.58</v>
      </c>
      <c r="M2221">
        <v>-0.19363130000000001</v>
      </c>
      <c r="N2221">
        <v>0</v>
      </c>
      <c r="O2221">
        <v>-0.98099800000000004</v>
      </c>
      <c r="P2221">
        <v>-0.1079</v>
      </c>
      <c r="Q2221">
        <v>0.15679070000000001</v>
      </c>
      <c r="R2221">
        <v>-0.98172029999999999</v>
      </c>
      <c r="S2221">
        <v>0.15563959999999999</v>
      </c>
      <c r="T2221">
        <v>-0.19560620000000001</v>
      </c>
      <c r="U2221">
        <v>-3.1064910000000001</v>
      </c>
      <c r="V2221">
        <v>-8.6331320000000003E-2</v>
      </c>
      <c r="W2221">
        <v>0.16777500000000001</v>
      </c>
      <c r="X2221">
        <v>0.98203790000000002</v>
      </c>
      <c r="Y2221">
        <v>-0.2423969</v>
      </c>
      <c r="Z2221">
        <v>6.0081559999999999E-2</v>
      </c>
      <c r="AA2221">
        <v>0.96831500000000004</v>
      </c>
      <c r="AB2221">
        <v>40</v>
      </c>
      <c r="AC2221">
        <v>0.96339999999997805</v>
      </c>
      <c r="AD2221">
        <v>-1.1148082090410001</v>
      </c>
      <c r="AE2221">
        <v>-17.325699999999902</v>
      </c>
      <c r="AF2221">
        <v>-4.2825376752079896</v>
      </c>
      <c r="AG2221">
        <v>-1.1148082090410001</v>
      </c>
      <c r="AH2221">
        <v>16.742090693471599</v>
      </c>
      <c r="AI2221">
        <v>93.691042871983797</v>
      </c>
      <c r="AJ2221">
        <v>104.34829539482</v>
      </c>
      <c r="AK2221">
        <v>17.317058845859201</v>
      </c>
      <c r="AL2221">
        <v>80.341521947831097</v>
      </c>
      <c r="AM2221">
        <v>95.023977865492498</v>
      </c>
      <c r="AN2221">
        <v>0.99999999223717595</v>
      </c>
    </row>
    <row r="2222" spans="1:40" x14ac:dyDescent="0.3">
      <c r="A2222" t="str">
        <f>"20200111150847866"</f>
        <v>20200111150847866</v>
      </c>
      <c r="B2222" t="str">
        <f>"1578726527856132"</f>
        <v>1578726527856132</v>
      </c>
      <c r="C2222" t="s">
        <v>40</v>
      </c>
      <c r="D2222">
        <v>6.2083849999999998</v>
      </c>
      <c r="E2222">
        <v>0.43497459999999999</v>
      </c>
      <c r="F2222" t="s">
        <v>43</v>
      </c>
      <c r="G2222">
        <v>-418.76249999999999</v>
      </c>
      <c r="H2222" s="1">
        <v>-2.1417709999999998E-6</v>
      </c>
      <c r="I2222">
        <v>94.113600000000005</v>
      </c>
      <c r="J2222">
        <v>-419.7611</v>
      </c>
      <c r="K2222">
        <v>1.1142339999999999</v>
      </c>
      <c r="L2222">
        <v>111.1949</v>
      </c>
      <c r="M2222">
        <v>-0.19136649999999999</v>
      </c>
      <c r="N2222">
        <v>0</v>
      </c>
      <c r="O2222">
        <v>-0.9814427</v>
      </c>
      <c r="P2222">
        <v>-0.1044735</v>
      </c>
      <c r="Q2222">
        <v>0.15449370000000001</v>
      </c>
      <c r="R2222">
        <v>-0.98245470000000001</v>
      </c>
      <c r="S2222">
        <v>0.16436770000000001</v>
      </c>
      <c r="T2222">
        <v>-0.1982167</v>
      </c>
      <c r="U2222">
        <v>-3.105591</v>
      </c>
      <c r="V2222">
        <v>-8.7297680000000002E-2</v>
      </c>
      <c r="W2222">
        <v>0.1655605</v>
      </c>
      <c r="X2222">
        <v>0.98232830000000004</v>
      </c>
      <c r="Y2222">
        <v>-0.24288280000000001</v>
      </c>
      <c r="Z2222">
        <v>6.0931829999999999E-2</v>
      </c>
      <c r="AA2222">
        <v>0.96814009999999995</v>
      </c>
      <c r="AB2222">
        <v>40</v>
      </c>
      <c r="AC2222">
        <v>0.99860000000001004</v>
      </c>
      <c r="AD2222">
        <v>-1.1142361417710001</v>
      </c>
      <c r="AE2222">
        <v>-17.081299999999999</v>
      </c>
      <c r="AF2222">
        <v>-4.2312309370606496</v>
      </c>
      <c r="AG2222">
        <v>-1.1142361417710001</v>
      </c>
      <c r="AH2222">
        <v>16.5044647819883</v>
      </c>
      <c r="AI2222">
        <v>93.741604544151997</v>
      </c>
      <c r="AJ2222">
        <v>104.37916942669899</v>
      </c>
      <c r="AK2222">
        <v>17.074606735215301</v>
      </c>
      <c r="AL2222">
        <v>80.470203663311096</v>
      </c>
      <c r="AM2222">
        <v>95.078427839152297</v>
      </c>
      <c r="AN2222">
        <v>1.0000000265372599</v>
      </c>
    </row>
    <row r="2223" spans="1:40" x14ac:dyDescent="0.3">
      <c r="A2223" t="str">
        <f>"20200111150847889"</f>
        <v>20200111150847889</v>
      </c>
      <c r="B2223" t="str">
        <f>"1578726527885412"</f>
        <v>1578726527885412</v>
      </c>
      <c r="C2223" t="s">
        <v>40</v>
      </c>
      <c r="D2223">
        <v>8.6259569999999997</v>
      </c>
      <c r="E2223">
        <v>0.43089929999999899</v>
      </c>
      <c r="F2223" t="s">
        <v>43</v>
      </c>
      <c r="G2223">
        <v>-418.83019999999999</v>
      </c>
      <c r="H2223" s="1">
        <v>-2.2759079999999999E-6</v>
      </c>
      <c r="I2223">
        <v>94.454250000000002</v>
      </c>
      <c r="J2223">
        <v>-419.83699999999999</v>
      </c>
      <c r="K2223">
        <v>1.113691</v>
      </c>
      <c r="L2223">
        <v>110.7975</v>
      </c>
      <c r="M2223">
        <v>-0.18948029999999999</v>
      </c>
      <c r="N2223">
        <v>0</v>
      </c>
      <c r="O2223">
        <v>-0.98180900000000004</v>
      </c>
      <c r="P2223">
        <v>-0.1019212</v>
      </c>
      <c r="Q2223">
        <v>0.15270230000000001</v>
      </c>
      <c r="R2223">
        <v>-0.98300240000000005</v>
      </c>
      <c r="S2223">
        <v>0.17263789999999901</v>
      </c>
      <c r="T2223">
        <v>-0.2066269</v>
      </c>
      <c r="U2223">
        <v>-3.1044309999999999</v>
      </c>
      <c r="V2223">
        <v>-8.7776930000000003E-2</v>
      </c>
      <c r="W2223">
        <v>0.16385179999999999</v>
      </c>
      <c r="X2223">
        <v>0.982572</v>
      </c>
      <c r="Y2223">
        <v>-0.24359980000000001</v>
      </c>
      <c r="Z2223">
        <v>6.3555429999999996E-2</v>
      </c>
      <c r="AA2223">
        <v>0.96779119999999996</v>
      </c>
      <c r="AB2223">
        <v>40</v>
      </c>
      <c r="AC2223">
        <v>1.0067999999999899</v>
      </c>
      <c r="AD2223">
        <v>-1.113693275908</v>
      </c>
      <c r="AE2223">
        <v>-16.343249999999902</v>
      </c>
      <c r="AF2223">
        <v>-4.0666994612141796</v>
      </c>
      <c r="AG2223">
        <v>-1.113693275908</v>
      </c>
      <c r="AH2223">
        <v>15.783342628039</v>
      </c>
      <c r="AI2223">
        <v>93.908923689164595</v>
      </c>
      <c r="AJ2223">
        <v>104.44843746772401</v>
      </c>
      <c r="AK2223">
        <v>16.336837568351999</v>
      </c>
      <c r="AL2223">
        <v>80.569460003030599</v>
      </c>
      <c r="AM2223">
        <v>95.104900842494104</v>
      </c>
      <c r="AN2223">
        <v>0.99999996849373196</v>
      </c>
    </row>
    <row r="2224" spans="1:40" x14ac:dyDescent="0.3">
      <c r="A2224" t="str">
        <f>"20200111150847912"</f>
        <v>20200111150847912</v>
      </c>
      <c r="B2224" t="str">
        <f>"1578726527905908"</f>
        <v>1578726527905908</v>
      </c>
      <c r="C2224" t="s">
        <v>40</v>
      </c>
      <c r="D2224">
        <v>6.4901689999999999</v>
      </c>
      <c r="E2224">
        <v>0.43089929999999899</v>
      </c>
      <c r="F2224" t="s">
        <v>49</v>
      </c>
      <c r="G2224">
        <v>0</v>
      </c>
      <c r="H2224">
        <v>0</v>
      </c>
      <c r="I2224">
        <v>0</v>
      </c>
      <c r="J2224">
        <v>-419.9144</v>
      </c>
      <c r="K2224">
        <v>1.1131930000000001</v>
      </c>
      <c r="L2224">
        <v>110.38849999999999</v>
      </c>
      <c r="M2224">
        <v>-0.1879093</v>
      </c>
      <c r="N2224">
        <v>0</v>
      </c>
      <c r="O2224">
        <v>-0.98211110000000001</v>
      </c>
      <c r="P2224">
        <v>-9.9805969999999994E-2</v>
      </c>
      <c r="Q2224">
        <v>0.15203449999999999</v>
      </c>
      <c r="R2224">
        <v>-0.9833229</v>
      </c>
      <c r="S2224">
        <v>0.26025389999999998</v>
      </c>
      <c r="T2224">
        <v>0.86029009999999995</v>
      </c>
      <c r="U2224">
        <v>-2.945236</v>
      </c>
      <c r="V2224">
        <v>-8.8129589999999994E-2</v>
      </c>
      <c r="W2224">
        <v>0.16325999999999999</v>
      </c>
      <c r="X2224">
        <v>0.98263900000000004</v>
      </c>
      <c r="Y2224">
        <v>-0.27024029999999999</v>
      </c>
      <c r="Z2224">
        <v>-0.2672271</v>
      </c>
      <c r="AA2224">
        <v>0.92496480000000003</v>
      </c>
      <c r="AB2224">
        <v>40</v>
      </c>
      <c r="AC2224">
        <v>0.26025389999999998</v>
      </c>
      <c r="AD2224">
        <v>0.86029009999999995</v>
      </c>
      <c r="AE2224">
        <v>-2.945236</v>
      </c>
      <c r="AF2224">
        <v>-0.74594458721967805</v>
      </c>
      <c r="AG2224">
        <v>0.86029009999999995</v>
      </c>
      <c r="AH2224">
        <v>2.6218893124289702</v>
      </c>
      <c r="AI2224">
        <v>72.4846071304204</v>
      </c>
      <c r="AJ2224">
        <v>105.88139792309499</v>
      </c>
      <c r="AK2224">
        <v>2.8584674127912701</v>
      </c>
      <c r="AL2224">
        <v>80.603831044288498</v>
      </c>
      <c r="AM2224">
        <v>95.124954101228596</v>
      </c>
      <c r="AN2224">
        <v>1.0000000282772801</v>
      </c>
    </row>
    <row r="2225" spans="1:40" x14ac:dyDescent="0.3">
      <c r="A2225" t="str">
        <f>"20200111150847934"</f>
        <v>20200111150847934</v>
      </c>
      <c r="B2225" t="str">
        <f>"1578726527925937"</f>
        <v>1578726527925937</v>
      </c>
      <c r="C2225" t="s">
        <v>40</v>
      </c>
      <c r="D2225">
        <v>5.184272</v>
      </c>
      <c r="E2225">
        <v>0.43467099999999997</v>
      </c>
      <c r="F2225" t="s">
        <v>49</v>
      </c>
      <c r="G2225">
        <v>0</v>
      </c>
      <c r="H2225">
        <v>0</v>
      </c>
      <c r="I2225">
        <v>0</v>
      </c>
      <c r="J2225">
        <v>-419.98770000000002</v>
      </c>
      <c r="K2225">
        <v>1.11277</v>
      </c>
      <c r="L2225">
        <v>109.99850000000001</v>
      </c>
      <c r="M2225">
        <v>-0.18664330000000001</v>
      </c>
      <c r="N2225">
        <v>0</v>
      </c>
      <c r="O2225">
        <v>-0.98235300000000003</v>
      </c>
      <c r="P2225">
        <v>-9.9008280000000004E-2</v>
      </c>
      <c r="Q2225">
        <v>0.1520831</v>
      </c>
      <c r="R2225">
        <v>-0.98339659999999995</v>
      </c>
      <c r="S2225">
        <v>0.26617429999999997</v>
      </c>
      <c r="T2225">
        <v>0.8583575</v>
      </c>
      <c r="U2225">
        <v>-2.9451900000000002</v>
      </c>
      <c r="V2225">
        <v>-8.7487330000000002E-2</v>
      </c>
      <c r="W2225">
        <v>0.1633791</v>
      </c>
      <c r="X2225">
        <v>0.98267660000000001</v>
      </c>
      <c r="Y2225">
        <v>-0.27086070000000001</v>
      </c>
      <c r="Z2225">
        <v>-0.26673000000000002</v>
      </c>
      <c r="AA2225">
        <v>0.92492680000000005</v>
      </c>
      <c r="AB2225">
        <v>40</v>
      </c>
      <c r="AC2225">
        <v>0.26617429999999997</v>
      </c>
      <c r="AD2225">
        <v>0.8583575</v>
      </c>
      <c r="AE2225">
        <v>-2.9451900000000002</v>
      </c>
      <c r="AF2225">
        <v>-0.74819981815410896</v>
      </c>
      <c r="AG2225">
        <v>0.8583575</v>
      </c>
      <c r="AH2225">
        <v>2.6227731852091098</v>
      </c>
      <c r="AI2225">
        <v>72.530390981065395</v>
      </c>
      <c r="AJ2225">
        <v>105.92188512474701</v>
      </c>
      <c r="AK2225">
        <v>2.8592865800307701</v>
      </c>
      <c r="AL2225">
        <v>80.596914279393204</v>
      </c>
      <c r="AM2225">
        <v>95.087608179646693</v>
      </c>
      <c r="AN2225">
        <v>1.00000003170744</v>
      </c>
    </row>
    <row r="2226" spans="1:40" x14ac:dyDescent="0.3">
      <c r="A2226" t="str">
        <f>"20200111150847956"</f>
        <v>20200111150847956</v>
      </c>
      <c r="B2226" t="str">
        <f>"1578726527945456"</f>
        <v>1578726527945456</v>
      </c>
      <c r="C2226" t="s">
        <v>40</v>
      </c>
      <c r="D2226">
        <v>5.1272690000000001</v>
      </c>
      <c r="E2226">
        <v>0.47141250000000001</v>
      </c>
      <c r="F2226" t="s">
        <v>88</v>
      </c>
      <c r="G2226">
        <v>-411.34160000000003</v>
      </c>
      <c r="H2226">
        <v>30.41555</v>
      </c>
      <c r="I2226">
        <v>1.8625719999999999</v>
      </c>
      <c r="J2226">
        <v>-420.06</v>
      </c>
      <c r="K2226">
        <v>1.1124130000000001</v>
      </c>
      <c r="L2226">
        <v>109.6117</v>
      </c>
      <c r="M2226">
        <v>-0.1855202</v>
      </c>
      <c r="N2226">
        <v>0</v>
      </c>
      <c r="O2226">
        <v>-0.98256619999999995</v>
      </c>
      <c r="P2226">
        <v>-9.9999130000000006E-2</v>
      </c>
      <c r="Q2226">
        <v>0.15179960000000001</v>
      </c>
      <c r="R2226">
        <v>-0.98333999999999999</v>
      </c>
      <c r="S2226">
        <v>0.23593140000000001</v>
      </c>
      <c r="T2226">
        <v>0.79959930000000001</v>
      </c>
      <c r="U2226">
        <v>-2.9507599999999998</v>
      </c>
      <c r="V2226">
        <v>-8.5231109999999999E-2</v>
      </c>
      <c r="W2226">
        <v>0.16316600000000001</v>
      </c>
      <c r="X2226">
        <v>0.98291019999999896</v>
      </c>
      <c r="Y2226">
        <v>-0.26057190000000002</v>
      </c>
      <c r="Z2226">
        <v>-0.2498785</v>
      </c>
      <c r="AA2226">
        <v>0.93255730000000003</v>
      </c>
      <c r="AB2226">
        <v>40</v>
      </c>
      <c r="AC2226">
        <v>8.7183999999999706</v>
      </c>
      <c r="AD2226">
        <v>29.303137</v>
      </c>
      <c r="AE2226">
        <v>-107.749128</v>
      </c>
      <c r="AF2226">
        <v>-26.603327459264101</v>
      </c>
      <c r="AG2226">
        <v>29.303137</v>
      </c>
      <c r="AH2226">
        <v>97.124176065020805</v>
      </c>
      <c r="AI2226">
        <v>73.775566687255406</v>
      </c>
      <c r="AJ2226">
        <v>105.318197945988</v>
      </c>
      <c r="AK2226">
        <v>104.87857953965</v>
      </c>
      <c r="AL2226">
        <v>80.609289528600002</v>
      </c>
      <c r="AM2226">
        <v>94.955893412101304</v>
      </c>
      <c r="AN2226">
        <v>0.99999997346593505</v>
      </c>
    </row>
    <row r="2227" spans="1:40" x14ac:dyDescent="0.3">
      <c r="A2227" t="str">
        <f>"20200111150847978"</f>
        <v>20200111150847978</v>
      </c>
      <c r="B2227" t="str">
        <f>"1578726527975713"</f>
        <v>1578726527975713</v>
      </c>
      <c r="C2227" t="s">
        <v>40</v>
      </c>
      <c r="D2227">
        <v>4.9956230000000001</v>
      </c>
      <c r="E2227">
        <v>0.47284080000000001</v>
      </c>
      <c r="F2227" t="s">
        <v>43</v>
      </c>
      <c r="G2227">
        <v>-420.6078</v>
      </c>
      <c r="H2227" s="1">
        <v>-1.605704E-6</v>
      </c>
      <c r="I2227">
        <v>92.955070000000006</v>
      </c>
      <c r="J2227">
        <v>-420.13299999999998</v>
      </c>
      <c r="K2227">
        <v>1.112115</v>
      </c>
      <c r="L2227">
        <v>109.2187</v>
      </c>
      <c r="M2227">
        <v>-0.18444479999999999</v>
      </c>
      <c r="N2227">
        <v>0</v>
      </c>
      <c r="O2227">
        <v>-0.98276870000000005</v>
      </c>
      <c r="P2227">
        <v>-0.1014231</v>
      </c>
      <c r="Q2227">
        <v>0.15094569999999999</v>
      </c>
      <c r="R2227">
        <v>-0.98332549999999996</v>
      </c>
      <c r="S2227">
        <v>-0.1010437</v>
      </c>
      <c r="T2227">
        <v>-0.20517840000000001</v>
      </c>
      <c r="U2227">
        <v>-3.0722200000000002</v>
      </c>
      <c r="V2227">
        <v>-8.2626039999999998E-2</v>
      </c>
      <c r="W2227">
        <v>0.1623723</v>
      </c>
      <c r="X2227">
        <v>0.98326400000000003</v>
      </c>
      <c r="Y2227">
        <v>-0.15211830000000001</v>
      </c>
      <c r="Z2227">
        <v>6.451954E-2</v>
      </c>
      <c r="AA2227">
        <v>0.98625419999999997</v>
      </c>
      <c r="AB2227">
        <v>40</v>
      </c>
      <c r="AC2227">
        <v>-0.47479999999995898</v>
      </c>
      <c r="AD2227">
        <v>-1.1121166057039999</v>
      </c>
      <c r="AE2227">
        <v>-16.263629999999999</v>
      </c>
      <c r="AF2227">
        <v>-2.5215277025510701</v>
      </c>
      <c r="AG2227">
        <v>-1.1121166057039999</v>
      </c>
      <c r="AH2227">
        <v>15.9973939930351</v>
      </c>
      <c r="AI2227">
        <v>93.928379819112905</v>
      </c>
      <c r="AJ2227">
        <v>98.957332117006899</v>
      </c>
      <c r="AK2227">
        <v>16.233037912473701</v>
      </c>
      <c r="AL2227">
        <v>80.655379716503504</v>
      </c>
      <c r="AM2227">
        <v>94.803417082715498</v>
      </c>
      <c r="AN2227">
        <v>0.99999995999468505</v>
      </c>
    </row>
    <row r="2228" spans="1:40" x14ac:dyDescent="0.3">
      <c r="A2228" t="str">
        <f>"20200111150848001"</f>
        <v>20200111150848001</v>
      </c>
      <c r="B2228" t="str">
        <f>"1578726527995232"</f>
        <v>1578726527995232</v>
      </c>
      <c r="C2228" t="s">
        <v>40</v>
      </c>
      <c r="D2228">
        <v>5.0936640000000004</v>
      </c>
      <c r="E2228">
        <v>0.46306819999999999</v>
      </c>
      <c r="F2228" t="s">
        <v>43</v>
      </c>
      <c r="G2228">
        <v>-420.75479999999999</v>
      </c>
      <c r="H2228" s="1">
        <v>-1.6416389999999999E-6</v>
      </c>
      <c r="I2228">
        <v>92.947640000000007</v>
      </c>
      <c r="J2228">
        <v>-420.2072</v>
      </c>
      <c r="K2228">
        <v>1.111891</v>
      </c>
      <c r="L2228">
        <v>108.8167</v>
      </c>
      <c r="M2228">
        <v>-0.18334900000000001</v>
      </c>
      <c r="N2228">
        <v>0</v>
      </c>
      <c r="O2228">
        <v>-0.98297380000000001</v>
      </c>
      <c r="P2228">
        <v>-0.1016456</v>
      </c>
      <c r="Q2228">
        <v>0.14975620000000001</v>
      </c>
      <c r="R2228">
        <v>-0.98348429999999998</v>
      </c>
      <c r="S2228">
        <v>-0.11737060000000001</v>
      </c>
      <c r="T2228">
        <v>-0.2098999</v>
      </c>
      <c r="U2228">
        <v>-3.0709840000000002</v>
      </c>
      <c r="V2228">
        <v>-8.1238669999999999E-2</v>
      </c>
      <c r="W2228">
        <v>0.1612208</v>
      </c>
      <c r="X2228">
        <v>0.98356909999999997</v>
      </c>
      <c r="Y2228">
        <v>-0.14576729999999999</v>
      </c>
      <c r="Z2228">
        <v>6.6071560000000001E-2</v>
      </c>
      <c r="AA2228">
        <v>0.98711009999999999</v>
      </c>
      <c r="AB2228">
        <v>40</v>
      </c>
      <c r="AC2228">
        <v>-0.54759999999998799</v>
      </c>
      <c r="AD2228">
        <v>-1.111892641639</v>
      </c>
      <c r="AE2228">
        <v>-15.8690599999999</v>
      </c>
      <c r="AF2228">
        <v>-2.3599007598138</v>
      </c>
      <c r="AG2228">
        <v>-1.111892641639</v>
      </c>
      <c r="AH2228">
        <v>15.623804192801501</v>
      </c>
      <c r="AI2228">
        <v>94.025176515077405</v>
      </c>
      <c r="AJ2228">
        <v>98.589324853366804</v>
      </c>
      <c r="AK2228">
        <v>15.8400976732375</v>
      </c>
      <c r="AL2228">
        <v>80.722237284554296</v>
      </c>
      <c r="AM2228">
        <v>94.721672634788405</v>
      </c>
      <c r="AN2228">
        <v>1.0000000211654001</v>
      </c>
    </row>
    <row r="2229" spans="1:40" x14ac:dyDescent="0.3">
      <c r="A2229" t="str">
        <f>"20200111150848024"</f>
        <v>20200111150848024</v>
      </c>
      <c r="B2229" t="str">
        <f>"1578726528015728"</f>
        <v>1578726528015728</v>
      </c>
      <c r="C2229" t="s">
        <v>40</v>
      </c>
      <c r="D2229">
        <v>5.0546049999999996</v>
      </c>
      <c r="E2229">
        <v>0.47357579999999999</v>
      </c>
      <c r="F2229" t="s">
        <v>88</v>
      </c>
      <c r="G2229">
        <v>-420.50409999999999</v>
      </c>
      <c r="H2229">
        <v>20.491910000000001</v>
      </c>
      <c r="I2229">
        <v>1.0416339999999999</v>
      </c>
      <c r="J2229">
        <v>-420.28120000000001</v>
      </c>
      <c r="K2229">
        <v>1.111737</v>
      </c>
      <c r="L2229">
        <v>108.4123</v>
      </c>
      <c r="M2229">
        <v>-0.182197</v>
      </c>
      <c r="N2229">
        <v>0</v>
      </c>
      <c r="O2229">
        <v>-0.98318830000000002</v>
      </c>
      <c r="P2229">
        <v>-0.1024456</v>
      </c>
      <c r="Q2229">
        <v>0.1488177</v>
      </c>
      <c r="R2229">
        <v>-0.98354379999999997</v>
      </c>
      <c r="S2229">
        <v>-8.178711E-3</v>
      </c>
      <c r="T2229">
        <v>0.5337499</v>
      </c>
      <c r="U2229">
        <v>-2.9682620000000002</v>
      </c>
      <c r="V2229">
        <v>-7.9239790000000004E-2</v>
      </c>
      <c r="W2229">
        <v>0.16031110000000001</v>
      </c>
      <c r="X2229">
        <v>0.9838808</v>
      </c>
      <c r="Y2229">
        <v>-0.17951789999999901</v>
      </c>
      <c r="Z2229">
        <v>-0.17112260000000001</v>
      </c>
      <c r="AA2229">
        <v>0.96875719999999998</v>
      </c>
      <c r="AB2229">
        <v>40</v>
      </c>
      <c r="AC2229">
        <v>-0.222899999999981</v>
      </c>
      <c r="AD2229">
        <v>19.380172999999999</v>
      </c>
      <c r="AE2229">
        <v>-107.37066599999901</v>
      </c>
      <c r="AF2229">
        <v>-18.734505685738899</v>
      </c>
      <c r="AG2229">
        <v>19.380172999999999</v>
      </c>
      <c r="AH2229">
        <v>102.28158715666</v>
      </c>
      <c r="AI2229">
        <v>79.442463545684205</v>
      </c>
      <c r="AJ2229">
        <v>100.37957991294699</v>
      </c>
      <c r="AK2229">
        <v>105.77379581013599</v>
      </c>
      <c r="AL2229">
        <v>80.775046068547098</v>
      </c>
      <c r="AM2229">
        <v>94.604548942044502</v>
      </c>
      <c r="AN2229">
        <v>1.00000001085554</v>
      </c>
    </row>
    <row r="2230" spans="1:40" x14ac:dyDescent="0.3">
      <c r="A2230" t="str">
        <f>"20200111150848046"</f>
        <v>20200111150848046</v>
      </c>
      <c r="B2230" t="str">
        <f>"1578726528035757"</f>
        <v>1578726528035757</v>
      </c>
      <c r="C2230" t="s">
        <v>40</v>
      </c>
      <c r="D2230">
        <v>5.1701360000000003</v>
      </c>
      <c r="E2230">
        <v>0.47291349999999999</v>
      </c>
      <c r="F2230" t="s">
        <v>43</v>
      </c>
      <c r="G2230">
        <v>-420.89699999999999</v>
      </c>
      <c r="H2230" s="1">
        <v>-2.0178680000000002E-6</v>
      </c>
      <c r="I2230">
        <v>93.736429999999999</v>
      </c>
      <c r="J2230">
        <v>-420.3528</v>
      </c>
      <c r="K2230">
        <v>1.111639</v>
      </c>
      <c r="L2230">
        <v>108.01900000000001</v>
      </c>
      <c r="M2230">
        <v>-0.18101600000000001</v>
      </c>
      <c r="N2230">
        <v>0</v>
      </c>
      <c r="O2230">
        <v>-0.98340660000000002</v>
      </c>
      <c r="P2230">
        <v>-0.10306410000000001</v>
      </c>
      <c r="Q2230">
        <v>0.1482656</v>
      </c>
      <c r="R2230">
        <v>-0.98356279999999996</v>
      </c>
      <c r="S2230">
        <v>-0.1289063</v>
      </c>
      <c r="T2230">
        <v>-0.2327109</v>
      </c>
      <c r="U2230">
        <v>-3.0719759999999998</v>
      </c>
      <c r="V2230">
        <v>-7.7405950000000001E-2</v>
      </c>
      <c r="W2230">
        <v>0.1597769</v>
      </c>
      <c r="X2230">
        <v>0.98411360000000003</v>
      </c>
      <c r="Y2230">
        <v>-0.1397495</v>
      </c>
      <c r="Z2230">
        <v>7.3266250000000005E-2</v>
      </c>
      <c r="AA2230">
        <v>0.98747260000000003</v>
      </c>
      <c r="AB2230">
        <v>40</v>
      </c>
      <c r="AC2230">
        <v>-0.54419999999998903</v>
      </c>
      <c r="AD2230">
        <v>-1.1116410178680001</v>
      </c>
      <c r="AE2230">
        <v>-14.2825699999999</v>
      </c>
      <c r="AF2230">
        <v>-2.03802404759054</v>
      </c>
      <c r="AG2230">
        <v>-1.1116410178680001</v>
      </c>
      <c r="AH2230">
        <v>14.060055890077701</v>
      </c>
      <c r="AI2230">
        <v>94.474051606538694</v>
      </c>
      <c r="AJ2230">
        <v>98.247657030773794</v>
      </c>
      <c r="AK2230">
        <v>14.2504196220066</v>
      </c>
      <c r="AL2230">
        <v>80.806052671593903</v>
      </c>
      <c r="AM2230">
        <v>94.497368990011594</v>
      </c>
      <c r="AN2230">
        <v>0.99999995828698496</v>
      </c>
    </row>
    <row r="2231" spans="1:40" x14ac:dyDescent="0.3">
      <c r="A2231" t="str">
        <f>"20200111150848067"</f>
        <v>20200111150848067</v>
      </c>
      <c r="B2231" t="str">
        <f>"1578726528066012"</f>
        <v>1578726528066012</v>
      </c>
      <c r="C2231" t="s">
        <v>40</v>
      </c>
      <c r="D2231">
        <v>5.2712890000000003</v>
      </c>
      <c r="E2231">
        <v>0.47590559999999998</v>
      </c>
      <c r="F2231" t="s">
        <v>88</v>
      </c>
      <c r="G2231">
        <v>-423.27699999999999</v>
      </c>
      <c r="H2231">
        <v>29.719470000000001</v>
      </c>
      <c r="I2231">
        <v>0.44415660000000001</v>
      </c>
      <c r="J2231">
        <v>-420.42259999999999</v>
      </c>
      <c r="K2231">
        <v>1.1115870000000001</v>
      </c>
      <c r="L2231">
        <v>107.6328</v>
      </c>
      <c r="M2231">
        <v>-0.17976489999999901</v>
      </c>
      <c r="N2231">
        <v>0</v>
      </c>
      <c r="O2231">
        <v>-0.98363610000000001</v>
      </c>
      <c r="P2231">
        <v>-0.1034722</v>
      </c>
      <c r="Q2231">
        <v>0.14898249999999999</v>
      </c>
      <c r="R2231">
        <v>-0.98341129999999999</v>
      </c>
      <c r="S2231">
        <v>-7.9498289999999999E-2</v>
      </c>
      <c r="T2231">
        <v>0.77774370000000004</v>
      </c>
      <c r="U2231">
        <v>-2.9245760000000001</v>
      </c>
      <c r="V2231">
        <v>-7.5701859999999996E-2</v>
      </c>
      <c r="W2231">
        <v>0.16050130000000001</v>
      </c>
      <c r="X2231">
        <v>0.98412840000000001</v>
      </c>
      <c r="Y2231">
        <v>-0.15381710000000001</v>
      </c>
      <c r="Z2231">
        <v>-0.24923409999999999</v>
      </c>
      <c r="AA2231">
        <v>0.9561499</v>
      </c>
      <c r="AB2231">
        <v>40</v>
      </c>
      <c r="AC2231">
        <v>-2.8543999999999898</v>
      </c>
      <c r="AD2231">
        <v>28.607883000000001</v>
      </c>
      <c r="AE2231">
        <v>-107.1886434</v>
      </c>
      <c r="AF2231">
        <v>-15.368318034609301</v>
      </c>
      <c r="AG2231">
        <v>28.607883000000001</v>
      </c>
      <c r="AH2231">
        <v>98.914534192728496</v>
      </c>
      <c r="AI2231">
        <v>74.050629216350998</v>
      </c>
      <c r="AJ2231">
        <v>98.831415151531601</v>
      </c>
      <c r="AK2231">
        <v>104.10898733307801</v>
      </c>
      <c r="AL2231">
        <v>80.764006029123095</v>
      </c>
      <c r="AM2231">
        <v>94.398686567116201</v>
      </c>
      <c r="AN2231">
        <v>1.00000007329785</v>
      </c>
    </row>
    <row r="2232" spans="1:40" x14ac:dyDescent="0.3">
      <c r="A2232" t="str">
        <f>"20200111150848090"</f>
        <v>20200111150848090</v>
      </c>
      <c r="B2232" t="str">
        <f>"1578726528085532"</f>
        <v>1578726528085532</v>
      </c>
      <c r="C2232" t="s">
        <v>40</v>
      </c>
      <c r="D2232">
        <v>5.1745809999999999</v>
      </c>
      <c r="E2232">
        <v>0.47519050000000002</v>
      </c>
      <c r="F2232" t="s">
        <v>43</v>
      </c>
      <c r="G2232">
        <v>-421.11309999999997</v>
      </c>
      <c r="H2232" s="1">
        <v>-1.9600669999999998E-6</v>
      </c>
      <c r="I2232">
        <v>93.467699999999994</v>
      </c>
      <c r="J2232">
        <v>-420.49279999999999</v>
      </c>
      <c r="K2232">
        <v>1.111578</v>
      </c>
      <c r="L2232">
        <v>107.2409</v>
      </c>
      <c r="M2232">
        <v>-0.1783689</v>
      </c>
      <c r="N2232">
        <v>0</v>
      </c>
      <c r="O2232">
        <v>-0.98389020000000005</v>
      </c>
      <c r="P2232">
        <v>-0.10416060000000001</v>
      </c>
      <c r="Q2232">
        <v>0.14936089999999999</v>
      </c>
      <c r="R2232">
        <v>-0.98328110000000002</v>
      </c>
      <c r="S2232">
        <v>-0.1497192</v>
      </c>
      <c r="T2232">
        <v>-0.24102180000000001</v>
      </c>
      <c r="U2232">
        <v>-3.0713650000000001</v>
      </c>
      <c r="V2232">
        <v>-7.3597070000000001E-2</v>
      </c>
      <c r="W2232">
        <v>0.1608829</v>
      </c>
      <c r="X2232">
        <v>0.98422569999999998</v>
      </c>
      <c r="Y2232">
        <v>-0.13040289999999999</v>
      </c>
      <c r="Z2232">
        <v>7.5977470000000005E-2</v>
      </c>
      <c r="AA2232">
        <v>0.98854569999999997</v>
      </c>
      <c r="AB2232">
        <v>40</v>
      </c>
      <c r="AC2232">
        <v>-0.62029999999998597</v>
      </c>
      <c r="AD2232">
        <v>-1.111579960067</v>
      </c>
      <c r="AE2232">
        <v>-13.773199999999999</v>
      </c>
      <c r="AF2232">
        <v>-1.8346114821375199</v>
      </c>
      <c r="AG2232">
        <v>-1.111579960067</v>
      </c>
      <c r="AH2232">
        <v>13.5747073370375</v>
      </c>
      <c r="AI2232">
        <v>94.639293133173396</v>
      </c>
      <c r="AJ2232">
        <v>97.696845800507703</v>
      </c>
      <c r="AK2232">
        <v>13.743146968006799</v>
      </c>
      <c r="AL2232">
        <v>80.741853705334094</v>
      </c>
      <c r="AM2232">
        <v>94.276425908599904</v>
      </c>
      <c r="AN2232">
        <v>1.00000003238274</v>
      </c>
    </row>
    <row r="2233" spans="1:40" x14ac:dyDescent="0.3">
      <c r="A2233" t="str">
        <f>"20200111150848113"</f>
        <v>20200111150848113</v>
      </c>
      <c r="B2233" t="str">
        <f>"1578726528106028"</f>
        <v>1578726528106028</v>
      </c>
      <c r="C2233" t="s">
        <v>40</v>
      </c>
      <c r="D2233">
        <v>5.1232350000000002</v>
      </c>
      <c r="E2233">
        <v>0.47466049999999899</v>
      </c>
      <c r="F2233" t="s">
        <v>43</v>
      </c>
      <c r="G2233">
        <v>-421.16219999999998</v>
      </c>
      <c r="H2233" s="1">
        <v>-1.8250830000000001E-6</v>
      </c>
      <c r="I2233">
        <v>93.122600000000006</v>
      </c>
      <c r="J2233">
        <v>-420.56670000000003</v>
      </c>
      <c r="K2233">
        <v>1.111612</v>
      </c>
      <c r="L2233">
        <v>106.8245</v>
      </c>
      <c r="M2233">
        <v>-0.17672639999999901</v>
      </c>
      <c r="N2233">
        <v>0</v>
      </c>
      <c r="O2233">
        <v>-0.98418680000000003</v>
      </c>
      <c r="P2233">
        <v>-0.1049962</v>
      </c>
      <c r="Q2233">
        <v>0.1491576</v>
      </c>
      <c r="R2233">
        <v>-0.98322330000000002</v>
      </c>
      <c r="S2233">
        <v>-0.1456604</v>
      </c>
      <c r="T2233">
        <v>-0.24189359999999999</v>
      </c>
      <c r="U2233">
        <v>-3.072311</v>
      </c>
      <c r="V2233">
        <v>-7.1128750000000004E-2</v>
      </c>
      <c r="W2233">
        <v>0.16068009999999999</v>
      </c>
      <c r="X2233">
        <v>0.98444030000000005</v>
      </c>
      <c r="Y2233">
        <v>-0.13006669999999901</v>
      </c>
      <c r="Z2233">
        <v>7.6266139999999996E-2</v>
      </c>
      <c r="AA2233">
        <v>0.98856770000000005</v>
      </c>
      <c r="AB2233">
        <v>40</v>
      </c>
      <c r="AC2233">
        <v>-0.59549999999995795</v>
      </c>
      <c r="AD2233">
        <v>-1.1116138250830001</v>
      </c>
      <c r="AE2233">
        <v>-13.701899999999901</v>
      </c>
      <c r="AF2233">
        <v>-1.82355679383459</v>
      </c>
      <c r="AG2233">
        <v>-1.1116138250830001</v>
      </c>
      <c r="AH2233">
        <v>13.5027439989565</v>
      </c>
      <c r="AI2233">
        <v>94.664111712519002</v>
      </c>
      <c r="AJ2233">
        <v>97.6913080072231</v>
      </c>
      <c r="AK2233">
        <v>13.6705939950615</v>
      </c>
      <c r="AL2233">
        <v>80.753626606620699</v>
      </c>
      <c r="AM2233">
        <v>94.132609647472606</v>
      </c>
      <c r="AN2233">
        <v>1.0000000489383301</v>
      </c>
    </row>
    <row r="2234" spans="1:40" x14ac:dyDescent="0.3">
      <c r="A2234" t="str">
        <f>"20200111150848136"</f>
        <v>20200111150848136</v>
      </c>
      <c r="B2234" t="str">
        <f>"1578726528126057"</f>
        <v>1578726528126057</v>
      </c>
      <c r="C2234" t="s">
        <v>40</v>
      </c>
      <c r="D2234">
        <v>5.1054849999999998</v>
      </c>
      <c r="E2234">
        <v>0.47394930000000002</v>
      </c>
      <c r="F2234" t="s">
        <v>43</v>
      </c>
      <c r="G2234">
        <v>-421.22699999999998</v>
      </c>
      <c r="H2234" s="1">
        <v>-1.637309E-6</v>
      </c>
      <c r="I2234">
        <v>92.644720000000007</v>
      </c>
      <c r="J2234">
        <v>-420.63760000000002</v>
      </c>
      <c r="K2234">
        <v>1.111686</v>
      </c>
      <c r="L2234">
        <v>106.4208</v>
      </c>
      <c r="M2234">
        <v>-0.17496600000000001</v>
      </c>
      <c r="N2234">
        <v>0</v>
      </c>
      <c r="O2234">
        <v>-0.98450130000000002</v>
      </c>
      <c r="P2234">
        <v>-0.10575519999999999</v>
      </c>
      <c r="Q2234">
        <v>0.14862420000000001</v>
      </c>
      <c r="R2234">
        <v>-0.9832225</v>
      </c>
      <c r="S2234">
        <v>-0.14306640000000001</v>
      </c>
      <c r="T2234">
        <v>-0.2408621</v>
      </c>
      <c r="U2234">
        <v>-3.0724490000000002</v>
      </c>
      <c r="V2234">
        <v>-6.864104E-2</v>
      </c>
      <c r="W2234">
        <v>0.16014400000000001</v>
      </c>
      <c r="X2234">
        <v>0.98470420000000003</v>
      </c>
      <c r="Y2234">
        <v>-0.1291272</v>
      </c>
      <c r="Z2234">
        <v>7.5982450000000007E-2</v>
      </c>
      <c r="AA2234">
        <v>0.9887127</v>
      </c>
      <c r="AB2234">
        <v>40</v>
      </c>
      <c r="AC2234">
        <v>-0.58939999999995496</v>
      </c>
      <c r="AD2234">
        <v>-1.1116876373090001</v>
      </c>
      <c r="AE2234">
        <v>-13.77608</v>
      </c>
      <c r="AF2234">
        <v>-1.8183926757022599</v>
      </c>
      <c r="AG2234">
        <v>-1.1116876373090001</v>
      </c>
      <c r="AH2234">
        <v>13.578417214388301</v>
      </c>
      <c r="AI2234">
        <v>94.639229967125203</v>
      </c>
      <c r="AJ2234">
        <v>97.627547177521393</v>
      </c>
      <c r="AK2234">
        <v>13.744664978601399</v>
      </c>
      <c r="AL2234">
        <v>80.784745661856107</v>
      </c>
      <c r="AM2234">
        <v>93.987482101166194</v>
      </c>
      <c r="AN2234">
        <v>1.0000000273029599</v>
      </c>
    </row>
    <row r="2235" spans="1:40" x14ac:dyDescent="0.3">
      <c r="A2235" t="str">
        <f>"20200111150848157"</f>
        <v>20200111150848157</v>
      </c>
      <c r="B2235" t="str">
        <f>"1578726528145576"</f>
        <v>1578726528145576</v>
      </c>
      <c r="C2235" t="s">
        <v>40</v>
      </c>
      <c r="D2235">
        <v>5.1917280000000003</v>
      </c>
      <c r="E2235">
        <v>0.47368389999999999</v>
      </c>
      <c r="F2235" t="s">
        <v>43</v>
      </c>
      <c r="G2235">
        <v>-421.28579999999999</v>
      </c>
      <c r="H2235" s="1">
        <v>-1.440739E-6</v>
      </c>
      <c r="I2235">
        <v>92.150019999999998</v>
      </c>
      <c r="J2235">
        <v>-420.70280000000002</v>
      </c>
      <c r="K2235">
        <v>1.111777</v>
      </c>
      <c r="L2235">
        <v>106.0445</v>
      </c>
      <c r="M2235">
        <v>-0.17317360000000001</v>
      </c>
      <c r="N2235">
        <v>0</v>
      </c>
      <c r="O2235">
        <v>-0.98481839999999998</v>
      </c>
      <c r="P2235">
        <v>-0.10625329999999999</v>
      </c>
      <c r="Q2235">
        <v>0.14845539999999999</v>
      </c>
      <c r="R2235">
        <v>-0.98319460000000003</v>
      </c>
      <c r="S2235">
        <v>-0.13955689999999901</v>
      </c>
      <c r="T2235">
        <v>-0.23933460000000001</v>
      </c>
      <c r="U2235">
        <v>-3.0723419999999999</v>
      </c>
      <c r="V2235">
        <v>-6.6383319999999996E-2</v>
      </c>
      <c r="W2235">
        <v>0.159969899999999</v>
      </c>
      <c r="X2235">
        <v>0.98488719999999996</v>
      </c>
      <c r="Y2235">
        <v>-0.128446</v>
      </c>
      <c r="Z2235">
        <v>7.5548210000000005E-2</v>
      </c>
      <c r="AA2235">
        <v>0.98883469999999996</v>
      </c>
      <c r="AB2235">
        <v>40</v>
      </c>
      <c r="AC2235">
        <v>-0.58299999999996999</v>
      </c>
      <c r="AD2235">
        <v>-1.1117784407389999</v>
      </c>
      <c r="AE2235">
        <v>-13.89448</v>
      </c>
      <c r="AF2235">
        <v>-1.8205042127231901</v>
      </c>
      <c r="AG2235">
        <v>-1.1117784407389999</v>
      </c>
      <c r="AH2235">
        <v>13.697942355472501</v>
      </c>
      <c r="AI2235">
        <v>94.599906489830602</v>
      </c>
      <c r="AJ2235">
        <v>97.570443442419005</v>
      </c>
      <c r="AK2235">
        <v>13.863041212651799</v>
      </c>
      <c r="AL2235">
        <v>80.794850471205706</v>
      </c>
      <c r="AM2235">
        <v>93.856015128731499</v>
      </c>
      <c r="AN2235">
        <v>0.99999995540203501</v>
      </c>
    </row>
    <row r="2236" spans="1:40" x14ac:dyDescent="0.3">
      <c r="A2236" t="str">
        <f>"20200111150848180"</f>
        <v>20200111150848180</v>
      </c>
      <c r="B2236" t="str">
        <f>"1578726528175833"</f>
        <v>1578726528175833</v>
      </c>
      <c r="C2236" t="s">
        <v>40</v>
      </c>
      <c r="D2236">
        <v>5.2878020000000001</v>
      </c>
      <c r="E2236">
        <v>0.473686</v>
      </c>
      <c r="F2236" t="s">
        <v>43</v>
      </c>
      <c r="G2236">
        <v>-421.33710000000002</v>
      </c>
      <c r="H2236" s="1">
        <v>-1.3588790000000001E-6</v>
      </c>
      <c r="I2236">
        <v>91.927390000000003</v>
      </c>
      <c r="J2236">
        <v>-420.77109999999999</v>
      </c>
      <c r="K2236">
        <v>1.1118859999999999</v>
      </c>
      <c r="L2236">
        <v>105.64619999999999</v>
      </c>
      <c r="M2236">
        <v>-0.17112749999999999</v>
      </c>
      <c r="N2236">
        <v>0</v>
      </c>
      <c r="O2236">
        <v>-0.98517589999999999</v>
      </c>
      <c r="P2236">
        <v>-0.1063288</v>
      </c>
      <c r="Q2236">
        <v>0.1479742</v>
      </c>
      <c r="R2236">
        <v>-0.98325870000000004</v>
      </c>
      <c r="S2236">
        <v>-0.1380615</v>
      </c>
      <c r="T2236">
        <v>-0.2420022</v>
      </c>
      <c r="U2236">
        <v>-3.0728909999999998</v>
      </c>
      <c r="V2236">
        <v>-6.4310199999999998E-2</v>
      </c>
      <c r="W2236">
        <v>0.1594817</v>
      </c>
      <c r="X2236">
        <v>0.98510399999999998</v>
      </c>
      <c r="Y2236">
        <v>-0.12687699999999999</v>
      </c>
      <c r="Z2236">
        <v>7.6422299999999999E-2</v>
      </c>
      <c r="AA2236">
        <v>0.98897009999999996</v>
      </c>
      <c r="AB2236">
        <v>40</v>
      </c>
      <c r="AC2236">
        <v>-0.56600000000003003</v>
      </c>
      <c r="AD2236">
        <v>-1.1118873588789999</v>
      </c>
      <c r="AE2236">
        <v>-13.7188099999999</v>
      </c>
      <c r="AF2236">
        <v>-1.7785218661355999</v>
      </c>
      <c r="AG2236">
        <v>-1.1118873588789999</v>
      </c>
      <c r="AH2236">
        <v>13.524588256431</v>
      </c>
      <c r="AI2236">
        <v>94.659907439091498</v>
      </c>
      <c r="AJ2236">
        <v>97.491571596290697</v>
      </c>
      <c r="AK2236">
        <v>13.6862676078305</v>
      </c>
      <c r="AL2236">
        <v>80.823186961114502</v>
      </c>
      <c r="AM2236">
        <v>93.735120215771602</v>
      </c>
      <c r="AN2236">
        <v>1.0000000526374599</v>
      </c>
    </row>
    <row r="2237" spans="1:40" x14ac:dyDescent="0.3">
      <c r="A2237" t="str">
        <f>"20200111150848203"</f>
        <v>20200111150848203</v>
      </c>
      <c r="B2237" t="str">
        <f>"1578726528195355"</f>
        <v>1578726528195355</v>
      </c>
      <c r="C2237" t="s">
        <v>40</v>
      </c>
      <c r="D2237">
        <v>5.2538260000000001</v>
      </c>
      <c r="E2237">
        <v>0.49949149999999998</v>
      </c>
      <c r="F2237" t="s">
        <v>43</v>
      </c>
      <c r="G2237">
        <v>-421.41770000000002</v>
      </c>
      <c r="H2237" s="1">
        <v>-1.066206E-6</v>
      </c>
      <c r="I2237">
        <v>91.195170000000005</v>
      </c>
      <c r="J2237">
        <v>-420.83929999999998</v>
      </c>
      <c r="K2237">
        <v>1.111993</v>
      </c>
      <c r="L2237">
        <v>105.2414</v>
      </c>
      <c r="M2237">
        <v>-0.1688955</v>
      </c>
      <c r="N2237">
        <v>0</v>
      </c>
      <c r="O2237">
        <v>-0.98556109999999997</v>
      </c>
      <c r="P2237">
        <v>-0.1050309</v>
      </c>
      <c r="Q2237">
        <v>0.14719270000000001</v>
      </c>
      <c r="R2237">
        <v>-0.98351580000000005</v>
      </c>
      <c r="S2237">
        <v>-0.1374512</v>
      </c>
      <c r="T2237">
        <v>-0.2363471</v>
      </c>
      <c r="U2237">
        <v>-3.071777</v>
      </c>
      <c r="V2237">
        <v>-6.3436210000000007E-2</v>
      </c>
      <c r="W2237">
        <v>0.15868850000000001</v>
      </c>
      <c r="X2237">
        <v>0.98528870000000002</v>
      </c>
      <c r="Y2237">
        <v>-0.1248042</v>
      </c>
      <c r="Z2237">
        <v>7.4728429999999998E-2</v>
      </c>
      <c r="AA2237">
        <v>0.9893632</v>
      </c>
      <c r="AB2237">
        <v>40</v>
      </c>
      <c r="AC2237">
        <v>-0.57840000000004399</v>
      </c>
      <c r="AD2237">
        <v>-1.1119940662059999</v>
      </c>
      <c r="AE2237">
        <v>-14.04623</v>
      </c>
      <c r="AF2237">
        <v>-1.7912187147479499</v>
      </c>
      <c r="AG2237">
        <v>-1.1119940662059999</v>
      </c>
      <c r="AH2237">
        <v>13.855418275679799</v>
      </c>
      <c r="AI2237">
        <v>94.550840590886807</v>
      </c>
      <c r="AJ2237">
        <v>97.366301331862402</v>
      </c>
      <c r="AK2237">
        <v>14.014906738233501</v>
      </c>
      <c r="AL2237">
        <v>80.869219796426407</v>
      </c>
      <c r="AM2237">
        <v>93.683811097159804</v>
      </c>
      <c r="AN2237">
        <v>1.0000000075595501</v>
      </c>
    </row>
    <row r="2238" spans="1:40" x14ac:dyDescent="0.3">
      <c r="A2238" t="str">
        <f>"20200111150848224"</f>
        <v>20200111150848224</v>
      </c>
      <c r="B2238" t="str">
        <f>"1578726528215851"</f>
        <v>1578726528215851</v>
      </c>
      <c r="C2238" t="s">
        <v>40</v>
      </c>
      <c r="D2238">
        <v>4.7148289999999999</v>
      </c>
      <c r="E2238">
        <v>0.49948949999999998</v>
      </c>
      <c r="F2238" t="s">
        <v>43</v>
      </c>
      <c r="G2238">
        <v>-422.54680000000002</v>
      </c>
      <c r="H2238" s="1">
        <v>-7.7568789999999999E-7</v>
      </c>
      <c r="I2238">
        <v>89.817619999999906</v>
      </c>
      <c r="J2238">
        <v>-420.90440000000001</v>
      </c>
      <c r="K2238">
        <v>1.11208</v>
      </c>
      <c r="L2238">
        <v>104.84990000000001</v>
      </c>
      <c r="M2238">
        <v>-0.16663459999999999</v>
      </c>
      <c r="N2238">
        <v>0</v>
      </c>
      <c r="O2238">
        <v>-0.98594590000000004</v>
      </c>
      <c r="P2238">
        <v>-0.1041895</v>
      </c>
      <c r="Q2238">
        <v>0.14671110000000001</v>
      </c>
      <c r="R2238">
        <v>-0.98367709999999997</v>
      </c>
      <c r="S2238">
        <v>-0.33734130000000001</v>
      </c>
      <c r="T2238">
        <v>-0.21968589999999999</v>
      </c>
      <c r="U2238">
        <v>-3.0471189999999999</v>
      </c>
      <c r="V2238">
        <v>-6.2064040000000001E-2</v>
      </c>
      <c r="W2238">
        <v>0.15819929999999999</v>
      </c>
      <c r="X2238">
        <v>0.98545470000000002</v>
      </c>
      <c r="Y2238">
        <v>-5.7411709999999998E-2</v>
      </c>
      <c r="Z2238">
        <v>7.0135589999999998E-2</v>
      </c>
      <c r="AA2238">
        <v>0.99588399999999999</v>
      </c>
      <c r="AB2238">
        <v>40</v>
      </c>
      <c r="AC2238">
        <v>-1.6424000000000001</v>
      </c>
      <c r="AD2238">
        <v>-1.1120807756879001</v>
      </c>
      <c r="AE2238">
        <v>-15.03228</v>
      </c>
      <c r="AF2238">
        <v>-0.88087985056949203</v>
      </c>
      <c r="AG2238">
        <v>-1.1120807756879001</v>
      </c>
      <c r="AH2238">
        <v>15.014574437113399</v>
      </c>
      <c r="AI2238">
        <v>94.228732726255501</v>
      </c>
      <c r="AJ2238">
        <v>93.357598376342295</v>
      </c>
      <c r="AK2238">
        <v>15.081449482407701</v>
      </c>
      <c r="AL2238">
        <v>80.897607091932002</v>
      </c>
      <c r="AM2238">
        <v>93.603734481440597</v>
      </c>
      <c r="AN2238">
        <v>0.99999996466685004</v>
      </c>
    </row>
    <row r="2239" spans="1:40" x14ac:dyDescent="0.3">
      <c r="A2239" t="str">
        <f>"20200111150848247"</f>
        <v>20200111150848247</v>
      </c>
      <c r="B2239" t="str">
        <f>"1578726528235368"</f>
        <v>1578726528235368</v>
      </c>
      <c r="C2239" t="s">
        <v>40</v>
      </c>
      <c r="D2239">
        <v>5.2549089999999996</v>
      </c>
      <c r="E2239">
        <v>0.49983240000000001</v>
      </c>
      <c r="F2239" t="s">
        <v>43</v>
      </c>
      <c r="G2239">
        <v>-422.56720000000001</v>
      </c>
      <c r="H2239" s="1">
        <v>-7.1449059999999999E-7</v>
      </c>
      <c r="I2239">
        <v>89.662359999999893</v>
      </c>
      <c r="J2239">
        <v>-420.96820000000002</v>
      </c>
      <c r="K2239">
        <v>1.112169</v>
      </c>
      <c r="L2239">
        <v>104.4606</v>
      </c>
      <c r="M2239">
        <v>-0.16430439999999999</v>
      </c>
      <c r="N2239">
        <v>0</v>
      </c>
      <c r="O2239">
        <v>-0.98633689999999996</v>
      </c>
      <c r="P2239">
        <v>-0.1043632</v>
      </c>
      <c r="Q2239">
        <v>0.1469828</v>
      </c>
      <c r="R2239">
        <v>-0.98361810000000005</v>
      </c>
      <c r="S2239">
        <v>-0.33367920000000001</v>
      </c>
      <c r="T2239">
        <v>-0.22316520000000001</v>
      </c>
      <c r="U2239">
        <v>-3.0477289999999999</v>
      </c>
      <c r="V2239">
        <v>-5.9584829999999998E-2</v>
      </c>
      <c r="W2239">
        <v>0.15847240000000001</v>
      </c>
      <c r="X2239">
        <v>0.98556390000000005</v>
      </c>
      <c r="Y2239">
        <v>-5.6265549999999998E-2</v>
      </c>
      <c r="Z2239">
        <v>7.1275939999999996E-2</v>
      </c>
      <c r="AA2239">
        <v>0.99586839999999999</v>
      </c>
      <c r="AB2239">
        <v>40</v>
      </c>
      <c r="AC2239">
        <v>-1.59899999999998</v>
      </c>
      <c r="AD2239">
        <v>-1.1121697144906</v>
      </c>
      <c r="AE2239">
        <v>-14.79824</v>
      </c>
      <c r="AF2239">
        <v>-0.84958122169725903</v>
      </c>
      <c r="AG2239">
        <v>-1.1121697144906</v>
      </c>
      <c r="AH2239">
        <v>14.777335401296</v>
      </c>
      <c r="AI2239">
        <v>94.297003406933001</v>
      </c>
      <c r="AJ2239">
        <v>93.290437089600204</v>
      </c>
      <c r="AK2239">
        <v>14.843461566915099</v>
      </c>
      <c r="AL2239">
        <v>80.881760279673301</v>
      </c>
      <c r="AM2239">
        <v>93.459754259954394</v>
      </c>
      <c r="AN2239">
        <v>1.00000002725554</v>
      </c>
    </row>
    <row r="2240" spans="1:40" x14ac:dyDescent="0.3">
      <c r="A2240" t="str">
        <f>"20200111150848268"</f>
        <v>20200111150848268</v>
      </c>
      <c r="B2240" t="str">
        <f>"1578726528265625"</f>
        <v>1578726528265625</v>
      </c>
      <c r="C2240" t="s">
        <v>40</v>
      </c>
      <c r="D2240">
        <v>8.2558209999999992</v>
      </c>
      <c r="E2240">
        <v>0.46605239999999998</v>
      </c>
      <c r="F2240" t="s">
        <v>43</v>
      </c>
      <c r="G2240">
        <v>-422.6223</v>
      </c>
      <c r="H2240" s="1">
        <v>-4.6968279999999996E-6</v>
      </c>
      <c r="I2240">
        <v>89.421750000000003</v>
      </c>
      <c r="J2240">
        <v>-421.03219999999999</v>
      </c>
      <c r="K2240">
        <v>1.112252</v>
      </c>
      <c r="L2240">
        <v>104.0633</v>
      </c>
      <c r="M2240">
        <v>-0.16186420000000001</v>
      </c>
      <c r="N2240">
        <v>0</v>
      </c>
      <c r="O2240">
        <v>-0.98674039999999996</v>
      </c>
      <c r="P2240">
        <v>-0.10423540000000001</v>
      </c>
      <c r="Q2240">
        <v>0.14701689999999901</v>
      </c>
      <c r="R2240">
        <v>-0.98362660000000002</v>
      </c>
      <c r="S2240">
        <v>-0.33526610000000001</v>
      </c>
      <c r="T2240">
        <v>-0.22541720000000001</v>
      </c>
      <c r="U2240">
        <v>-3.0480960000000001</v>
      </c>
      <c r="V2240">
        <v>-5.7299889999999999E-2</v>
      </c>
      <c r="W2240">
        <v>0.15850910000000001</v>
      </c>
      <c r="X2240">
        <v>0.9856935</v>
      </c>
      <c r="Y2240">
        <v>-5.3302240000000001E-2</v>
      </c>
      <c r="Z2240">
        <v>7.2031020000000001E-2</v>
      </c>
      <c r="AA2240">
        <v>0.99597709999999995</v>
      </c>
      <c r="AB2240">
        <v>40</v>
      </c>
      <c r="AC2240">
        <v>-1.5901000000000001</v>
      </c>
      <c r="AD2240">
        <v>-1.1122566968279901</v>
      </c>
      <c r="AE2240">
        <v>-14.641549999999899</v>
      </c>
      <c r="AF2240">
        <v>-0.796441756558665</v>
      </c>
      <c r="AG2240">
        <v>-1.1122566968279901</v>
      </c>
      <c r="AH2240">
        <v>14.6224438091501</v>
      </c>
      <c r="AI2240">
        <v>94.343415893323197</v>
      </c>
      <c r="AJ2240">
        <v>93.117652997843805</v>
      </c>
      <c r="AK2240">
        <v>14.686296244560101</v>
      </c>
      <c r="AL2240">
        <v>80.879630761105901</v>
      </c>
      <c r="AM2240">
        <v>93.326948225844603</v>
      </c>
      <c r="AN2240">
        <v>1.00000004405953</v>
      </c>
    </row>
    <row r="2241" spans="1:40" x14ac:dyDescent="0.3">
      <c r="A2241" t="str">
        <f>"20200111150848291"</f>
        <v>20200111150848291</v>
      </c>
      <c r="B2241" t="str">
        <f>"1578726528286120"</f>
        <v>1578726528286120</v>
      </c>
      <c r="C2241" t="s">
        <v>40</v>
      </c>
      <c r="D2241">
        <v>5.2997940000000003</v>
      </c>
      <c r="E2241">
        <v>0.46605239999999998</v>
      </c>
      <c r="F2241" t="s">
        <v>49</v>
      </c>
      <c r="G2241">
        <v>0</v>
      </c>
      <c r="H2241">
        <v>0</v>
      </c>
      <c r="I2241">
        <v>0</v>
      </c>
      <c r="J2241">
        <v>-421.09629999999999</v>
      </c>
      <c r="K2241">
        <v>1.1123209999999999</v>
      </c>
      <c r="L2241">
        <v>103.66</v>
      </c>
      <c r="M2241">
        <v>-0.1593436</v>
      </c>
      <c r="N2241">
        <v>0</v>
      </c>
      <c r="O2241">
        <v>-0.98715050000000004</v>
      </c>
      <c r="P2241">
        <v>-0.10292469999999999</v>
      </c>
      <c r="Q2241">
        <v>0.14743239999999999</v>
      </c>
      <c r="R2241">
        <v>-0.98370259999999998</v>
      </c>
      <c r="S2241">
        <v>-2.3834230000000001E-2</v>
      </c>
      <c r="T2241">
        <v>0.99466849999999996</v>
      </c>
      <c r="U2241">
        <v>-2.8987729999999998</v>
      </c>
      <c r="V2241">
        <v>-5.6111170000000002E-2</v>
      </c>
      <c r="W2241">
        <v>0.15892149999999999</v>
      </c>
      <c r="X2241">
        <v>0.9856954</v>
      </c>
      <c r="Y2241">
        <v>-0.1516102</v>
      </c>
      <c r="Z2241">
        <v>-0.31657839999999998</v>
      </c>
      <c r="AA2241">
        <v>0.93637199999999998</v>
      </c>
      <c r="AB2241">
        <v>40</v>
      </c>
      <c r="AC2241">
        <v>-2.3834230000000001E-2</v>
      </c>
      <c r="AD2241">
        <v>0.99466849999999996</v>
      </c>
      <c r="AE2241">
        <v>-2.8987729999999998</v>
      </c>
      <c r="AF2241">
        <v>-0.392226347870055</v>
      </c>
      <c r="AG2241">
        <v>0.99466849999999996</v>
      </c>
      <c r="AH2241">
        <v>2.5636964738714298</v>
      </c>
      <c r="AI2241">
        <v>69.017199295284598</v>
      </c>
      <c r="AJ2241">
        <v>98.698376594631796</v>
      </c>
      <c r="AK2241">
        <v>2.7777232660933899</v>
      </c>
      <c r="AL2241">
        <v>80.855697890450998</v>
      </c>
      <c r="AM2241">
        <v>93.258072714836402</v>
      </c>
      <c r="AN2241">
        <v>0.99999996407108804</v>
      </c>
    </row>
    <row r="2242" spans="1:40" x14ac:dyDescent="0.3">
      <c r="A2242" t="str">
        <f>"20200111150848314"</f>
        <v>20200111150848314</v>
      </c>
      <c r="B2242" t="str">
        <f>"1578726528305640"</f>
        <v>1578726528305640</v>
      </c>
      <c r="C2242" t="s">
        <v>40</v>
      </c>
      <c r="D2242">
        <v>5.2606330000000003</v>
      </c>
      <c r="E2242">
        <v>0.47450130000000001</v>
      </c>
      <c r="F2242" t="s">
        <v>49</v>
      </c>
      <c r="G2242">
        <v>0</v>
      </c>
      <c r="H2242">
        <v>0</v>
      </c>
      <c r="I2242">
        <v>0</v>
      </c>
      <c r="J2242">
        <v>-421.16050000000001</v>
      </c>
      <c r="K2242">
        <v>1.1123809999999901</v>
      </c>
      <c r="L2242">
        <v>103.2487</v>
      </c>
      <c r="M2242">
        <v>-0.15674669999999999</v>
      </c>
      <c r="N2242">
        <v>0</v>
      </c>
      <c r="O2242">
        <v>-0.98756639999999996</v>
      </c>
      <c r="P2242">
        <v>-0.10145079999999999</v>
      </c>
      <c r="Q2242">
        <v>0.14757219999999999</v>
      </c>
      <c r="R2242">
        <v>-0.98383469999999995</v>
      </c>
      <c r="S2242">
        <v>-1.9989010000000001E-2</v>
      </c>
      <c r="T2242">
        <v>0.99590400000000001</v>
      </c>
      <c r="U2242">
        <v>-2.8983460000000001</v>
      </c>
      <c r="V2242">
        <v>-5.5012400000000003E-2</v>
      </c>
      <c r="W2242">
        <v>0.15905949999999999</v>
      </c>
      <c r="X2242">
        <v>0.98573509999999998</v>
      </c>
      <c r="Y2242">
        <v>-0.150254</v>
      </c>
      <c r="Z2242">
        <v>-0.31720510000000002</v>
      </c>
      <c r="AA2242">
        <v>0.9363785</v>
      </c>
      <c r="AB2242">
        <v>40</v>
      </c>
      <c r="AC2242">
        <v>-1.9989010000000001E-2</v>
      </c>
      <c r="AD2242">
        <v>0.99590400000000001</v>
      </c>
      <c r="AE2242">
        <v>-2.8983460000000001</v>
      </c>
      <c r="AF2242">
        <v>-0.38870509579269902</v>
      </c>
      <c r="AG2242">
        <v>0.99590400000000001</v>
      </c>
      <c r="AH2242">
        <v>2.5630463871372098</v>
      </c>
      <c r="AI2242">
        <v>68.984733535048704</v>
      </c>
      <c r="AJ2242">
        <v>98.623618509947207</v>
      </c>
      <c r="AK2242">
        <v>2.7770709770058599</v>
      </c>
      <c r="AL2242">
        <v>80.847689424169104</v>
      </c>
      <c r="AM2242">
        <v>93.1942781283134</v>
      </c>
      <c r="AN2242">
        <v>0.99999998803300905</v>
      </c>
    </row>
    <row r="2243" spans="1:40" x14ac:dyDescent="0.3">
      <c r="A2243" t="str">
        <f>"20200111150848335"</f>
        <v>20200111150848335</v>
      </c>
      <c r="B2243" t="str">
        <f>"1578726528326136"</f>
        <v>1578726528326136</v>
      </c>
      <c r="C2243" t="s">
        <v>40</v>
      </c>
      <c r="D2243">
        <v>5.337116</v>
      </c>
      <c r="E2243">
        <v>0.49590509999999899</v>
      </c>
      <c r="F2243" t="s">
        <v>49</v>
      </c>
      <c r="G2243">
        <v>0</v>
      </c>
      <c r="H2243">
        <v>0</v>
      </c>
      <c r="I2243">
        <v>0</v>
      </c>
      <c r="J2243">
        <v>-421.21879999999999</v>
      </c>
      <c r="K2243">
        <v>1.112428</v>
      </c>
      <c r="L2243">
        <v>102.8693</v>
      </c>
      <c r="M2243">
        <v>-0.1543368</v>
      </c>
      <c r="N2243">
        <v>0</v>
      </c>
      <c r="O2243">
        <v>-0.98794570000000004</v>
      </c>
      <c r="P2243">
        <v>-0.100398</v>
      </c>
      <c r="Q2243">
        <v>0.14820720000000001</v>
      </c>
      <c r="R2243">
        <v>-0.98384709999999997</v>
      </c>
      <c r="S2243">
        <v>-8.4960939999999999E-2</v>
      </c>
      <c r="T2243">
        <v>0.96315070000000003</v>
      </c>
      <c r="U2243">
        <v>-2.8960569999999999</v>
      </c>
      <c r="V2243">
        <v>-5.3666699999999901E-2</v>
      </c>
      <c r="W2243">
        <v>0.15969639999999999</v>
      </c>
      <c r="X2243">
        <v>0.98570630000000004</v>
      </c>
      <c r="Y2243">
        <v>-0.12672700000000001</v>
      </c>
      <c r="Z2243">
        <v>-0.30869390000000002</v>
      </c>
      <c r="AA2243">
        <v>0.94268149999999995</v>
      </c>
      <c r="AB2243">
        <v>40</v>
      </c>
      <c r="AC2243">
        <v>-8.4960939999999999E-2</v>
      </c>
      <c r="AD2243">
        <v>0.96315070000000003</v>
      </c>
      <c r="AE2243">
        <v>-2.8960569999999999</v>
      </c>
      <c r="AF2243">
        <v>-0.32692861040606902</v>
      </c>
      <c r="AG2243">
        <v>0.96315070000000003</v>
      </c>
      <c r="AH2243">
        <v>2.58842012590179</v>
      </c>
      <c r="AI2243">
        <v>69.737524668772494</v>
      </c>
      <c r="AJ2243">
        <v>97.198586076404993</v>
      </c>
      <c r="AK2243">
        <v>2.7810897747800198</v>
      </c>
      <c r="AL2243">
        <v>80.810725199138105</v>
      </c>
      <c r="AM2243">
        <v>93.116387275051494</v>
      </c>
      <c r="AN2243">
        <v>0.99999998236076904</v>
      </c>
    </row>
    <row r="2244" spans="1:40" x14ac:dyDescent="0.3">
      <c r="A2244" t="str">
        <f>"20200111150848358"</f>
        <v>20200111150848358</v>
      </c>
      <c r="B2244" t="str">
        <f>"1578726528355416"</f>
        <v>1578726528355416</v>
      </c>
      <c r="C2244" t="s">
        <v>40</v>
      </c>
      <c r="D2244">
        <v>6.4952160000000001</v>
      </c>
      <c r="E2244">
        <v>0.49625940000000002</v>
      </c>
      <c r="F2244" t="s">
        <v>43</v>
      </c>
      <c r="G2244">
        <v>-423.12490000000003</v>
      </c>
      <c r="H2244" s="1">
        <v>-2.1626770000000001E-6</v>
      </c>
      <c r="I2244">
        <v>82.692179999999993</v>
      </c>
      <c r="J2244">
        <v>-421.27940000000001</v>
      </c>
      <c r="K2244">
        <v>1.112466</v>
      </c>
      <c r="L2244">
        <v>102.4676</v>
      </c>
      <c r="M2244">
        <v>-0.15177260000000001</v>
      </c>
      <c r="N2244">
        <v>0</v>
      </c>
      <c r="O2244">
        <v>-0.98834270000000002</v>
      </c>
      <c r="P2244">
        <v>-9.9166969999999993E-2</v>
      </c>
      <c r="Q2244">
        <v>0.1484375</v>
      </c>
      <c r="R2244">
        <v>-0.9839369</v>
      </c>
      <c r="S2244">
        <v>-0.28768919999999998</v>
      </c>
      <c r="T2244">
        <v>-0.16789189999999901</v>
      </c>
      <c r="U2244">
        <v>-3.0451969999999999</v>
      </c>
      <c r="V2244">
        <v>-5.2353289999999997E-2</v>
      </c>
      <c r="W2244">
        <v>0.1599294</v>
      </c>
      <c r="X2244">
        <v>0.98573920000000004</v>
      </c>
      <c r="Y2244">
        <v>-5.8284420000000003E-2</v>
      </c>
      <c r="Z2244">
        <v>5.3929570000000003E-2</v>
      </c>
      <c r="AA2244">
        <v>0.99684229999999996</v>
      </c>
      <c r="AB2244">
        <v>40</v>
      </c>
      <c r="AC2244">
        <v>-1.8455000000000099</v>
      </c>
      <c r="AD2244">
        <v>-1.1124681626770001</v>
      </c>
      <c r="AE2244">
        <v>-19.77542</v>
      </c>
      <c r="AF2244">
        <v>-1.17378258793927</v>
      </c>
      <c r="AG2244">
        <v>-1.1124681626770001</v>
      </c>
      <c r="AH2244">
        <v>19.764406633613</v>
      </c>
      <c r="AI2244">
        <v>93.215921989013793</v>
      </c>
      <c r="AJ2244">
        <v>93.3987303146329</v>
      </c>
      <c r="AK2244">
        <v>19.830459413627398</v>
      </c>
      <c r="AL2244">
        <v>80.797201863610894</v>
      </c>
      <c r="AM2244">
        <v>93.040162077134596</v>
      </c>
      <c r="AN2244">
        <v>1.0000000251874099</v>
      </c>
    </row>
    <row r="2245" spans="1:40" x14ac:dyDescent="0.3">
      <c r="A2245" t="str">
        <f>"20200111150848381"</f>
        <v>20200111150848381</v>
      </c>
      <c r="B2245" t="str">
        <f>"1578726528375913"</f>
        <v>1578726528375913</v>
      </c>
      <c r="C2245" t="s">
        <v>40</v>
      </c>
      <c r="D2245">
        <v>5.3601619999999999</v>
      </c>
      <c r="E2245">
        <v>0.49611339999999998</v>
      </c>
      <c r="F2245" t="s">
        <v>43</v>
      </c>
      <c r="G2245">
        <v>-423.13339999999999</v>
      </c>
      <c r="H2245" s="1">
        <v>-2.164469E-6</v>
      </c>
      <c r="I2245">
        <v>82.691130000000001</v>
      </c>
      <c r="J2245">
        <v>-421.33949999999999</v>
      </c>
      <c r="K2245">
        <v>1.112511</v>
      </c>
      <c r="L2245">
        <v>102.0616</v>
      </c>
      <c r="M2245">
        <v>-0.1491567</v>
      </c>
      <c r="N2245">
        <v>0</v>
      </c>
      <c r="O2245">
        <v>-0.98874110000000004</v>
      </c>
      <c r="P2245">
        <v>-9.68421E-2</v>
      </c>
      <c r="Q2245">
        <v>0.14847389999999999</v>
      </c>
      <c r="R2245">
        <v>-0.98416309999999996</v>
      </c>
      <c r="S2245">
        <v>-0.285553</v>
      </c>
      <c r="T2245">
        <v>-0.1713469</v>
      </c>
      <c r="U2245">
        <v>-3.0460509999999998</v>
      </c>
      <c r="V2245">
        <v>-5.2090730000000002E-2</v>
      </c>
      <c r="W2245">
        <v>0.1599614</v>
      </c>
      <c r="X2245">
        <v>0.98574790000000001</v>
      </c>
      <c r="Y2245">
        <v>-5.6367380000000002E-2</v>
      </c>
      <c r="Z2245">
        <v>5.5058839999999998E-2</v>
      </c>
      <c r="AA2245">
        <v>0.99689079999999997</v>
      </c>
      <c r="AB2245">
        <v>40</v>
      </c>
      <c r="AC2245">
        <v>-1.7939000000000001</v>
      </c>
      <c r="AD2245">
        <v>-1.1125131644690001</v>
      </c>
      <c r="AE2245">
        <v>-19.370470000000001</v>
      </c>
      <c r="AF2245">
        <v>-1.11197589343985</v>
      </c>
      <c r="AG2245">
        <v>-1.1125131644690001</v>
      </c>
      <c r="AH2245">
        <v>19.3580323061794</v>
      </c>
      <c r="AI2245">
        <v>93.283789918552301</v>
      </c>
      <c r="AJ2245">
        <v>93.287606286566302</v>
      </c>
      <c r="AK2245">
        <v>19.421832835646502</v>
      </c>
      <c r="AL2245">
        <v>80.795344326990602</v>
      </c>
      <c r="AM2245">
        <v>93.024916924777202</v>
      </c>
      <c r="AN2245">
        <v>1.0000000079981499</v>
      </c>
    </row>
    <row r="2246" spans="1:40" x14ac:dyDescent="0.3">
      <c r="A2246" t="str">
        <f>"20200111150848404"</f>
        <v>20200111150848404</v>
      </c>
      <c r="B2246" t="str">
        <f>"1578726528395432"</f>
        <v>1578726528395432</v>
      </c>
      <c r="C2246" t="s">
        <v>40</v>
      </c>
      <c r="D2246">
        <v>5.2352749999999997</v>
      </c>
      <c r="E2246">
        <v>0.49660880000000002</v>
      </c>
      <c r="F2246" t="s">
        <v>43</v>
      </c>
      <c r="G2246">
        <v>-423.18439999999998</v>
      </c>
      <c r="H2246" s="1">
        <v>-1.747123E-6</v>
      </c>
      <c r="I2246">
        <v>81.686660000000003</v>
      </c>
      <c r="J2246">
        <v>-421.39839999999998</v>
      </c>
      <c r="K2246">
        <v>1.112565</v>
      </c>
      <c r="L2246">
        <v>101.6566</v>
      </c>
      <c r="M2246">
        <v>-0.14650270000000001</v>
      </c>
      <c r="N2246">
        <v>0</v>
      </c>
      <c r="O2246">
        <v>-0.98913759999999995</v>
      </c>
      <c r="P2246">
        <v>-9.3967010000000004E-2</v>
      </c>
      <c r="Q2246">
        <v>0.14765339999999999</v>
      </c>
      <c r="R2246">
        <v>-0.98456509999999997</v>
      </c>
      <c r="S2246">
        <v>-0.2758179</v>
      </c>
      <c r="T2246">
        <v>-0.16633010000000001</v>
      </c>
      <c r="U2246">
        <v>-3.0462340000000001</v>
      </c>
      <c r="V2246">
        <v>-5.2359160000000002E-2</v>
      </c>
      <c r="W2246">
        <v>0.15913429999999901</v>
      </c>
      <c r="X2246">
        <v>0.98586759999999996</v>
      </c>
      <c r="Y2246">
        <v>-5.6844699999999998E-2</v>
      </c>
      <c r="Z2246">
        <v>5.3487630000000001E-2</v>
      </c>
      <c r="AA2246">
        <v>0.99694919999999998</v>
      </c>
      <c r="AB2246">
        <v>40</v>
      </c>
      <c r="AC2246">
        <v>-1.786</v>
      </c>
      <c r="AD2246">
        <v>-1.1125667471230001</v>
      </c>
      <c r="AE2246">
        <v>-19.969939999999902</v>
      </c>
      <c r="AF2246">
        <v>-1.1555754461149901</v>
      </c>
      <c r="AG2246">
        <v>-1.1125667471230001</v>
      </c>
      <c r="AH2246">
        <v>19.954666698813998</v>
      </c>
      <c r="AI2246">
        <v>93.185879313159504</v>
      </c>
      <c r="AJ2246">
        <v>93.3142989884321</v>
      </c>
      <c r="AK2246">
        <v>20.019037999844699</v>
      </c>
      <c r="AL2246">
        <v>80.843349127310105</v>
      </c>
      <c r="AM2246">
        <v>93.040107055207699</v>
      </c>
      <c r="AN2246">
        <v>1.0000000659010699</v>
      </c>
    </row>
    <row r="2247" spans="1:40" x14ac:dyDescent="0.3">
      <c r="A2247" t="str">
        <f>"20200111150848425"</f>
        <v>20200111150848425</v>
      </c>
      <c r="B2247" t="str">
        <f>"1578726528415928"</f>
        <v>1578726528415928</v>
      </c>
      <c r="C2247" t="s">
        <v>40</v>
      </c>
      <c r="D2247">
        <v>6.1107990000000001</v>
      </c>
      <c r="E2247">
        <v>0.47409469999999998</v>
      </c>
      <c r="F2247" t="s">
        <v>43</v>
      </c>
      <c r="G2247">
        <v>-423.09289999999999</v>
      </c>
      <c r="H2247" s="1">
        <v>-2.0919759999999998E-6</v>
      </c>
      <c r="I2247">
        <v>82.547269999999997</v>
      </c>
      <c r="J2247">
        <v>-421.45359999999999</v>
      </c>
      <c r="K2247">
        <v>1.1126149999999999</v>
      </c>
      <c r="L2247">
        <v>101.2693</v>
      </c>
      <c r="M2247">
        <v>-0.14392170000000001</v>
      </c>
      <c r="N2247">
        <v>0</v>
      </c>
      <c r="O2247">
        <v>-0.98951659999999997</v>
      </c>
      <c r="P2247">
        <v>-9.1474020000000003E-2</v>
      </c>
      <c r="Q2247">
        <v>0.14619190000000001</v>
      </c>
      <c r="R2247">
        <v>-0.98501799999999995</v>
      </c>
      <c r="S2247">
        <v>-0.2702637</v>
      </c>
      <c r="T2247">
        <v>-0.1774492</v>
      </c>
      <c r="U2247">
        <v>-3.0478519999999998</v>
      </c>
      <c r="V2247">
        <v>-5.2326949999999997E-2</v>
      </c>
      <c r="W2247">
        <v>0.15767010000000001</v>
      </c>
      <c r="X2247">
        <v>0.98610450000000005</v>
      </c>
      <c r="Y2247">
        <v>-5.6107459999999998E-2</v>
      </c>
      <c r="Z2247">
        <v>5.706025E-2</v>
      </c>
      <c r="AA2247">
        <v>0.99679289999999998</v>
      </c>
      <c r="AB2247">
        <v>40</v>
      </c>
      <c r="AC2247">
        <v>-1.63929999999999</v>
      </c>
      <c r="AD2247">
        <v>-1.1126170919759999</v>
      </c>
      <c r="AE2247">
        <v>-18.72203</v>
      </c>
      <c r="AF2247">
        <v>-1.0687230370784699</v>
      </c>
      <c r="AG2247">
        <v>-1.1126170919759999</v>
      </c>
      <c r="AH2247">
        <v>18.697504241161401</v>
      </c>
      <c r="AI2247">
        <v>93.399901004151801</v>
      </c>
      <c r="AJ2247">
        <v>93.271386592404497</v>
      </c>
      <c r="AK2247">
        <v>18.7610434297133</v>
      </c>
      <c r="AL2247">
        <v>80.928313972679106</v>
      </c>
      <c r="AM2247">
        <v>93.037511830521495</v>
      </c>
      <c r="AN2247">
        <v>1.0000000275252801</v>
      </c>
    </row>
    <row r="2248" spans="1:40" x14ac:dyDescent="0.3">
      <c r="A2248" t="str">
        <f>"20200111150848500"</f>
        <v>20200111150848500</v>
      </c>
      <c r="B2248" t="str">
        <f>"1578726528495961"</f>
        <v>1578726528495961</v>
      </c>
      <c r="C2248" t="s">
        <v>40</v>
      </c>
      <c r="D2248">
        <v>7.3757390000000003</v>
      </c>
      <c r="E2248">
        <v>0.42660110000000001</v>
      </c>
      <c r="F2248" t="s">
        <v>88</v>
      </c>
      <c r="G2248">
        <v>-423.50549999999998</v>
      </c>
      <c r="H2248">
        <v>30.650369999999999</v>
      </c>
      <c r="I2248">
        <v>1.738863</v>
      </c>
      <c r="J2248">
        <v>-421.63600000000002</v>
      </c>
      <c r="K2248">
        <v>1.1129230000000001</v>
      </c>
      <c r="L2248">
        <v>99.929140000000004</v>
      </c>
      <c r="M2248">
        <v>-0.13426689999999999</v>
      </c>
      <c r="N2248">
        <v>0</v>
      </c>
      <c r="O2248">
        <v>-0.99087250000000004</v>
      </c>
      <c r="P2248">
        <v>-8.3363909999999999E-2</v>
      </c>
      <c r="Q2248">
        <v>0.14201859999999999</v>
      </c>
      <c r="R2248">
        <v>-0.98634739999999999</v>
      </c>
      <c r="S2248">
        <v>-6.0028079999999998E-2</v>
      </c>
      <c r="T2248">
        <v>0.86413799999999996</v>
      </c>
      <c r="U2248">
        <v>-2.9118040000000001</v>
      </c>
      <c r="V2248">
        <v>-5.1001989999999997E-2</v>
      </c>
      <c r="W2248">
        <v>0.15348680000000001</v>
      </c>
      <c r="X2248">
        <v>0.98683359999999998</v>
      </c>
      <c r="Y2248">
        <v>-0.1146359</v>
      </c>
      <c r="Z2248">
        <v>-0.27974009999999999</v>
      </c>
      <c r="AA2248">
        <v>0.95320729999999998</v>
      </c>
      <c r="AB2248">
        <v>40</v>
      </c>
      <c r="AC2248">
        <v>-1.8695000000000099</v>
      </c>
      <c r="AD2248">
        <v>29.537447</v>
      </c>
      <c r="AE2248">
        <v>-98.190276999999995</v>
      </c>
      <c r="AF2248">
        <v>-10.3920321072706</v>
      </c>
      <c r="AG2248">
        <v>29.537447</v>
      </c>
      <c r="AH2248">
        <v>89.459658857329401</v>
      </c>
      <c r="AI2248">
        <v>71.842023628727205</v>
      </c>
      <c r="AJ2248">
        <v>96.626034935407702</v>
      </c>
      <c r="AK2248">
        <v>94.781251677038497</v>
      </c>
      <c r="AL2248">
        <v>81.170953644628398</v>
      </c>
      <c r="AM2248">
        <v>92.958554643606703</v>
      </c>
      <c r="AN2248">
        <v>0.99999997742357905</v>
      </c>
    </row>
    <row r="2249" spans="1:40" x14ac:dyDescent="0.3">
      <c r="A2249" t="str">
        <f>"20200111150848517"</f>
        <v>20200111150848517</v>
      </c>
      <c r="B2249" t="str">
        <f>"1578726528505720"</f>
        <v>1578726528505720</v>
      </c>
      <c r="C2249" t="s">
        <v>40</v>
      </c>
      <c r="D2249">
        <v>5.6303999999999998</v>
      </c>
      <c r="E2249">
        <v>0.43018070000000003</v>
      </c>
      <c r="F2249" t="s">
        <v>88</v>
      </c>
      <c r="G2249">
        <v>-410.94260000000003</v>
      </c>
      <c r="H2249">
        <v>4.2666370000000002</v>
      </c>
      <c r="I2249">
        <v>0.5695114</v>
      </c>
      <c r="J2249">
        <v>-421.67559999999997</v>
      </c>
      <c r="K2249">
        <v>1.1130329999999999</v>
      </c>
      <c r="L2249">
        <v>99.622309999999999</v>
      </c>
      <c r="M2249">
        <v>-0.131795</v>
      </c>
      <c r="N2249">
        <v>0</v>
      </c>
      <c r="O2249">
        <v>-0.99120439999999999</v>
      </c>
      <c r="P2249">
        <v>-8.2240439999999998E-2</v>
      </c>
      <c r="Q2249">
        <v>0.141283299999999</v>
      </c>
      <c r="R2249">
        <v>-0.98654719999999996</v>
      </c>
      <c r="S2249">
        <v>0.32882689999999998</v>
      </c>
      <c r="T2249">
        <v>9.6977469999999996E-2</v>
      </c>
      <c r="U2249">
        <v>-3.0553590000000002</v>
      </c>
      <c r="V2249">
        <v>-4.9714550000000003E-2</v>
      </c>
      <c r="W2249">
        <v>0.152755</v>
      </c>
      <c r="X2249">
        <v>0.98701289999999997</v>
      </c>
      <c r="Y2249">
        <v>-0.23706730000000001</v>
      </c>
      <c r="Z2249">
        <v>-3.0767099999999999E-2</v>
      </c>
      <c r="AA2249">
        <v>0.97100589999999998</v>
      </c>
      <c r="AB2249">
        <v>41</v>
      </c>
      <c r="AC2249">
        <v>10.732999999999899</v>
      </c>
      <c r="AD2249">
        <v>3.1536040000000001</v>
      </c>
      <c r="AE2249">
        <v>-99.052798599999903</v>
      </c>
      <c r="AF2249">
        <v>-23.6712499952393</v>
      </c>
      <c r="AG2249">
        <v>3.1536040000000001</v>
      </c>
      <c r="AH2249">
        <v>96.677120035447004</v>
      </c>
      <c r="AI2249">
        <v>88.185245135197206</v>
      </c>
      <c r="AJ2249">
        <v>103.758112833094</v>
      </c>
      <c r="AK2249">
        <v>99.582823985234398</v>
      </c>
      <c r="AL2249">
        <v>81.213383652489398</v>
      </c>
      <c r="AM2249">
        <v>92.883476725479397</v>
      </c>
      <c r="AN2249">
        <v>1.0000000456365501</v>
      </c>
    </row>
    <row r="2250" spans="1:40" x14ac:dyDescent="0.3">
      <c r="A2250" t="str">
        <f>"20200111150848549"</f>
        <v>20200111150848549</v>
      </c>
      <c r="B2250" t="str">
        <f>"1578726528545737"</f>
        <v>1578726528545737</v>
      </c>
      <c r="C2250" t="s">
        <v>40</v>
      </c>
      <c r="D2250">
        <v>6.5199689999999997</v>
      </c>
      <c r="E2250">
        <v>0.4361643</v>
      </c>
      <c r="F2250" t="s">
        <v>88</v>
      </c>
      <c r="G2250">
        <v>-411.96379999999999</v>
      </c>
      <c r="H2250">
        <v>3.159986</v>
      </c>
      <c r="I2250">
        <v>1.856152</v>
      </c>
      <c r="J2250">
        <v>-421.74540000000002</v>
      </c>
      <c r="K2250">
        <v>1.1132569999999999</v>
      </c>
      <c r="L2250">
        <v>99.064120000000003</v>
      </c>
      <c r="M2250">
        <v>-0.127021</v>
      </c>
      <c r="N2250">
        <v>0</v>
      </c>
      <c r="O2250">
        <v>-0.99182720000000002</v>
      </c>
      <c r="P2250">
        <v>-8.0284579999999994E-2</v>
      </c>
      <c r="Q2250">
        <v>0.142401</v>
      </c>
      <c r="R2250">
        <v>-0.98654770000000003</v>
      </c>
      <c r="S2250">
        <v>0.30368040000000002</v>
      </c>
      <c r="T2250">
        <v>6.4005729999999997E-2</v>
      </c>
      <c r="U2250">
        <v>-3.0570680000000001</v>
      </c>
      <c r="V2250">
        <v>-4.6989980000000001E-2</v>
      </c>
      <c r="W2250">
        <v>0.1538803</v>
      </c>
      <c r="X2250">
        <v>0.98697159999999995</v>
      </c>
      <c r="Y2250">
        <v>-0.22443679999999999</v>
      </c>
      <c r="Z2250">
        <v>-2.0360389999999999E-2</v>
      </c>
      <c r="AA2250">
        <v>0.97427589999999997</v>
      </c>
      <c r="AB2250">
        <v>41</v>
      </c>
      <c r="AC2250">
        <v>9.7816000000000205</v>
      </c>
      <c r="AD2250">
        <v>2.046729</v>
      </c>
      <c r="AE2250">
        <v>-97.207967999999994</v>
      </c>
      <c r="AF2250">
        <v>-22.0410298684065</v>
      </c>
      <c r="AG2250">
        <v>2.046729</v>
      </c>
      <c r="AH2250">
        <v>95.136160615444496</v>
      </c>
      <c r="AI2250">
        <v>88.799338935573203</v>
      </c>
      <c r="AJ2250">
        <v>103.04408544876399</v>
      </c>
      <c r="AK2250">
        <v>97.677454685854102</v>
      </c>
      <c r="AL2250">
        <v>81.148137536584997</v>
      </c>
      <c r="AM2250">
        <v>92.725808958562496</v>
      </c>
      <c r="AN2250">
        <v>1.00000007207752</v>
      </c>
    </row>
    <row r="2251" spans="1:40" x14ac:dyDescent="0.3">
      <c r="A2251" t="str">
        <f>"20200111150848571"</f>
        <v>20200111150848571</v>
      </c>
      <c r="B2251" t="str">
        <f>"1578726528565259"</f>
        <v>1578726528565259</v>
      </c>
      <c r="C2251" t="s">
        <v>40</v>
      </c>
      <c r="D2251">
        <v>4.7842979999999997</v>
      </c>
      <c r="E2251">
        <v>0.43586069999999999</v>
      </c>
      <c r="F2251" t="s">
        <v>88</v>
      </c>
      <c r="G2251">
        <v>-413.25790000000001</v>
      </c>
      <c r="H2251">
        <v>4.8248959999999999</v>
      </c>
      <c r="I2251">
        <v>0.54596899999999904</v>
      </c>
      <c r="J2251">
        <v>-421.79259999999999</v>
      </c>
      <c r="K2251">
        <v>1.1134440000000001</v>
      </c>
      <c r="L2251">
        <v>98.672089999999997</v>
      </c>
      <c r="M2251">
        <v>-0.12343</v>
      </c>
      <c r="N2251">
        <v>0</v>
      </c>
      <c r="O2251">
        <v>-0.99228059999999996</v>
      </c>
      <c r="P2251">
        <v>-7.763457E-2</v>
      </c>
      <c r="Q2251">
        <v>0.14292589999999999</v>
      </c>
      <c r="R2251">
        <v>-0.98668400000000001</v>
      </c>
      <c r="S2251">
        <v>0.26239010000000001</v>
      </c>
      <c r="T2251">
        <v>0.1147455</v>
      </c>
      <c r="U2251">
        <v>-3.045715</v>
      </c>
      <c r="V2251">
        <v>-4.6129160000000002E-2</v>
      </c>
      <c r="W2251">
        <v>0.15440229999999999</v>
      </c>
      <c r="X2251">
        <v>0.98693059999999999</v>
      </c>
      <c r="Y2251">
        <v>-0.20810029999999999</v>
      </c>
      <c r="Z2251">
        <v>-3.6735030000000002E-2</v>
      </c>
      <c r="AA2251">
        <v>0.97741739999999999</v>
      </c>
      <c r="AB2251">
        <v>41</v>
      </c>
      <c r="AC2251">
        <v>8.5346999999999795</v>
      </c>
      <c r="AD2251">
        <v>3.711452</v>
      </c>
      <c r="AE2251">
        <v>-98.126120999999998</v>
      </c>
      <c r="AF2251">
        <v>-20.552826714827098</v>
      </c>
      <c r="AG2251">
        <v>3.711452</v>
      </c>
      <c r="AH2251">
        <v>96.185585474187207</v>
      </c>
      <c r="AI2251">
        <v>87.838996270913995</v>
      </c>
      <c r="AJ2251">
        <v>102.061509517112</v>
      </c>
      <c r="AK2251">
        <v>98.426929317794901</v>
      </c>
      <c r="AL2251">
        <v>81.117866637215201</v>
      </c>
      <c r="AM2251">
        <v>92.676058515118697</v>
      </c>
      <c r="AN2251">
        <v>0.99999998943197699</v>
      </c>
    </row>
    <row r="2252" spans="1:40" x14ac:dyDescent="0.3">
      <c r="A2252" t="str">
        <f>"20200111150848593"</f>
        <v>20200111150848593</v>
      </c>
      <c r="B2252" t="str">
        <f>"1578726528585752"</f>
        <v>1578726528585752</v>
      </c>
      <c r="C2252" t="s">
        <v>40</v>
      </c>
      <c r="D2252">
        <v>8.8284889999999994</v>
      </c>
      <c r="E2252">
        <v>0.43361949999999999</v>
      </c>
      <c r="F2252" t="s">
        <v>88</v>
      </c>
      <c r="G2252">
        <v>-412.99110000000002</v>
      </c>
      <c r="H2252">
        <v>5.337078</v>
      </c>
      <c r="I2252">
        <v>0.54868509999999904</v>
      </c>
      <c r="J2252">
        <v>-421.84010000000001</v>
      </c>
      <c r="K2252">
        <v>1.113642</v>
      </c>
      <c r="L2252">
        <v>98.264070000000004</v>
      </c>
      <c r="M2252">
        <v>-0.11947960000000001</v>
      </c>
      <c r="N2252">
        <v>0</v>
      </c>
      <c r="O2252">
        <v>-0.99276390000000003</v>
      </c>
      <c r="P2252">
        <v>-7.3717740000000004E-2</v>
      </c>
      <c r="Q2252">
        <v>0.14307310000000001</v>
      </c>
      <c r="R2252">
        <v>-0.98696300000000003</v>
      </c>
      <c r="S2252">
        <v>0.2729492</v>
      </c>
      <c r="T2252">
        <v>0.13098219999999999</v>
      </c>
      <c r="U2252">
        <v>-3.042999</v>
      </c>
      <c r="V2252">
        <v>-4.6189809999999998E-2</v>
      </c>
      <c r="W2252">
        <v>0.15453839999999999</v>
      </c>
      <c r="X2252">
        <v>0.98690650000000002</v>
      </c>
      <c r="Y2252">
        <v>-0.20762849999999999</v>
      </c>
      <c r="Z2252">
        <v>-4.1988299999999999E-2</v>
      </c>
      <c r="AA2252">
        <v>0.97730620000000001</v>
      </c>
      <c r="AB2252">
        <v>41</v>
      </c>
      <c r="AC2252">
        <v>8.8489999999999895</v>
      </c>
      <c r="AD2252">
        <v>4.2234360000000004</v>
      </c>
      <c r="AE2252">
        <v>-97.715384900000004</v>
      </c>
      <c r="AF2252">
        <v>-20.423597395080499</v>
      </c>
      <c r="AG2252">
        <v>4.2234360000000004</v>
      </c>
      <c r="AH2252">
        <v>95.780488635699797</v>
      </c>
      <c r="AI2252">
        <v>87.530625190218402</v>
      </c>
      <c r="AJ2252">
        <v>102.03709745656801</v>
      </c>
      <c r="AK2252">
        <v>98.0248067863225</v>
      </c>
      <c r="AL2252">
        <v>81.109974291748102</v>
      </c>
      <c r="AM2252">
        <v>92.679637175260197</v>
      </c>
      <c r="AN2252">
        <v>1.00000002768232</v>
      </c>
    </row>
    <row r="2253" spans="1:40" x14ac:dyDescent="0.3">
      <c r="A2253" t="str">
        <f>"20200111150848616"</f>
        <v>20200111150848616</v>
      </c>
      <c r="B2253" t="str">
        <f>"1578726528605272"</f>
        <v>1578726528605272</v>
      </c>
      <c r="C2253" t="s">
        <v>40</v>
      </c>
      <c r="D2253">
        <v>8.2527679999999997</v>
      </c>
      <c r="E2253">
        <v>0.4327144</v>
      </c>
      <c r="F2253" t="s">
        <v>88</v>
      </c>
      <c r="G2253">
        <v>-412.10599999999999</v>
      </c>
      <c r="H2253">
        <v>6.1288140000000002</v>
      </c>
      <c r="I2253">
        <v>0.55768779999999996</v>
      </c>
      <c r="J2253">
        <v>-421.8854</v>
      </c>
      <c r="K2253">
        <v>1.113837</v>
      </c>
      <c r="L2253">
        <v>97.859710000000007</v>
      </c>
      <c r="M2253">
        <v>-0.1153487</v>
      </c>
      <c r="N2253">
        <v>0</v>
      </c>
      <c r="O2253">
        <v>-0.99325200000000002</v>
      </c>
      <c r="P2253">
        <v>-6.9718879999999997E-2</v>
      </c>
      <c r="Q2253">
        <v>0.142322</v>
      </c>
      <c r="R2253">
        <v>-0.98736199999999996</v>
      </c>
      <c r="S2253">
        <v>0.30282589999999998</v>
      </c>
      <c r="T2253">
        <v>0.1560211</v>
      </c>
      <c r="U2253">
        <v>-3.0396420000000002</v>
      </c>
      <c r="V2253">
        <v>-4.6161470000000003E-2</v>
      </c>
      <c r="W2253">
        <v>0.15377850000000001</v>
      </c>
      <c r="X2253">
        <v>0.98702650000000003</v>
      </c>
      <c r="Y2253">
        <v>-0.21313499999999999</v>
      </c>
      <c r="Z2253">
        <v>-5.0034580000000002E-2</v>
      </c>
      <c r="AA2253">
        <v>0.97574070000000002</v>
      </c>
      <c r="AB2253">
        <v>41</v>
      </c>
      <c r="AC2253">
        <v>9.7794000000000096</v>
      </c>
      <c r="AD2253">
        <v>5.014977</v>
      </c>
      <c r="AE2253">
        <v>-97.302022199999996</v>
      </c>
      <c r="AF2253">
        <v>-20.8836692734053</v>
      </c>
      <c r="AG2253">
        <v>5.014977</v>
      </c>
      <c r="AH2253">
        <v>95.273764938072205</v>
      </c>
      <c r="AI2253">
        <v>87.056625116383799</v>
      </c>
      <c r="AJ2253">
        <v>102.36349555002</v>
      </c>
      <c r="AK2253">
        <v>97.664568406902504</v>
      </c>
      <c r="AL2253">
        <v>81.1540399538804</v>
      </c>
      <c r="AM2253">
        <v>92.677670354480398</v>
      </c>
      <c r="AN2253">
        <v>1.00000001003853</v>
      </c>
    </row>
    <row r="2254" spans="1:40" x14ac:dyDescent="0.3">
      <c r="A2254" t="str">
        <f>"20200111150849241"</f>
        <v>20200111150849241</v>
      </c>
      <c r="B2254" t="str">
        <f>"1578726529235768"</f>
        <v>1578726529235768</v>
      </c>
      <c r="C2254" t="s">
        <v>40</v>
      </c>
      <c r="D2254">
        <v>6.5216019999999997</v>
      </c>
      <c r="E2254">
        <v>0.40078599999999998</v>
      </c>
      <c r="F2254" t="s">
        <v>88</v>
      </c>
      <c r="G2254">
        <v>-411.55309999999997</v>
      </c>
      <c r="H2254">
        <v>6.2960880000000001</v>
      </c>
      <c r="I2254">
        <v>0.56331249999999999</v>
      </c>
      <c r="J2254">
        <v>-422.45150000000001</v>
      </c>
      <c r="K2254">
        <v>1.11103</v>
      </c>
      <c r="L2254">
        <v>86.564700000000002</v>
      </c>
      <c r="M2254">
        <v>-1.6513739999999999E-2</v>
      </c>
      <c r="N2254">
        <v>0</v>
      </c>
      <c r="O2254">
        <v>-0.99979169999999995</v>
      </c>
      <c r="P2254">
        <v>1.688837E-2</v>
      </c>
      <c r="Q2254">
        <v>0.15612590000000001</v>
      </c>
      <c r="R2254">
        <v>-0.9875931</v>
      </c>
      <c r="S2254">
        <v>0.32260129999999998</v>
      </c>
      <c r="T2254">
        <v>0.161803799999999</v>
      </c>
      <c r="U2254">
        <v>-3.0378720000000001</v>
      </c>
      <c r="V2254">
        <v>-3.3663419999999999E-2</v>
      </c>
      <c r="W2254">
        <v>0.16788220000000001</v>
      </c>
      <c r="X2254">
        <v>0.98523210000000006</v>
      </c>
      <c r="Y2254">
        <v>-0.1218601</v>
      </c>
      <c r="Z2254">
        <v>-5.2829639999999997E-2</v>
      </c>
      <c r="AA2254">
        <v>0.99114029999999997</v>
      </c>
      <c r="AB2254">
        <v>41</v>
      </c>
      <c r="AC2254">
        <v>10.898400000000001</v>
      </c>
      <c r="AD2254">
        <v>5.1850579999999997</v>
      </c>
      <c r="AE2254">
        <v>-86.001387500000007</v>
      </c>
      <c r="AF2254">
        <v>-12.273312826878101</v>
      </c>
      <c r="AG2254">
        <v>5.1850579999999997</v>
      </c>
      <c r="AH2254">
        <v>85.503784030647296</v>
      </c>
      <c r="AI2254">
        <v>86.564883458175899</v>
      </c>
      <c r="AJ2254">
        <v>98.168506457202795</v>
      </c>
      <c r="AK2254">
        <v>86.535634959069597</v>
      </c>
      <c r="AL2254">
        <v>80.335291299079799</v>
      </c>
      <c r="AM2254">
        <v>91.956921452174996</v>
      </c>
      <c r="AN2254">
        <v>0.99999997489667303</v>
      </c>
    </row>
    <row r="2255" spans="1:40" x14ac:dyDescent="0.3">
      <c r="A2255" t="str">
        <f>"20200111150849264"</f>
        <v>20200111150849264</v>
      </c>
      <c r="B2255" t="str">
        <f>"1578726529256264"</f>
        <v>1578726529256264</v>
      </c>
      <c r="C2255" t="s">
        <v>40</v>
      </c>
      <c r="D2255">
        <v>5.3727460000000002</v>
      </c>
      <c r="E2255">
        <v>0.40678789999999998</v>
      </c>
      <c r="F2255" t="s">
        <v>88</v>
      </c>
      <c r="G2255">
        <v>-397.53739999999999</v>
      </c>
      <c r="H2255">
        <v>22.158850000000001</v>
      </c>
      <c r="I2255">
        <v>0.70590399999999998</v>
      </c>
      <c r="J2255">
        <v>-422.45859999999999</v>
      </c>
      <c r="K2255">
        <v>1.110719</v>
      </c>
      <c r="L2255">
        <v>86.131439999999998</v>
      </c>
      <c r="M2255">
        <v>-1.648707E-2</v>
      </c>
      <c r="N2255">
        <v>0</v>
      </c>
      <c r="O2255">
        <v>-0.99979220000000002</v>
      </c>
      <c r="P2255">
        <v>1.498771E-2</v>
      </c>
      <c r="Q2255">
        <v>0.155337</v>
      </c>
      <c r="R2255">
        <v>-0.98774810000000002</v>
      </c>
      <c r="S2255">
        <v>0.8445435</v>
      </c>
      <c r="T2255">
        <v>0.71348239999999996</v>
      </c>
      <c r="U2255">
        <v>-2.9104610000000002</v>
      </c>
      <c r="V2255">
        <v>-3.1611670000000001E-2</v>
      </c>
      <c r="W2255">
        <v>0.16712060000000001</v>
      </c>
      <c r="X2255">
        <v>0.98542949999999996</v>
      </c>
      <c r="Y2255">
        <v>-0.28708850000000002</v>
      </c>
      <c r="Z2255">
        <v>-0.22857469999999999</v>
      </c>
      <c r="AA2255">
        <v>0.93023319999999998</v>
      </c>
      <c r="AB2255">
        <v>41</v>
      </c>
      <c r="AC2255">
        <v>24.921199999999999</v>
      </c>
      <c r="AD2255">
        <v>21.048131000000001</v>
      </c>
      <c r="AE2255">
        <v>-85.425535999999994</v>
      </c>
      <c r="AF2255">
        <v>-24.931480635611599</v>
      </c>
      <c r="AG2255">
        <v>21.048131000000001</v>
      </c>
      <c r="AH2255">
        <v>80.499296041023399</v>
      </c>
      <c r="AI2255">
        <v>75.976419584522006</v>
      </c>
      <c r="AJ2255">
        <v>107.208304306127</v>
      </c>
      <c r="AK2255">
        <v>86.860458255626099</v>
      </c>
      <c r="AL2255">
        <v>80.379552824846101</v>
      </c>
      <c r="AM2255">
        <v>91.837365707278593</v>
      </c>
      <c r="AN2255">
        <v>0.99999994604739795</v>
      </c>
    </row>
    <row r="2256" spans="1:40" x14ac:dyDescent="0.3">
      <c r="A2256" t="str">
        <f>"20200111150849285"</f>
        <v>20200111150849285</v>
      </c>
      <c r="B2256" t="str">
        <f>"1578726529275784"</f>
        <v>1578726529275784</v>
      </c>
      <c r="C2256" t="s">
        <v>40</v>
      </c>
      <c r="D2256">
        <v>5.3850669999999896</v>
      </c>
      <c r="E2256">
        <v>0.41794039999999999</v>
      </c>
      <c r="F2256" t="s">
        <v>88</v>
      </c>
      <c r="G2256">
        <v>-399.14699999999999</v>
      </c>
      <c r="H2256">
        <v>24.408860000000001</v>
      </c>
      <c r="I2256">
        <v>0.68954469999999901</v>
      </c>
      <c r="J2256">
        <v>-422.46499999999997</v>
      </c>
      <c r="K2256">
        <v>1.110476</v>
      </c>
      <c r="L2256">
        <v>85.740359999999995</v>
      </c>
      <c r="M2256">
        <v>-1.6626209999999999E-2</v>
      </c>
      <c r="N2256">
        <v>0</v>
      </c>
      <c r="O2256">
        <v>-0.9997897</v>
      </c>
      <c r="P2256">
        <v>1.386868E-2</v>
      </c>
      <c r="Q2256">
        <v>0.15467810000000001</v>
      </c>
      <c r="R2256">
        <v>-0.98786759999999996</v>
      </c>
      <c r="S2256">
        <v>0.79144289999999995</v>
      </c>
      <c r="T2256">
        <v>0.79098859999999904</v>
      </c>
      <c r="U2256">
        <v>-2.9008180000000001</v>
      </c>
      <c r="V2256">
        <v>-3.053614E-2</v>
      </c>
      <c r="W2256">
        <v>0.1664793</v>
      </c>
      <c r="X2256">
        <v>0.985572</v>
      </c>
      <c r="Y2256">
        <v>-0.27058919999999997</v>
      </c>
      <c r="Z2256">
        <v>-0.25377959999999999</v>
      </c>
      <c r="AA2256">
        <v>0.92864270000000004</v>
      </c>
      <c r="AB2256">
        <v>41</v>
      </c>
      <c r="AC2256">
        <v>23.317999999999898</v>
      </c>
      <c r="AD2256">
        <v>23.298383999999999</v>
      </c>
      <c r="AE2256">
        <v>-85.050815299999996</v>
      </c>
      <c r="AF2256">
        <v>-23.115616948410501</v>
      </c>
      <c r="AG2256">
        <v>23.298383999999999</v>
      </c>
      <c r="AH2256">
        <v>79.128626871178795</v>
      </c>
      <c r="AI2256">
        <v>74.218414753952104</v>
      </c>
      <c r="AJ2256">
        <v>106.284514759429</v>
      </c>
      <c r="AK2256">
        <v>85.664963867589094</v>
      </c>
      <c r="AL2256">
        <v>80.416819104213701</v>
      </c>
      <c r="AM2256">
        <v>91.774636883749096</v>
      </c>
      <c r="AN2256">
        <v>0.99999999017929397</v>
      </c>
    </row>
    <row r="2257" spans="1:40" x14ac:dyDescent="0.3">
      <c r="A2257" t="str">
        <f>"20200111150849307"</f>
        <v>20200111150849307</v>
      </c>
      <c r="B2257" t="str">
        <f>"1578726529306041"</f>
        <v>1578726529306041</v>
      </c>
      <c r="C2257" t="s">
        <v>40</v>
      </c>
      <c r="D2257">
        <v>4.6881510000000004</v>
      </c>
      <c r="E2257">
        <v>0.42373369999999999</v>
      </c>
      <c r="F2257" t="s">
        <v>88</v>
      </c>
      <c r="G2257">
        <v>-401.9873</v>
      </c>
      <c r="H2257">
        <v>24.516490000000001</v>
      </c>
      <c r="I2257">
        <v>0.66065980000000002</v>
      </c>
      <c r="J2257">
        <v>-422.47179999999997</v>
      </c>
      <c r="K2257">
        <v>1.1102730000000001</v>
      </c>
      <c r="L2257">
        <v>85.338499999999996</v>
      </c>
      <c r="M2257">
        <v>-1.6883490000000001E-2</v>
      </c>
      <c r="N2257">
        <v>0</v>
      </c>
      <c r="O2257">
        <v>-0.99978549999999999</v>
      </c>
      <c r="P2257">
        <v>1.360898E-2</v>
      </c>
      <c r="Q2257">
        <v>0.15459329999999999</v>
      </c>
      <c r="R2257">
        <v>-0.9878846</v>
      </c>
      <c r="S2257">
        <v>0.6984863</v>
      </c>
      <c r="T2257">
        <v>0.79837000000000002</v>
      </c>
      <c r="U2257">
        <v>-2.9020389999999998</v>
      </c>
      <c r="V2257">
        <v>-3.044958E-2</v>
      </c>
      <c r="W2257">
        <v>0.166406</v>
      </c>
      <c r="X2257">
        <v>0.98558710000000005</v>
      </c>
      <c r="Y2257">
        <v>-0.24246780000000001</v>
      </c>
      <c r="Z2257">
        <v>-0.25780350000000002</v>
      </c>
      <c r="AA2257">
        <v>0.93527899999999997</v>
      </c>
      <c r="AB2257">
        <v>41</v>
      </c>
      <c r="AC2257">
        <v>20.484499999999901</v>
      </c>
      <c r="AD2257">
        <v>23.406217000000002</v>
      </c>
      <c r="AE2257">
        <v>-84.677840199999906</v>
      </c>
      <c r="AF2257">
        <v>-20.436230650015201</v>
      </c>
      <c r="AG2257">
        <v>23.406217000000002</v>
      </c>
      <c r="AH2257">
        <v>78.643332284413304</v>
      </c>
      <c r="AI2257">
        <v>73.930533173964506</v>
      </c>
      <c r="AJ2257">
        <v>104.566684921155</v>
      </c>
      <c r="AK2257">
        <v>84.559235038098294</v>
      </c>
      <c r="AL2257">
        <v>80.421078707131898</v>
      </c>
      <c r="AM2257">
        <v>91.769582475266105</v>
      </c>
      <c r="AN2257">
        <v>1.00000003272229</v>
      </c>
    </row>
    <row r="2258" spans="1:40" x14ac:dyDescent="0.3">
      <c r="A2258" t="str">
        <f>"20200111150849330"</f>
        <v>20200111150849330</v>
      </c>
      <c r="B2258" t="str">
        <f>"1578726529325560"</f>
        <v>1578726529325560</v>
      </c>
      <c r="C2258" t="s">
        <v>40</v>
      </c>
      <c r="D2258">
        <v>5.2020439999999999</v>
      </c>
      <c r="E2258">
        <v>0.42623450000000002</v>
      </c>
      <c r="F2258" t="s">
        <v>88</v>
      </c>
      <c r="G2258">
        <v>-403.50909999999999</v>
      </c>
      <c r="H2258">
        <v>23.305</v>
      </c>
      <c r="I2258">
        <v>0.64517400000000003</v>
      </c>
      <c r="J2258">
        <v>-422.47879999999998</v>
      </c>
      <c r="K2258">
        <v>1.1101110000000001</v>
      </c>
      <c r="L2258">
        <v>84.935640000000006</v>
      </c>
      <c r="M2258">
        <v>-1.721133E-2</v>
      </c>
      <c r="N2258">
        <v>0</v>
      </c>
      <c r="O2258">
        <v>-0.99978020000000001</v>
      </c>
      <c r="P2258">
        <v>1.405969E-2</v>
      </c>
      <c r="Q2258">
        <v>0.1543831</v>
      </c>
      <c r="R2258">
        <v>-0.98791150000000005</v>
      </c>
      <c r="S2258">
        <v>0.65121459999999998</v>
      </c>
      <c r="T2258">
        <v>0.76221019999999995</v>
      </c>
      <c r="U2258">
        <v>-2.9085390000000002</v>
      </c>
      <c r="V2258">
        <v>-3.1158890000000002E-2</v>
      </c>
      <c r="W2258">
        <v>0.1662043</v>
      </c>
      <c r="X2258">
        <v>0.98559890000000006</v>
      </c>
      <c r="Y2258">
        <v>-0.228462</v>
      </c>
      <c r="Z2258">
        <v>-0.24721789999999999</v>
      </c>
      <c r="AA2258">
        <v>0.94164130000000001</v>
      </c>
      <c r="AB2258">
        <v>41</v>
      </c>
      <c r="AC2258">
        <v>18.9696999999999</v>
      </c>
      <c r="AD2258">
        <v>22.194889</v>
      </c>
      <c r="AE2258">
        <v>-84.290465999999995</v>
      </c>
      <c r="AF2258">
        <v>-19.153749212336699</v>
      </c>
      <c r="AG2258">
        <v>22.194889</v>
      </c>
      <c r="AH2258">
        <v>78.754302332613605</v>
      </c>
      <c r="AI2258">
        <v>74.685458192835995</v>
      </c>
      <c r="AJ2258">
        <v>103.669450670112</v>
      </c>
      <c r="AK2258">
        <v>84.034036809545995</v>
      </c>
      <c r="AL2258">
        <v>80.432797852930094</v>
      </c>
      <c r="AM2258">
        <v>91.810755349550803</v>
      </c>
      <c r="AN2258">
        <v>0.99999996872286501</v>
      </c>
    </row>
    <row r="2259" spans="1:40" x14ac:dyDescent="0.3">
      <c r="A2259" t="str">
        <f>"20200111150849353"</f>
        <v>20200111150849353</v>
      </c>
      <c r="B2259" t="str">
        <f>"1578726529346058"</f>
        <v>1578726529346058</v>
      </c>
      <c r="C2259" t="s">
        <v>40</v>
      </c>
      <c r="D2259">
        <v>7.3529220000000004</v>
      </c>
      <c r="E2259">
        <v>0.47459659999999898</v>
      </c>
      <c r="F2259" t="s">
        <v>88</v>
      </c>
      <c r="G2259">
        <v>-404.14350000000002</v>
      </c>
      <c r="H2259">
        <v>23.21068</v>
      </c>
      <c r="I2259">
        <v>0.63872340000000005</v>
      </c>
      <c r="J2259">
        <v>-422.48630000000003</v>
      </c>
      <c r="K2259">
        <v>1.1099699999999999</v>
      </c>
      <c r="L2259">
        <v>84.504639999999995</v>
      </c>
      <c r="M2259">
        <v>-1.7586810000000001E-2</v>
      </c>
      <c r="N2259">
        <v>0</v>
      </c>
      <c r="O2259">
        <v>-0.99977329999999998</v>
      </c>
      <c r="P2259">
        <v>1.4665640000000001E-2</v>
      </c>
      <c r="Q2259">
        <v>0.15399450000000001</v>
      </c>
      <c r="R2259">
        <v>-0.98796249999999997</v>
      </c>
      <c r="S2259">
        <v>0.63262940000000001</v>
      </c>
      <c r="T2259">
        <v>0.76254560000000005</v>
      </c>
      <c r="U2259">
        <v>-2.9085390000000002</v>
      </c>
      <c r="V2259">
        <v>-3.2079290000000003E-2</v>
      </c>
      <c r="W2259">
        <v>0.1658229</v>
      </c>
      <c r="X2259">
        <v>0.9856336</v>
      </c>
      <c r="Y2259">
        <v>-0.2230634</v>
      </c>
      <c r="Z2259">
        <v>-0.2476322</v>
      </c>
      <c r="AA2259">
        <v>0.9428261</v>
      </c>
      <c r="AB2259">
        <v>41</v>
      </c>
      <c r="AC2259">
        <v>18.3428</v>
      </c>
      <c r="AD2259">
        <v>22.100709999999999</v>
      </c>
      <c r="AE2259">
        <v>-83.865916599999906</v>
      </c>
      <c r="AF2259">
        <v>-18.583393690245401</v>
      </c>
      <c r="AG2259">
        <v>22.100709999999999</v>
      </c>
      <c r="AH2259">
        <v>78.338469426060001</v>
      </c>
      <c r="AI2259">
        <v>74.650361943739696</v>
      </c>
      <c r="AJ2259">
        <v>103.344991089369</v>
      </c>
      <c r="AK2259">
        <v>83.490716223832294</v>
      </c>
      <c r="AL2259">
        <v>80.454957830136607</v>
      </c>
      <c r="AM2259">
        <v>91.864140324629105</v>
      </c>
      <c r="AN2259">
        <v>0.99999995423013599</v>
      </c>
    </row>
    <row r="2260" spans="1:40" x14ac:dyDescent="0.3">
      <c r="A2260" t="str">
        <f>"20200111150849375"</f>
        <v>20200111150849375</v>
      </c>
      <c r="B2260" t="str">
        <f>"1578726529365576"</f>
        <v>1578726529365576</v>
      </c>
      <c r="C2260" t="s">
        <v>40</v>
      </c>
      <c r="D2260">
        <v>8.237304</v>
      </c>
      <c r="E2260">
        <v>0.47322229999999998</v>
      </c>
      <c r="F2260" t="s">
        <v>43</v>
      </c>
      <c r="G2260">
        <v>-419.57479999999998</v>
      </c>
      <c r="H2260" s="1">
        <v>-3.6036589999999998E-6</v>
      </c>
      <c r="I2260">
        <v>47.857190000000003</v>
      </c>
      <c r="J2260">
        <v>-422.49340000000001</v>
      </c>
      <c r="K2260">
        <v>1.109869</v>
      </c>
      <c r="L2260">
        <v>84.109949999999998</v>
      </c>
      <c r="M2260">
        <v>-1.791332E-2</v>
      </c>
      <c r="N2260">
        <v>0</v>
      </c>
      <c r="O2260">
        <v>-0.99976779999999998</v>
      </c>
      <c r="P2260">
        <v>1.518368E-2</v>
      </c>
      <c r="Q2260">
        <v>0.15331689999999901</v>
      </c>
      <c r="R2260">
        <v>-0.9880603</v>
      </c>
      <c r="S2260">
        <v>0.2420959</v>
      </c>
      <c r="T2260">
        <v>-9.2298149999999995E-2</v>
      </c>
      <c r="U2260">
        <v>-3.0473629999999998</v>
      </c>
      <c r="V2260">
        <v>-3.2881540000000001E-2</v>
      </c>
      <c r="W2260">
        <v>0.16515089999999999</v>
      </c>
      <c r="X2260">
        <v>0.98572000000000004</v>
      </c>
      <c r="Y2260">
        <v>-9.7004499999999994E-2</v>
      </c>
      <c r="Z2260">
        <v>3.014787E-2</v>
      </c>
      <c r="AA2260">
        <v>0.99482720000000002</v>
      </c>
      <c r="AB2260">
        <v>41</v>
      </c>
      <c r="AC2260">
        <v>2.9186000000000201</v>
      </c>
      <c r="AD2260">
        <v>-1.1098726036589901</v>
      </c>
      <c r="AE2260">
        <v>-36.252760000000002</v>
      </c>
      <c r="AF2260">
        <v>-3.5642663397112</v>
      </c>
      <c r="AG2260">
        <v>-1.1098726036589901</v>
      </c>
      <c r="AH2260">
        <v>36.160982311092098</v>
      </c>
      <c r="AI2260">
        <v>91.749528621283602</v>
      </c>
      <c r="AJ2260">
        <v>95.6292690043595</v>
      </c>
      <c r="AK2260">
        <v>36.353162908333999</v>
      </c>
      <c r="AL2260">
        <v>80.493999017016606</v>
      </c>
      <c r="AM2260">
        <v>91.910557902469506</v>
      </c>
      <c r="AN2260">
        <v>0.99999996692179005</v>
      </c>
    </row>
    <row r="2261" spans="1:40" x14ac:dyDescent="0.3">
      <c r="A2261" t="str">
        <f>"20200111150849398"</f>
        <v>20200111150849398</v>
      </c>
      <c r="B2261" t="str">
        <f>"1578726529395833"</f>
        <v>1578726529395833</v>
      </c>
      <c r="C2261" t="s">
        <v>40</v>
      </c>
      <c r="D2261">
        <v>5.1071749999999998</v>
      </c>
      <c r="E2261">
        <v>0.4752885</v>
      </c>
      <c r="F2261" t="s">
        <v>88</v>
      </c>
      <c r="G2261">
        <v>-415.5557</v>
      </c>
      <c r="H2261">
        <v>0.87901019999999896</v>
      </c>
      <c r="I2261">
        <v>1.279177</v>
      </c>
      <c r="J2261">
        <v>-422.50099999999998</v>
      </c>
      <c r="K2261">
        <v>1.1097939999999999</v>
      </c>
      <c r="L2261">
        <v>83.692260000000005</v>
      </c>
      <c r="M2261">
        <v>-1.8222080000000002E-2</v>
      </c>
      <c r="N2261">
        <v>0</v>
      </c>
      <c r="O2261">
        <v>-0.99976209999999999</v>
      </c>
      <c r="P2261">
        <v>1.5157510000000001E-2</v>
      </c>
      <c r="Q2261">
        <v>0.1527982</v>
      </c>
      <c r="R2261">
        <v>-0.98814139999999995</v>
      </c>
      <c r="S2261">
        <v>0.25408940000000002</v>
      </c>
      <c r="T2261">
        <v>-8.4561110000000005E-3</v>
      </c>
      <c r="U2261">
        <v>-3.0336609999999999</v>
      </c>
      <c r="V2261">
        <v>-3.313166E-2</v>
      </c>
      <c r="W2261">
        <v>0.1646369</v>
      </c>
      <c r="X2261">
        <v>0.98579760000000005</v>
      </c>
      <c r="Y2261">
        <v>-0.10161009999999999</v>
      </c>
      <c r="Z2261">
        <v>2.7746519999999998E-3</v>
      </c>
      <c r="AA2261">
        <v>0.99482040000000005</v>
      </c>
      <c r="AB2261">
        <v>41</v>
      </c>
      <c r="AC2261">
        <v>6.9452999999999703</v>
      </c>
      <c r="AD2261">
        <v>-0.23078380000000001</v>
      </c>
      <c r="AE2261">
        <v>-82.413083</v>
      </c>
      <c r="AF2261">
        <v>-8.4459266030079405</v>
      </c>
      <c r="AG2261">
        <v>-0.23078380000000001</v>
      </c>
      <c r="AH2261">
        <v>82.272189981736503</v>
      </c>
      <c r="AI2261">
        <v>90.159881157857896</v>
      </c>
      <c r="AJ2261">
        <v>95.861356838704907</v>
      </c>
      <c r="AK2261">
        <v>82.704898172579206</v>
      </c>
      <c r="AL2261">
        <v>80.523857728786595</v>
      </c>
      <c r="AM2261">
        <v>91.924928624462396</v>
      </c>
      <c r="AN2261">
        <v>0.99999996195086205</v>
      </c>
    </row>
    <row r="2262" spans="1:40" x14ac:dyDescent="0.3">
      <c r="A2262" t="str">
        <f>"20200111150849420"</f>
        <v>20200111150849420</v>
      </c>
      <c r="B2262" t="str">
        <f>"1578726529416328"</f>
        <v>1578726529416328</v>
      </c>
      <c r="C2262" t="s">
        <v>40</v>
      </c>
      <c r="D2262">
        <v>5.1047750000000001</v>
      </c>
      <c r="E2262">
        <v>0.47578500000000001</v>
      </c>
      <c r="F2262" t="s">
        <v>88</v>
      </c>
      <c r="G2262">
        <v>-416.01679999999999</v>
      </c>
      <c r="H2262">
        <v>2.0472009999999998</v>
      </c>
      <c r="I2262">
        <v>1.2773570000000001</v>
      </c>
      <c r="J2262">
        <v>-422.50839999999999</v>
      </c>
      <c r="K2262">
        <v>1.1097490000000001</v>
      </c>
      <c r="L2262">
        <v>83.294740000000004</v>
      </c>
      <c r="M2262">
        <v>-1.8477850000000001E-2</v>
      </c>
      <c r="N2262">
        <v>0</v>
      </c>
      <c r="O2262">
        <v>-0.99975749999999997</v>
      </c>
      <c r="P2262">
        <v>1.511739E-2</v>
      </c>
      <c r="Q2262">
        <v>0.15284700000000001</v>
      </c>
      <c r="R2262">
        <v>-0.98813450000000003</v>
      </c>
      <c r="S2262">
        <v>0.23815919999999999</v>
      </c>
      <c r="T2262">
        <v>3.4429309999999998E-2</v>
      </c>
      <c r="U2262">
        <v>-3.0270389999999998</v>
      </c>
      <c r="V2262">
        <v>-3.332599E-2</v>
      </c>
      <c r="W2262">
        <v>0.16468669999999999</v>
      </c>
      <c r="X2262">
        <v>0.98578270000000001</v>
      </c>
      <c r="Y2262">
        <v>-9.6838709999999995E-2</v>
      </c>
      <c r="Z2262">
        <v>-1.1326050000000001E-2</v>
      </c>
      <c r="AA2262">
        <v>0.9952356</v>
      </c>
      <c r="AB2262">
        <v>41</v>
      </c>
      <c r="AC2262">
        <v>6.4916</v>
      </c>
      <c r="AD2262">
        <v>0.93745199999999995</v>
      </c>
      <c r="AE2262">
        <v>-82.017382999999995</v>
      </c>
      <c r="AF2262">
        <v>-8.0050658918032997</v>
      </c>
      <c r="AG2262">
        <v>0.93745199999999995</v>
      </c>
      <c r="AH2262">
        <v>81.872789219142206</v>
      </c>
      <c r="AI2262">
        <v>89.347099119175397</v>
      </c>
      <c r="AJ2262">
        <v>95.584312691185502</v>
      </c>
      <c r="AK2262">
        <v>82.268545086846601</v>
      </c>
      <c r="AL2262">
        <v>80.520964617909897</v>
      </c>
      <c r="AM2262">
        <v>91.936239749989596</v>
      </c>
      <c r="AN2262">
        <v>0.99999993119282704</v>
      </c>
    </row>
    <row r="2263" spans="1:40" x14ac:dyDescent="0.3">
      <c r="A2263" t="str">
        <f>"20200111150849443"</f>
        <v>20200111150849443</v>
      </c>
      <c r="B2263" t="str">
        <f>"1578726529435379"</f>
        <v>1578726529435379</v>
      </c>
      <c r="C2263" t="s">
        <v>40</v>
      </c>
      <c r="D2263">
        <v>5.0895590000000004</v>
      </c>
      <c r="E2263">
        <v>0.47600579999999998</v>
      </c>
      <c r="F2263" t="s">
        <v>88</v>
      </c>
      <c r="G2263">
        <v>-416.21609999999998</v>
      </c>
      <c r="H2263">
        <v>0.44301800000000002</v>
      </c>
      <c r="I2263">
        <v>1.2765690000000001</v>
      </c>
      <c r="J2263">
        <v>-422.51620000000003</v>
      </c>
      <c r="K2263">
        <v>1.1097300000000001</v>
      </c>
      <c r="L2263">
        <v>82.880369999999999</v>
      </c>
      <c r="M2263">
        <v>-1.8712320000000001E-2</v>
      </c>
      <c r="N2263">
        <v>0</v>
      </c>
      <c r="O2263">
        <v>-0.99975329999999996</v>
      </c>
      <c r="P2263">
        <v>1.4929100000000001E-2</v>
      </c>
      <c r="Q2263">
        <v>0.15350429999999901</v>
      </c>
      <c r="R2263">
        <v>-0.98803560000000001</v>
      </c>
      <c r="S2263">
        <v>0.2329407</v>
      </c>
      <c r="T2263">
        <v>-2.4683119999999999E-2</v>
      </c>
      <c r="U2263">
        <v>-3.0362849999999999</v>
      </c>
      <c r="V2263">
        <v>-3.3356579999999997E-2</v>
      </c>
      <c r="W2263">
        <v>0.1653433</v>
      </c>
      <c r="X2263">
        <v>0.98567179999999999</v>
      </c>
      <c r="Y2263">
        <v>-9.513713E-2</v>
      </c>
      <c r="Z2263">
        <v>8.0966459999999903E-3</v>
      </c>
      <c r="AA2263">
        <v>0.99543119999999996</v>
      </c>
      <c r="AB2263">
        <v>41</v>
      </c>
      <c r="AC2263">
        <v>6.3001000000000396</v>
      </c>
      <c r="AD2263">
        <v>-0.66671199999999897</v>
      </c>
      <c r="AE2263">
        <v>-81.603801000000004</v>
      </c>
      <c r="AF2263">
        <v>-7.8255832577033599</v>
      </c>
      <c r="AG2263">
        <v>-0.66671199999999897</v>
      </c>
      <c r="AH2263">
        <v>81.466207245889706</v>
      </c>
      <c r="AI2263">
        <v>90.466744584333696</v>
      </c>
      <c r="AJ2263">
        <v>95.486954540888505</v>
      </c>
      <c r="AK2263">
        <v>81.843919635147302</v>
      </c>
      <c r="AL2263">
        <v>80.482821796844107</v>
      </c>
      <c r="AM2263">
        <v>91.9382335579662</v>
      </c>
      <c r="AN2263">
        <v>0.99999998279971303</v>
      </c>
    </row>
    <row r="2264" spans="1:40" x14ac:dyDescent="0.3">
      <c r="A2264" t="str">
        <f>"20200111150849465"</f>
        <v>20200111150849465</v>
      </c>
      <c r="B2264" t="str">
        <f>"1578726529455879"</f>
        <v>1578726529455879</v>
      </c>
      <c r="C2264" t="s">
        <v>40</v>
      </c>
      <c r="D2264">
        <v>8.2307380000000006</v>
      </c>
      <c r="E2264">
        <v>0.4599164</v>
      </c>
      <c r="F2264" t="s">
        <v>88</v>
      </c>
      <c r="G2264">
        <v>-416.3272</v>
      </c>
      <c r="H2264">
        <v>0.2089434</v>
      </c>
      <c r="I2264">
        <v>1.2761309999999999</v>
      </c>
      <c r="J2264">
        <v>-422.524</v>
      </c>
      <c r="K2264">
        <v>1.10971</v>
      </c>
      <c r="L2264">
        <v>82.470249999999993</v>
      </c>
      <c r="M2264">
        <v>-1.8922310000000001E-2</v>
      </c>
      <c r="N2264">
        <v>0</v>
      </c>
      <c r="O2264">
        <v>-0.9997492</v>
      </c>
      <c r="P2264">
        <v>1.460696E-2</v>
      </c>
      <c r="Q2264">
        <v>0.15364720000000001</v>
      </c>
      <c r="R2264">
        <v>-0.98801830000000002</v>
      </c>
      <c r="S2264">
        <v>0.23040769999999999</v>
      </c>
      <c r="T2264">
        <v>-3.3536429999999999E-2</v>
      </c>
      <c r="U2264">
        <v>-3.0380549999999999</v>
      </c>
      <c r="V2264">
        <v>-3.3234519999999997E-2</v>
      </c>
      <c r="W2264">
        <v>0.165486299999999</v>
      </c>
      <c r="X2264">
        <v>0.98565199999999997</v>
      </c>
      <c r="Y2264">
        <v>-9.4474730000000007E-2</v>
      </c>
      <c r="Z2264">
        <v>1.099468E-2</v>
      </c>
      <c r="AA2264">
        <v>0.99546650000000003</v>
      </c>
      <c r="AB2264">
        <v>41</v>
      </c>
      <c r="AC2264">
        <v>6.1967999999999899</v>
      </c>
      <c r="AD2264">
        <v>-0.90076659999999997</v>
      </c>
      <c r="AE2264">
        <v>-81.194118999999901</v>
      </c>
      <c r="AF2264">
        <v>-7.7312348482599198</v>
      </c>
      <c r="AG2264">
        <v>-0.90076659999999997</v>
      </c>
      <c r="AH2264">
        <v>81.052395615516005</v>
      </c>
      <c r="AI2264">
        <v>90.633847191835898</v>
      </c>
      <c r="AJ2264">
        <v>95.448709771558796</v>
      </c>
      <c r="AK2264">
        <v>81.425267624741196</v>
      </c>
      <c r="AL2264">
        <v>80.4745147663983</v>
      </c>
      <c r="AM2264">
        <v>91.931185224632799</v>
      </c>
      <c r="AN2264">
        <v>1.00000005695565</v>
      </c>
    </row>
    <row r="2265" spans="1:40" x14ac:dyDescent="0.3">
      <c r="A2265" t="str">
        <f>"20200111150849509"</f>
        <v>20200111150849509</v>
      </c>
      <c r="B2265" t="str">
        <f>"1578726529505653"</f>
        <v>1578726529505653</v>
      </c>
      <c r="C2265" t="s">
        <v>40</v>
      </c>
      <c r="D2265">
        <v>5.132917</v>
      </c>
      <c r="E2265">
        <v>0.45801219999999998</v>
      </c>
      <c r="F2265" t="s">
        <v>88</v>
      </c>
      <c r="G2265">
        <v>-412.08139999999997</v>
      </c>
      <c r="H2265">
        <v>26.789870000000001</v>
      </c>
      <c r="I2265">
        <v>0.55800819999999995</v>
      </c>
      <c r="J2265">
        <v>-422.53969999999998</v>
      </c>
      <c r="K2265">
        <v>1.109686</v>
      </c>
      <c r="L2265">
        <v>81.659480000000002</v>
      </c>
      <c r="M2265">
        <v>-1.9294329999999998E-2</v>
      </c>
      <c r="N2265">
        <v>0</v>
      </c>
      <c r="O2265">
        <v>-0.99974209999999997</v>
      </c>
      <c r="P2265">
        <v>1.3618079999999999E-2</v>
      </c>
      <c r="Q2265">
        <v>0.15143380000000001</v>
      </c>
      <c r="R2265">
        <v>-0.98837390000000003</v>
      </c>
      <c r="S2265">
        <v>0.36843870000000001</v>
      </c>
      <c r="T2265">
        <v>0.90605150000000001</v>
      </c>
      <c r="U2265">
        <v>-2.8900450000000002</v>
      </c>
      <c r="V2265">
        <v>-3.261124E-2</v>
      </c>
      <c r="W2265">
        <v>0.16327739999999999</v>
      </c>
      <c r="X2265">
        <v>0.9860411</v>
      </c>
      <c r="Y2265">
        <v>-0.13988689999999901</v>
      </c>
      <c r="Z2265">
        <v>-0.29649690000000001</v>
      </c>
      <c r="AA2265">
        <v>0.94473339999999995</v>
      </c>
      <c r="AB2265">
        <v>41</v>
      </c>
      <c r="AC2265">
        <v>10.458299999999999</v>
      </c>
      <c r="AD2265">
        <v>25.680184000000001</v>
      </c>
      <c r="AE2265">
        <v>-81.101471799999999</v>
      </c>
      <c r="AF2265">
        <v>-10.9421233573509</v>
      </c>
      <c r="AG2265">
        <v>25.680184000000001</v>
      </c>
      <c r="AH2265">
        <v>73.623621184453498</v>
      </c>
      <c r="AI2265">
        <v>70.964850495122505</v>
      </c>
      <c r="AJ2265">
        <v>98.453559354683193</v>
      </c>
      <c r="AK2265">
        <v>78.737789594026907</v>
      </c>
      <c r="AL2265">
        <v>80.602820522585304</v>
      </c>
      <c r="AM2265">
        <v>91.894247210214203</v>
      </c>
      <c r="AN2265">
        <v>1.00000002660715</v>
      </c>
    </row>
    <row r="2266" spans="1:40" x14ac:dyDescent="0.3">
      <c r="A2266" t="str">
        <f>"20200111150849532"</f>
        <v>20200111150849532</v>
      </c>
      <c r="B2266" t="str">
        <f>"1578726529526148"</f>
        <v>1578726529526148</v>
      </c>
      <c r="C2266" t="s">
        <v>40</v>
      </c>
      <c r="D2266">
        <v>5.1365280000000002</v>
      </c>
      <c r="E2266">
        <v>0.47970689999999999</v>
      </c>
      <c r="F2266" t="s">
        <v>88</v>
      </c>
      <c r="G2266">
        <v>-411.86599999999999</v>
      </c>
      <c r="H2266">
        <v>25.805230000000002</v>
      </c>
      <c r="I2266">
        <v>0.56019209999999997</v>
      </c>
      <c r="J2266">
        <v>-422.54770000000002</v>
      </c>
      <c r="K2266">
        <v>1.109675</v>
      </c>
      <c r="L2266">
        <v>81.251249999999999</v>
      </c>
      <c r="M2266">
        <v>-1.9478760000000001E-2</v>
      </c>
      <c r="N2266">
        <v>0</v>
      </c>
      <c r="O2266">
        <v>-0.99973849999999997</v>
      </c>
      <c r="P2266">
        <v>1.378894E-2</v>
      </c>
      <c r="Q2266">
        <v>0.15103349999999999</v>
      </c>
      <c r="R2266">
        <v>-0.98843270000000005</v>
      </c>
      <c r="S2266">
        <v>0.38101200000000002</v>
      </c>
      <c r="T2266">
        <v>0.88154270000000001</v>
      </c>
      <c r="U2266">
        <v>-2.8949579999999999</v>
      </c>
      <c r="V2266">
        <v>-3.2960910000000003E-2</v>
      </c>
      <c r="W2266">
        <v>0.16287850000000001</v>
      </c>
      <c r="X2266">
        <v>0.98609539999999996</v>
      </c>
      <c r="Y2266">
        <v>-0.1442196</v>
      </c>
      <c r="Z2266">
        <v>-0.28855189999999997</v>
      </c>
      <c r="AA2266">
        <v>0.9465403</v>
      </c>
      <c r="AB2266">
        <v>41</v>
      </c>
      <c r="AC2266">
        <v>10.681699999999999</v>
      </c>
      <c r="AD2266">
        <v>24.695554999999999</v>
      </c>
      <c r="AE2266">
        <v>-80.691057900000004</v>
      </c>
      <c r="AF2266">
        <v>-11.2188122826096</v>
      </c>
      <c r="AG2266">
        <v>24.695554999999999</v>
      </c>
      <c r="AH2266">
        <v>73.684701460088107</v>
      </c>
      <c r="AI2266">
        <v>71.668244566225695</v>
      </c>
      <c r="AJ2266">
        <v>98.657043054987994</v>
      </c>
      <c r="AK2266">
        <v>78.518580062637199</v>
      </c>
      <c r="AL2266">
        <v>80.625985503393693</v>
      </c>
      <c r="AM2266">
        <v>91.914437659751101</v>
      </c>
      <c r="AN2266">
        <v>0.99999998262571799</v>
      </c>
    </row>
    <row r="2267" spans="1:40" x14ac:dyDescent="0.3">
      <c r="A2267" t="str">
        <f>"20200111150849554"</f>
        <v>20200111150849554</v>
      </c>
      <c r="B2267" t="str">
        <f>"1578726529545668"</f>
        <v>1578726529545668</v>
      </c>
      <c r="C2267" t="s">
        <v>40</v>
      </c>
      <c r="D2267">
        <v>7.3337630000000003</v>
      </c>
      <c r="E2267">
        <v>0.48309370000000001</v>
      </c>
      <c r="F2267" t="s">
        <v>43</v>
      </c>
      <c r="G2267">
        <v>-421.0591</v>
      </c>
      <c r="H2267" s="1">
        <v>-3.9141509999999999E-6</v>
      </c>
      <c r="I2267">
        <v>58.056229999999999</v>
      </c>
      <c r="J2267">
        <v>-422.55579999999998</v>
      </c>
      <c r="K2267">
        <v>1.1096549999999901</v>
      </c>
      <c r="L2267">
        <v>80.845369999999903</v>
      </c>
      <c r="M2267">
        <v>-1.968114E-2</v>
      </c>
      <c r="N2267">
        <v>0</v>
      </c>
      <c r="O2267">
        <v>-0.99973449999999997</v>
      </c>
      <c r="P2267">
        <v>1.504808E-2</v>
      </c>
      <c r="Q2267">
        <v>0.15141569999999999</v>
      </c>
      <c r="R2267">
        <v>-0.98835580000000001</v>
      </c>
      <c r="S2267">
        <v>0.19604489999999999</v>
      </c>
      <c r="T2267">
        <v>-0.14614160000000001</v>
      </c>
      <c r="U2267">
        <v>-3.0547179999999998</v>
      </c>
      <c r="V2267">
        <v>-3.4410660000000003E-2</v>
      </c>
      <c r="W2267">
        <v>0.16326199999999999</v>
      </c>
      <c r="X2267">
        <v>0.98598249999999998</v>
      </c>
      <c r="Y2267">
        <v>-8.3602940000000001E-2</v>
      </c>
      <c r="Z2267">
        <v>4.7640170000000003E-2</v>
      </c>
      <c r="AA2267">
        <v>0.99535969999999996</v>
      </c>
      <c r="AB2267">
        <v>41</v>
      </c>
      <c r="AC2267">
        <v>1.4966999999999699</v>
      </c>
      <c r="AD2267">
        <v>-1.1096589141509901</v>
      </c>
      <c r="AE2267">
        <v>-22.7891399999999</v>
      </c>
      <c r="AF2267">
        <v>-1.94037772876293</v>
      </c>
      <c r="AG2267">
        <v>-1.1096589141509901</v>
      </c>
      <c r="AH2267">
        <v>22.701672948818398</v>
      </c>
      <c r="AI2267">
        <v>92.788243051671003</v>
      </c>
      <c r="AJ2267">
        <v>94.885362426199706</v>
      </c>
      <c r="AK2267">
        <v>22.811452459480702</v>
      </c>
      <c r="AL2267">
        <v>80.603714931872702</v>
      </c>
      <c r="AM2267">
        <v>91.998803942690003</v>
      </c>
      <c r="AN2267">
        <v>1.0000000322359399</v>
      </c>
    </row>
    <row r="2268" spans="1:40" x14ac:dyDescent="0.3">
      <c r="A2268" t="str">
        <f>"20200111150849586"</f>
        <v>20200111150849586</v>
      </c>
      <c r="B2268" t="str">
        <f>"1578726529575924"</f>
        <v>1578726529575924</v>
      </c>
      <c r="C2268" t="s">
        <v>40</v>
      </c>
      <c r="D2268">
        <v>5.1813979999999997</v>
      </c>
      <c r="E2268">
        <v>0.48162850000000001</v>
      </c>
      <c r="F2268" t="s">
        <v>43</v>
      </c>
      <c r="G2268">
        <v>-421.31389999999999</v>
      </c>
      <c r="H2268" s="1">
        <v>-4.2657009999999999E-6</v>
      </c>
      <c r="I2268">
        <v>58.836860000000001</v>
      </c>
      <c r="J2268">
        <v>-422.56790000000001</v>
      </c>
      <c r="K2268">
        <v>1.1096090000000001</v>
      </c>
      <c r="L2268">
        <v>80.248109999999997</v>
      </c>
      <c r="M2268">
        <v>-2.005264E-2</v>
      </c>
      <c r="N2268">
        <v>0</v>
      </c>
      <c r="O2268">
        <v>-0.99972709999999998</v>
      </c>
      <c r="P2268">
        <v>1.7992020000000001E-2</v>
      </c>
      <c r="Q2268">
        <v>0.1527193</v>
      </c>
      <c r="R2268">
        <v>-0.98810580000000003</v>
      </c>
      <c r="S2268">
        <v>0.17245479999999899</v>
      </c>
      <c r="T2268">
        <v>-0.15409909999999999</v>
      </c>
      <c r="U2268">
        <v>-3.0563349999999998</v>
      </c>
      <c r="V2268">
        <v>-3.7697939999999999E-2</v>
      </c>
      <c r="W2268">
        <v>0.164567299999999</v>
      </c>
      <c r="X2268">
        <v>0.9856452</v>
      </c>
      <c r="Y2268">
        <v>-7.6275499999999996E-2</v>
      </c>
      <c r="Z2268">
        <v>5.0227210000000001E-2</v>
      </c>
      <c r="AA2268">
        <v>0.99582090000000001</v>
      </c>
      <c r="AB2268">
        <v>41</v>
      </c>
      <c r="AC2268">
        <v>1.25400000000001</v>
      </c>
      <c r="AD2268">
        <v>-1.1096132657010001</v>
      </c>
      <c r="AE2268">
        <v>-21.411249999999999</v>
      </c>
      <c r="AF2268">
        <v>-1.67863781488845</v>
      </c>
      <c r="AG2268">
        <v>-1.1096132657010001</v>
      </c>
      <c r="AH2268">
        <v>21.3247200603201</v>
      </c>
      <c r="AI2268">
        <v>92.969480237106396</v>
      </c>
      <c r="AJ2268">
        <v>94.500923780083198</v>
      </c>
      <c r="AK2268">
        <v>21.419447989245899</v>
      </c>
      <c r="AL2268">
        <v>80.527900982212401</v>
      </c>
      <c r="AM2268">
        <v>92.190322213842904</v>
      </c>
      <c r="AN2268">
        <v>0.99999999559628605</v>
      </c>
    </row>
    <row r="2269" spans="1:40" x14ac:dyDescent="0.3">
      <c r="A2269" t="str">
        <f>"20200111150849609"</f>
        <v>20200111150849609</v>
      </c>
      <c r="B2269" t="str">
        <f>"1578726529606180"</f>
        <v>1578726529606180</v>
      </c>
      <c r="C2269" t="s">
        <v>40</v>
      </c>
      <c r="D2269">
        <v>5.1633769999999997</v>
      </c>
      <c r="E2269">
        <v>0.47902840000000002</v>
      </c>
      <c r="F2269" t="s">
        <v>43</v>
      </c>
      <c r="G2269">
        <v>-420.24930000000001</v>
      </c>
      <c r="H2269" s="1">
        <v>-1.8158419999999999E-6</v>
      </c>
      <c r="I2269">
        <v>43.66724</v>
      </c>
      <c r="J2269">
        <v>-422.5763</v>
      </c>
      <c r="K2269">
        <v>1.1095680000000001</v>
      </c>
      <c r="L2269">
        <v>79.838619999999906</v>
      </c>
      <c r="M2269">
        <v>-2.0365669999999999E-2</v>
      </c>
      <c r="N2269">
        <v>0</v>
      </c>
      <c r="O2269">
        <v>-0.99972099999999997</v>
      </c>
      <c r="P2269">
        <v>1.9610949999999999E-2</v>
      </c>
      <c r="Q2269">
        <v>0.15191089999999999</v>
      </c>
      <c r="R2269">
        <v>-0.98819970000000001</v>
      </c>
      <c r="S2269">
        <v>0.19311519999999999</v>
      </c>
      <c r="T2269">
        <v>-9.2421169999999997E-2</v>
      </c>
      <c r="U2269">
        <v>-3.046875</v>
      </c>
      <c r="V2269">
        <v>-3.961187E-2</v>
      </c>
      <c r="W2269">
        <v>0.163765299999999</v>
      </c>
      <c r="X2269">
        <v>0.98570369999999996</v>
      </c>
      <c r="Y2269">
        <v>-8.3538780000000007E-2</v>
      </c>
      <c r="Z2269">
        <v>3.0226429999999999E-2</v>
      </c>
      <c r="AA2269">
        <v>0.99604599999999999</v>
      </c>
      <c r="AB2269">
        <v>41</v>
      </c>
      <c r="AC2269">
        <v>2.3269999999999902</v>
      </c>
      <c r="AD2269">
        <v>-1.109569815842</v>
      </c>
      <c r="AE2269">
        <v>-36.1713799999999</v>
      </c>
      <c r="AF2269">
        <v>-3.0603565748247501</v>
      </c>
      <c r="AG2269">
        <v>-1.109569815842</v>
      </c>
      <c r="AH2269">
        <v>36.082669582247199</v>
      </c>
      <c r="AI2269">
        <v>91.755036958435895</v>
      </c>
      <c r="AJ2269">
        <v>94.847946879883494</v>
      </c>
      <c r="AK2269">
        <v>36.2292143404039</v>
      </c>
      <c r="AL2269">
        <v>80.574484050424502</v>
      </c>
      <c r="AM2269">
        <v>92.301272071568704</v>
      </c>
      <c r="AN2269">
        <v>0.99999997896133797</v>
      </c>
    </row>
    <row r="2270" spans="1:40" x14ac:dyDescent="0.3">
      <c r="A2270" t="str">
        <f>"20200111150849633"</f>
        <v>20200111150849633</v>
      </c>
      <c r="B2270" t="str">
        <f>"1578726529625700"</f>
        <v>1578726529625700</v>
      </c>
      <c r="C2270" t="s">
        <v>40</v>
      </c>
      <c r="D2270">
        <v>6.9255069999999996</v>
      </c>
      <c r="E2270">
        <v>0.45955970000000002</v>
      </c>
      <c r="F2270" t="s">
        <v>88</v>
      </c>
      <c r="G2270">
        <v>-416.34739999999999</v>
      </c>
      <c r="H2270">
        <v>21.93214</v>
      </c>
      <c r="I2270">
        <v>1.276079</v>
      </c>
      <c r="J2270">
        <v>-422.58530000000002</v>
      </c>
      <c r="K2270">
        <v>1.1095250000000001</v>
      </c>
      <c r="L2270">
        <v>79.412169999999904</v>
      </c>
      <c r="M2270">
        <v>-2.0736629999999999E-2</v>
      </c>
      <c r="N2270">
        <v>0</v>
      </c>
      <c r="O2270">
        <v>-0.99971339999999997</v>
      </c>
      <c r="P2270">
        <v>1.891087E-2</v>
      </c>
      <c r="Q2270">
        <v>0.1512231</v>
      </c>
      <c r="R2270">
        <v>-0.9883189</v>
      </c>
      <c r="S2270">
        <v>0.23092650000000001</v>
      </c>
      <c r="T2270">
        <v>0.77196679999999995</v>
      </c>
      <c r="U2270">
        <v>-2.912598</v>
      </c>
      <c r="V2270">
        <v>-3.9264790000000001E-2</v>
      </c>
      <c r="W2270">
        <v>0.1630837</v>
      </c>
      <c r="X2270">
        <v>0.9858306</v>
      </c>
      <c r="Y2270">
        <v>-9.7075620000000001E-2</v>
      </c>
      <c r="Z2270">
        <v>-0.25513380000000002</v>
      </c>
      <c r="AA2270">
        <v>0.96202030000000005</v>
      </c>
      <c r="AB2270">
        <v>41</v>
      </c>
      <c r="AC2270">
        <v>6.2379000000000202</v>
      </c>
      <c r="AD2270">
        <v>20.822614999999999</v>
      </c>
      <c r="AE2270">
        <v>-78.136090999999993</v>
      </c>
      <c r="AF2270">
        <v>-7.3390512389641103</v>
      </c>
      <c r="AG2270">
        <v>20.822614999999999</v>
      </c>
      <c r="AH2270">
        <v>72.8491067514516</v>
      </c>
      <c r="AI2270">
        <v>74.124640744920697</v>
      </c>
      <c r="AJ2270">
        <v>95.752749950172102</v>
      </c>
      <c r="AK2270">
        <v>76.121188397257399</v>
      </c>
      <c r="AL2270">
        <v>80.614069188627298</v>
      </c>
      <c r="AM2270">
        <v>92.2808363485059</v>
      </c>
      <c r="AN2270">
        <v>0.999999994417897</v>
      </c>
    </row>
    <row r="2271" spans="1:40" x14ac:dyDescent="0.3">
      <c r="A2271" t="str">
        <f>"20200111150849698"</f>
        <v>20200111150849698</v>
      </c>
      <c r="B2271" t="str">
        <f>"1578726529695553"</f>
        <v>1578726529695553</v>
      </c>
      <c r="C2271" t="s">
        <v>40</v>
      </c>
      <c r="D2271">
        <v>5.2907390000000003</v>
      </c>
      <c r="E2271">
        <v>0.45924920000000002</v>
      </c>
      <c r="F2271" t="s">
        <v>88</v>
      </c>
      <c r="G2271">
        <v>-412.05149999999998</v>
      </c>
      <c r="H2271">
        <v>26.528279999999999</v>
      </c>
      <c r="I2271">
        <v>0.55831149999999996</v>
      </c>
      <c r="J2271">
        <v>-422.61180000000002</v>
      </c>
      <c r="K2271">
        <v>1.1094379999999999</v>
      </c>
      <c r="L2271">
        <v>78.20975</v>
      </c>
      <c r="M2271">
        <v>-2.198582E-2</v>
      </c>
      <c r="N2271">
        <v>0</v>
      </c>
      <c r="O2271">
        <v>-0.99968639999999998</v>
      </c>
      <c r="P2271">
        <v>1.331418E-2</v>
      </c>
      <c r="Q2271">
        <v>0.15063670000000001</v>
      </c>
      <c r="R2271">
        <v>-0.98849969999999998</v>
      </c>
      <c r="S2271">
        <v>0.38549800000000001</v>
      </c>
      <c r="T2271">
        <v>0.93022579999999999</v>
      </c>
      <c r="U2271">
        <v>-2.885742</v>
      </c>
      <c r="V2271">
        <v>-3.4871529999999998E-2</v>
      </c>
      <c r="W2271">
        <v>0.1625162</v>
      </c>
      <c r="X2271">
        <v>0.98608949999999995</v>
      </c>
      <c r="Y2271">
        <v>-0.1479075</v>
      </c>
      <c r="Z2271">
        <v>-0.30377589999999999</v>
      </c>
      <c r="AA2271">
        <v>0.94119260000000005</v>
      </c>
      <c r="AB2271">
        <v>41</v>
      </c>
      <c r="AC2271">
        <v>10.5603</v>
      </c>
      <c r="AD2271">
        <v>25.418842000000001</v>
      </c>
      <c r="AE2271">
        <v>-77.651438499999998</v>
      </c>
      <c r="AF2271">
        <v>-11.0975374815921</v>
      </c>
      <c r="AG2271">
        <v>25.418842000000001</v>
      </c>
      <c r="AH2271">
        <v>70.032419313163004</v>
      </c>
      <c r="AI2271">
        <v>70.2779919459567</v>
      </c>
      <c r="AJ2271">
        <v>99.004383128493302</v>
      </c>
      <c r="AK2271">
        <v>75.324714547291805</v>
      </c>
      <c r="AL2271">
        <v>80.647024439210696</v>
      </c>
      <c r="AM2271">
        <v>92.025332629468593</v>
      </c>
      <c r="AN2271">
        <v>1.0000000204386099</v>
      </c>
    </row>
    <row r="2272" spans="1:40" x14ac:dyDescent="0.3">
      <c r="A2272" t="str">
        <f>"20200111150849721"</f>
        <v>20200111150849721</v>
      </c>
      <c r="B2272" t="str">
        <f>"1578726529716052"</f>
        <v>1578726529716052</v>
      </c>
      <c r="C2272" t="s">
        <v>40</v>
      </c>
      <c r="D2272">
        <v>5.2758760000000002</v>
      </c>
      <c r="E2272">
        <v>0.45943630000000002</v>
      </c>
      <c r="F2272" t="s">
        <v>43</v>
      </c>
      <c r="G2272">
        <v>-421.21519999999998</v>
      </c>
      <c r="H2272" s="1">
        <v>-3.1168220000000001E-6</v>
      </c>
      <c r="I2272">
        <v>66.10078</v>
      </c>
      <c r="J2272">
        <v>-422.62139999999999</v>
      </c>
      <c r="K2272">
        <v>1.109415</v>
      </c>
      <c r="L2272">
        <v>77.793210000000002</v>
      </c>
      <c r="M2272">
        <v>-2.2459409999999999E-2</v>
      </c>
      <c r="N2272">
        <v>0</v>
      </c>
      <c r="O2272">
        <v>-0.9996758</v>
      </c>
      <c r="P2272">
        <v>1.323448E-2</v>
      </c>
      <c r="Q2272">
        <v>0.1489809</v>
      </c>
      <c r="R2272">
        <v>-0.98875170000000001</v>
      </c>
      <c r="S2272">
        <v>0.3544312</v>
      </c>
      <c r="T2272">
        <v>-0.28155550000000001</v>
      </c>
      <c r="U2272">
        <v>-3.073029</v>
      </c>
      <c r="V2272">
        <v>-3.5259159999999998E-2</v>
      </c>
      <c r="W2272">
        <v>0.16087870000000001</v>
      </c>
      <c r="X2272">
        <v>0.9863442</v>
      </c>
      <c r="Y2272">
        <v>-0.13639029999999999</v>
      </c>
      <c r="Z2272">
        <v>9.0480889999999994E-2</v>
      </c>
      <c r="AA2272">
        <v>0.98651449999999996</v>
      </c>
      <c r="AB2272">
        <v>41</v>
      </c>
      <c r="AC2272">
        <v>1.4062000000000101</v>
      </c>
      <c r="AD2272">
        <v>-1.1094181168220001</v>
      </c>
      <c r="AE2272">
        <v>-11.69243</v>
      </c>
      <c r="AF2272">
        <v>-1.6537926162376999</v>
      </c>
      <c r="AG2272">
        <v>-1.1094181168220001</v>
      </c>
      <c r="AH2272">
        <v>11.5553474891835</v>
      </c>
      <c r="AI2272">
        <v>95.4291199039465</v>
      </c>
      <c r="AJ2272">
        <v>98.144818851731699</v>
      </c>
      <c r="AK2272">
        <v>11.725693760764599</v>
      </c>
      <c r="AL2272">
        <v>80.742097432957095</v>
      </c>
      <c r="AM2272">
        <v>92.047298699311398</v>
      </c>
      <c r="AN2272">
        <v>1.0000000226756101</v>
      </c>
    </row>
    <row r="2273" spans="1:40" x14ac:dyDescent="0.3">
      <c r="A2273" t="str">
        <f>"20200111150849743"</f>
        <v>20200111150849743</v>
      </c>
      <c r="B2273" t="str">
        <f>"1578726529735568"</f>
        <v>1578726529735568</v>
      </c>
      <c r="C2273" t="s">
        <v>40</v>
      </c>
      <c r="D2273">
        <v>5.3600560000000002</v>
      </c>
      <c r="E2273">
        <v>0.45922859999999999</v>
      </c>
      <c r="F2273" t="s">
        <v>43</v>
      </c>
      <c r="G2273">
        <v>-421.21949999999998</v>
      </c>
      <c r="H2273" s="1">
        <v>-2.909975E-6</v>
      </c>
      <c r="I2273">
        <v>65.615969999999905</v>
      </c>
      <c r="J2273">
        <v>-422.6311</v>
      </c>
      <c r="K2273">
        <v>1.1093999999999999</v>
      </c>
      <c r="L2273">
        <v>77.378630000000001</v>
      </c>
      <c r="M2273">
        <v>-2.2936209999999999E-2</v>
      </c>
      <c r="N2273">
        <v>0</v>
      </c>
      <c r="O2273">
        <v>-0.99966440000000001</v>
      </c>
      <c r="P2273">
        <v>1.480485E-2</v>
      </c>
      <c r="Q2273">
        <v>0.14903150000000001</v>
      </c>
      <c r="R2273">
        <v>-0.98872150000000003</v>
      </c>
      <c r="S2273">
        <v>0.35360720000000001</v>
      </c>
      <c r="T2273">
        <v>-0.27983730000000001</v>
      </c>
      <c r="U2273">
        <v>-3.071564</v>
      </c>
      <c r="V2273">
        <v>-3.729416E-2</v>
      </c>
      <c r="W2273">
        <v>0.16095770000000001</v>
      </c>
      <c r="X2273">
        <v>0.98625640000000003</v>
      </c>
      <c r="Y2273">
        <v>-0.13666029999999901</v>
      </c>
      <c r="Z2273">
        <v>8.9973719999999993E-2</v>
      </c>
      <c r="AA2273">
        <v>0.9865235</v>
      </c>
      <c r="AB2273">
        <v>41</v>
      </c>
      <c r="AC2273">
        <v>1.4116000000000199</v>
      </c>
      <c r="AD2273">
        <v>-1.109402909975</v>
      </c>
      <c r="AE2273">
        <v>-11.76266</v>
      </c>
      <c r="AF2273">
        <v>-1.6664258608995</v>
      </c>
      <c r="AG2273">
        <v>-1.109402909975</v>
      </c>
      <c r="AH2273">
        <v>11.6252425408848</v>
      </c>
      <c r="AI2273">
        <v>95.396427546564894</v>
      </c>
      <c r="AJ2273">
        <v>98.157520004462796</v>
      </c>
      <c r="AK2273">
        <v>11.796355967032</v>
      </c>
      <c r="AL2273">
        <v>80.737510722987594</v>
      </c>
      <c r="AM2273">
        <v>92.1655427339646</v>
      </c>
      <c r="AN2273">
        <v>0.99999996105017697</v>
      </c>
    </row>
    <row r="2274" spans="1:40" x14ac:dyDescent="0.3">
      <c r="A2274" t="str">
        <f>"20200111150849765"</f>
        <v>20200111150849765</v>
      </c>
      <c r="B2274" t="str">
        <f>"1578726529756067"</f>
        <v>1578726529756067</v>
      </c>
      <c r="C2274" t="s">
        <v>40</v>
      </c>
      <c r="D2274">
        <v>5.3667170000000004</v>
      </c>
      <c r="E2274">
        <v>0.45807229999999999</v>
      </c>
      <c r="F2274" t="s">
        <v>43</v>
      </c>
      <c r="G2274">
        <v>-421.08690000000001</v>
      </c>
      <c r="H2274" s="1">
        <v>-2.2710540000000002E-6</v>
      </c>
      <c r="I2274">
        <v>64.208849999999998</v>
      </c>
      <c r="J2274">
        <v>-422.64080000000001</v>
      </c>
      <c r="K2274">
        <v>1.1093980000000001</v>
      </c>
      <c r="L2274">
        <v>76.974429999999998</v>
      </c>
      <c r="M2274">
        <v>-2.3398550000000001E-2</v>
      </c>
      <c r="N2274">
        <v>0</v>
      </c>
      <c r="O2274">
        <v>-0.99965340000000003</v>
      </c>
      <c r="P2274">
        <v>1.6908260000000001E-2</v>
      </c>
      <c r="Q2274">
        <v>0.14852860000000001</v>
      </c>
      <c r="R2274">
        <v>-0.98876370000000002</v>
      </c>
      <c r="S2274">
        <v>0.35971069999999999</v>
      </c>
      <c r="T2274">
        <v>-0.25842510000000002</v>
      </c>
      <c r="U2274">
        <v>-3.06778</v>
      </c>
      <c r="V2274">
        <v>-3.9850700000000003E-2</v>
      </c>
      <c r="W2274">
        <v>0.160497</v>
      </c>
      <c r="X2274">
        <v>0.98623150000000004</v>
      </c>
      <c r="Y2274">
        <v>-0.13926129999999901</v>
      </c>
      <c r="Z2274">
        <v>8.321452E-2</v>
      </c>
      <c r="AA2274">
        <v>0.98675299999999999</v>
      </c>
      <c r="AB2274">
        <v>41</v>
      </c>
      <c r="AC2274">
        <v>1.5538999999999901</v>
      </c>
      <c r="AD2274">
        <v>-1.1094002710540001</v>
      </c>
      <c r="AE2274">
        <v>-12.76558</v>
      </c>
      <c r="AF2274">
        <v>-1.8385095592384499</v>
      </c>
      <c r="AG2274">
        <v>-1.1094002710540001</v>
      </c>
      <c r="AH2274">
        <v>12.6317137294884</v>
      </c>
      <c r="AI2274">
        <v>94.967143584088802</v>
      </c>
      <c r="AJ2274">
        <v>98.281087018036004</v>
      </c>
      <c r="AK2274">
        <v>12.812926211625999</v>
      </c>
      <c r="AL2274">
        <v>80.764254660015098</v>
      </c>
      <c r="AM2274">
        <v>92.313894333041603</v>
      </c>
      <c r="AN2274">
        <v>0.99999996844586903</v>
      </c>
    </row>
    <row r="2275" spans="1:40" x14ac:dyDescent="0.3">
      <c r="A2275" t="str">
        <f>"20200111150849788"</f>
        <v>20200111150849788</v>
      </c>
      <c r="B2275" t="str">
        <f>"1578726529775587"</f>
        <v>1578726529775587</v>
      </c>
      <c r="C2275" t="s">
        <v>40</v>
      </c>
      <c r="D2275">
        <v>5.3628309999999999</v>
      </c>
      <c r="E2275">
        <v>0.45790779999999998</v>
      </c>
      <c r="F2275" t="s">
        <v>43</v>
      </c>
      <c r="G2275">
        <v>-420.97210000000001</v>
      </c>
      <c r="H2275" s="1">
        <v>-1.8551719999999999E-6</v>
      </c>
      <c r="I2275">
        <v>63.310639999999999</v>
      </c>
      <c r="J2275">
        <v>-422.65069999999997</v>
      </c>
      <c r="K2275">
        <v>1.109405</v>
      </c>
      <c r="L2275">
        <v>76.566769999999906</v>
      </c>
      <c r="M2275">
        <v>-2.3849840000000001E-2</v>
      </c>
      <c r="N2275">
        <v>0</v>
      </c>
      <c r="O2275">
        <v>-0.99964149999999996</v>
      </c>
      <c r="P2275">
        <v>1.8383130000000001E-2</v>
      </c>
      <c r="Q2275">
        <v>0.14789469999999999</v>
      </c>
      <c r="R2275">
        <v>-0.98883200000000004</v>
      </c>
      <c r="S2275">
        <v>0.37432860000000001</v>
      </c>
      <c r="T2275">
        <v>-0.248861</v>
      </c>
      <c r="U2275">
        <v>-3.0650629999999999</v>
      </c>
      <c r="V2275">
        <v>-4.1770740000000001E-2</v>
      </c>
      <c r="W2275">
        <v>0.15995100000000001</v>
      </c>
      <c r="X2275">
        <v>0.98624080000000003</v>
      </c>
      <c r="Y2275">
        <v>-0.1444773</v>
      </c>
      <c r="Z2275">
        <v>8.0171320000000004E-2</v>
      </c>
      <c r="AA2275">
        <v>0.98625499999999999</v>
      </c>
      <c r="AB2275">
        <v>41</v>
      </c>
      <c r="AC2275">
        <v>1.6785999999999599</v>
      </c>
      <c r="AD2275">
        <v>-1.109406855172</v>
      </c>
      <c r="AE2275">
        <v>-13.256129999999899</v>
      </c>
      <c r="AF2275">
        <v>-1.98064884332675</v>
      </c>
      <c r="AG2275">
        <v>-1.109406855172</v>
      </c>
      <c r="AH2275">
        <v>13.121865904573401</v>
      </c>
      <c r="AI2275">
        <v>94.778782861763403</v>
      </c>
      <c r="AJ2275">
        <v>98.583578100516803</v>
      </c>
      <c r="AK2275">
        <v>13.316798347518899</v>
      </c>
      <c r="AL2275">
        <v>80.795948053169894</v>
      </c>
      <c r="AM2275">
        <v>92.425226787193793</v>
      </c>
      <c r="AN2275">
        <v>1.0000000163528899</v>
      </c>
    </row>
    <row r="2276" spans="1:40" x14ac:dyDescent="0.3">
      <c r="A2276" t="str">
        <f>"20200111150849810"</f>
        <v>20200111150849810</v>
      </c>
      <c r="B2276" t="str">
        <f>"1578726529805841"</f>
        <v>1578726529805841</v>
      </c>
      <c r="C2276" t="s">
        <v>40</v>
      </c>
      <c r="D2276">
        <v>5.3532630000000001</v>
      </c>
      <c r="E2276">
        <v>0.45821319999999999</v>
      </c>
      <c r="F2276" t="s">
        <v>43</v>
      </c>
      <c r="G2276">
        <v>-420.93970000000002</v>
      </c>
      <c r="H2276" s="1">
        <v>-1.6208170000000001E-6</v>
      </c>
      <c r="I2276">
        <v>62.78443</v>
      </c>
      <c r="J2276">
        <v>-422.66070000000002</v>
      </c>
      <c r="K2276">
        <v>1.1094459999999999</v>
      </c>
      <c r="L2276">
        <v>76.164670000000001</v>
      </c>
      <c r="M2276">
        <v>-2.4266659999999999E-2</v>
      </c>
      <c r="N2276">
        <v>0</v>
      </c>
      <c r="O2276">
        <v>-0.99962960000000001</v>
      </c>
      <c r="P2276">
        <v>1.841518E-2</v>
      </c>
      <c r="Q2276">
        <v>0.14724119999999999</v>
      </c>
      <c r="R2276">
        <v>-0.98892899999999995</v>
      </c>
      <c r="S2276">
        <v>0.38034059999999997</v>
      </c>
      <c r="T2276">
        <v>-0.24661089999999999</v>
      </c>
      <c r="U2276">
        <v>-3.0636899999999998</v>
      </c>
      <c r="V2276">
        <v>-4.2220420000000002E-2</v>
      </c>
      <c r="W2276">
        <v>0.15946009999999999</v>
      </c>
      <c r="X2276">
        <v>0.98630110000000004</v>
      </c>
      <c r="Y2276">
        <v>-0.14685609999999999</v>
      </c>
      <c r="Z2276">
        <v>7.9461599999999993E-2</v>
      </c>
      <c r="AA2276">
        <v>0.98596099999999998</v>
      </c>
      <c r="AB2276">
        <v>41</v>
      </c>
      <c r="AC2276">
        <v>1.7210000000000001</v>
      </c>
      <c r="AD2276">
        <v>-1.1094476208170001</v>
      </c>
      <c r="AE2276">
        <v>-13.380239999999899</v>
      </c>
      <c r="AF2276">
        <v>-2.0314720170232401</v>
      </c>
      <c r="AG2276">
        <v>-1.1094476208170001</v>
      </c>
      <c r="AH2276">
        <v>13.244953299404999</v>
      </c>
      <c r="AI2276">
        <v>94.733042831021194</v>
      </c>
      <c r="AJ2276">
        <v>98.719904836499296</v>
      </c>
      <c r="AK2276">
        <v>13.445688546247901</v>
      </c>
      <c r="AL2276">
        <v>80.824439861684994</v>
      </c>
      <c r="AM2276">
        <v>92.451154035134905</v>
      </c>
      <c r="AN2276">
        <v>0.99999997360909798</v>
      </c>
    </row>
    <row r="2277" spans="1:40" x14ac:dyDescent="0.3">
      <c r="A2277" t="str">
        <f>"20200111150849833"</f>
        <v>20200111150849833</v>
      </c>
      <c r="B2277" t="str">
        <f>"1578726529826336"</f>
        <v>1578726529826336</v>
      </c>
      <c r="C2277" t="s">
        <v>40</v>
      </c>
      <c r="D2277">
        <v>5.4683529999999996</v>
      </c>
      <c r="E2277">
        <v>0.45820929999999999</v>
      </c>
      <c r="F2277" t="s">
        <v>43</v>
      </c>
      <c r="G2277">
        <v>-421.04829999999998</v>
      </c>
      <c r="H2277" s="1">
        <v>-1.7861529999999999E-6</v>
      </c>
      <c r="I2277">
        <v>63.102499999999999</v>
      </c>
      <c r="J2277">
        <v>-422.67140000000001</v>
      </c>
      <c r="K2277">
        <v>1.1095200000000001</v>
      </c>
      <c r="L2277">
        <v>75.738369999999904</v>
      </c>
      <c r="M2277">
        <v>-2.4680210000000001E-2</v>
      </c>
      <c r="N2277">
        <v>0</v>
      </c>
      <c r="O2277">
        <v>-0.99961639999999996</v>
      </c>
      <c r="P2277">
        <v>1.7548020000000001E-2</v>
      </c>
      <c r="Q2277">
        <v>0.14685479999999901</v>
      </c>
      <c r="R2277">
        <v>-0.98900279999999996</v>
      </c>
      <c r="S2277">
        <v>0.37838749999999999</v>
      </c>
      <c r="T2277">
        <v>-0.2603548</v>
      </c>
      <c r="U2277">
        <v>-3.0653079999999999</v>
      </c>
      <c r="V2277">
        <v>-4.1772240000000002E-2</v>
      </c>
      <c r="W2277">
        <v>0.15931789999999901</v>
      </c>
      <c r="X2277">
        <v>0.98634319999999998</v>
      </c>
      <c r="Y2277">
        <v>-0.14653920000000001</v>
      </c>
      <c r="Z2277">
        <v>8.3819699999999997E-2</v>
      </c>
      <c r="AA2277">
        <v>0.9856473</v>
      </c>
      <c r="AB2277">
        <v>41</v>
      </c>
      <c r="AC2277">
        <v>1.62310000000002</v>
      </c>
      <c r="AD2277">
        <v>-1.109521786153</v>
      </c>
      <c r="AE2277">
        <v>-12.635869999999899</v>
      </c>
      <c r="AF2277">
        <v>-1.91992350821432</v>
      </c>
      <c r="AG2277">
        <v>-1.109521786153</v>
      </c>
      <c r="AH2277">
        <v>12.497168173302899</v>
      </c>
      <c r="AI2277">
        <v>95.014992438949506</v>
      </c>
      <c r="AJ2277">
        <v>98.733989891381299</v>
      </c>
      <c r="AK2277">
        <v>12.692373979014199</v>
      </c>
      <c r="AL2277">
        <v>80.832693172210597</v>
      </c>
      <c r="AM2277">
        <v>92.425062283664801</v>
      </c>
      <c r="AN2277">
        <v>1.0000000107406299</v>
      </c>
    </row>
    <row r="2278" spans="1:40" x14ac:dyDescent="0.3">
      <c r="A2278" t="str">
        <f>"20200111150849855"</f>
        <v>20200111150849855</v>
      </c>
      <c r="B2278" t="str">
        <f>"1578726529845860"</f>
        <v>1578726529845860</v>
      </c>
      <c r="C2278" t="s">
        <v>40</v>
      </c>
      <c r="D2278">
        <v>5.3926410000000002</v>
      </c>
      <c r="E2278">
        <v>0.4583335</v>
      </c>
      <c r="F2278" t="s">
        <v>43</v>
      </c>
      <c r="G2278">
        <v>-421.06389999999999</v>
      </c>
      <c r="H2278" s="1">
        <v>-1.58644E-6</v>
      </c>
      <c r="I2278">
        <v>62.627270000000003</v>
      </c>
      <c r="J2278">
        <v>-422.68169999999998</v>
      </c>
      <c r="K2278">
        <v>1.1096029999999999</v>
      </c>
      <c r="L2278">
        <v>75.338200000000001</v>
      </c>
      <c r="M2278">
        <v>-2.5038189999999998E-2</v>
      </c>
      <c r="N2278">
        <v>0</v>
      </c>
      <c r="O2278">
        <v>-0.99960439999999995</v>
      </c>
      <c r="P2278">
        <v>1.642368E-2</v>
      </c>
      <c r="Q2278">
        <v>0.14592840000000001</v>
      </c>
      <c r="R2278">
        <v>-0.98915900000000001</v>
      </c>
      <c r="S2278">
        <v>0.37582399999999999</v>
      </c>
      <c r="T2278">
        <v>-0.25939259999999997</v>
      </c>
      <c r="U2278">
        <v>-3.0652159999999999</v>
      </c>
      <c r="V2278">
        <v>-4.1019029999999998E-2</v>
      </c>
      <c r="W2278">
        <v>0.15864610000000001</v>
      </c>
      <c r="X2278">
        <v>0.98648309999999995</v>
      </c>
      <c r="Y2278">
        <v>-0.1460881</v>
      </c>
      <c r="Z2278">
        <v>8.3520499999999998E-2</v>
      </c>
      <c r="AA2278">
        <v>0.98573960000000005</v>
      </c>
      <c r="AB2278">
        <v>41</v>
      </c>
      <c r="AC2278">
        <v>1.6177999999999799</v>
      </c>
      <c r="AD2278">
        <v>-1.1096045864399999</v>
      </c>
      <c r="AE2278">
        <v>-12.710929999999999</v>
      </c>
      <c r="AF2278">
        <v>-1.9211706849544601</v>
      </c>
      <c r="AG2278">
        <v>-1.1096045864399999</v>
      </c>
      <c r="AH2278">
        <v>12.572155791025001</v>
      </c>
      <c r="AI2278">
        <v>94.986208310616405</v>
      </c>
      <c r="AJ2278">
        <v>98.688245761835404</v>
      </c>
      <c r="AK2278">
        <v>12.766409846655399</v>
      </c>
      <c r="AL2278">
        <v>80.871680478799306</v>
      </c>
      <c r="AM2278">
        <v>92.381048600366697</v>
      </c>
      <c r="AN2278">
        <v>1.0000000262264801</v>
      </c>
    </row>
    <row r="2279" spans="1:40" x14ac:dyDescent="0.3">
      <c r="A2279" t="str">
        <f>"20200111150849877"</f>
        <v>20200111150849877</v>
      </c>
      <c r="B2279" t="str">
        <f>"1578726529865377"</f>
        <v>1578726529865377</v>
      </c>
      <c r="C2279" t="s">
        <v>40</v>
      </c>
      <c r="D2279">
        <v>5.4337090000000003</v>
      </c>
      <c r="E2279">
        <v>0.45843800000000001</v>
      </c>
      <c r="F2279" t="s">
        <v>43</v>
      </c>
      <c r="G2279">
        <v>-421.12220000000002</v>
      </c>
      <c r="H2279" s="1">
        <v>-1.5336049999999999E-6</v>
      </c>
      <c r="I2279">
        <v>62.467939999999999</v>
      </c>
      <c r="J2279">
        <v>-422.6918</v>
      </c>
      <c r="K2279">
        <v>1.1096809999999999</v>
      </c>
      <c r="L2279">
        <v>74.942809999999994</v>
      </c>
      <c r="M2279">
        <v>-2.5350500000000002E-2</v>
      </c>
      <c r="N2279">
        <v>0</v>
      </c>
      <c r="O2279">
        <v>-0.99959330000000002</v>
      </c>
      <c r="P2279">
        <v>1.490499E-2</v>
      </c>
      <c r="Q2279">
        <v>0.1455321</v>
      </c>
      <c r="R2279">
        <v>-0.98924160000000005</v>
      </c>
      <c r="S2279">
        <v>0.37146000000000001</v>
      </c>
      <c r="T2279">
        <v>-0.2643086</v>
      </c>
      <c r="U2279">
        <v>-3.0657040000000002</v>
      </c>
      <c r="V2279">
        <v>-3.9826140000000003E-2</v>
      </c>
      <c r="W2279">
        <v>0.15849360000000001</v>
      </c>
      <c r="X2279">
        <v>0.98655649999999995</v>
      </c>
      <c r="Y2279">
        <v>-0.14497950000000001</v>
      </c>
      <c r="Z2279">
        <v>8.5091710000000001E-2</v>
      </c>
      <c r="AA2279">
        <v>0.98576889999999995</v>
      </c>
      <c r="AB2279">
        <v>41</v>
      </c>
      <c r="AC2279">
        <v>1.5695999999999799</v>
      </c>
      <c r="AD2279">
        <v>-1.109682533605</v>
      </c>
      <c r="AE2279">
        <v>-12.4748699999999</v>
      </c>
      <c r="AF2279">
        <v>-1.87079428630219</v>
      </c>
      <c r="AG2279">
        <v>-1.109682533605</v>
      </c>
      <c r="AH2279">
        <v>12.3349845270304</v>
      </c>
      <c r="AI2279">
        <v>95.082800556245601</v>
      </c>
      <c r="AJ2279">
        <v>98.624081226743598</v>
      </c>
      <c r="AK2279">
        <v>12.525298793606799</v>
      </c>
      <c r="AL2279">
        <v>80.880530134206097</v>
      </c>
      <c r="AM2279">
        <v>92.311708860524604</v>
      </c>
      <c r="AN2279">
        <v>1.00000003518025</v>
      </c>
    </row>
    <row r="2280" spans="1:40" x14ac:dyDescent="0.3">
      <c r="A2280" t="str">
        <f>"20200111150849899"</f>
        <v>20200111150849899</v>
      </c>
      <c r="B2280" t="str">
        <f>"1578726529895633"</f>
        <v>1578726529895633</v>
      </c>
      <c r="C2280" t="s">
        <v>40</v>
      </c>
      <c r="D2280">
        <v>5.3779379999999897</v>
      </c>
      <c r="E2280">
        <v>0.45861150000000001</v>
      </c>
      <c r="F2280" t="s">
        <v>43</v>
      </c>
      <c r="G2280">
        <v>-421.1397</v>
      </c>
      <c r="H2280" s="1">
        <v>-1.328389E-6</v>
      </c>
      <c r="I2280">
        <v>61.978720000000003</v>
      </c>
      <c r="J2280">
        <v>-422.70229999999998</v>
      </c>
      <c r="K2280">
        <v>1.1097589999999999</v>
      </c>
      <c r="L2280">
        <v>74.53613</v>
      </c>
      <c r="M2280">
        <v>-2.5615249999999999E-2</v>
      </c>
      <c r="N2280">
        <v>0</v>
      </c>
      <c r="O2280">
        <v>-0.999583</v>
      </c>
      <c r="P2280">
        <v>1.375092E-2</v>
      </c>
      <c r="Q2280">
        <v>0.1450951</v>
      </c>
      <c r="R2280">
        <v>-0.98932229999999999</v>
      </c>
      <c r="S2280">
        <v>0.3670349</v>
      </c>
      <c r="T2280">
        <v>-0.26241389999999998</v>
      </c>
      <c r="U2280">
        <v>-3.0657040000000002</v>
      </c>
      <c r="V2280">
        <v>-3.8952889999999997E-2</v>
      </c>
      <c r="W2280">
        <v>0.15828970000000001</v>
      </c>
      <c r="X2280">
        <v>0.9866241</v>
      </c>
      <c r="Y2280">
        <v>-0.1438451</v>
      </c>
      <c r="Z2280">
        <v>8.4499560000000001E-2</v>
      </c>
      <c r="AA2280">
        <v>0.98598600000000003</v>
      </c>
      <c r="AB2280">
        <v>41</v>
      </c>
      <c r="AC2280">
        <v>1.56259999999997</v>
      </c>
      <c r="AD2280">
        <v>-1.1097603283890001</v>
      </c>
      <c r="AE2280">
        <v>-12.557410000000001</v>
      </c>
      <c r="AF2280">
        <v>-1.86939933750419</v>
      </c>
      <c r="AG2280">
        <v>-1.1097603283890001</v>
      </c>
      <c r="AH2280">
        <v>12.4177535125374</v>
      </c>
      <c r="AI2280">
        <v>95.050283260721002</v>
      </c>
      <c r="AJ2280">
        <v>98.561160724537103</v>
      </c>
      <c r="AK2280">
        <v>12.6066182684994</v>
      </c>
      <c r="AL2280">
        <v>80.892362110823598</v>
      </c>
      <c r="AM2280">
        <v>92.260919489713103</v>
      </c>
      <c r="AN2280">
        <v>1.00000003573312</v>
      </c>
    </row>
    <row r="2281" spans="1:40" x14ac:dyDescent="0.3">
      <c r="A2281" t="str">
        <f>"20200111150849922"</f>
        <v>20200111150849922</v>
      </c>
      <c r="B2281" t="str">
        <f>"1578726529916132"</f>
        <v>1578726529916132</v>
      </c>
      <c r="C2281" t="s">
        <v>40</v>
      </c>
      <c r="D2281">
        <v>5.4242599999999896</v>
      </c>
      <c r="E2281">
        <v>0.4585224</v>
      </c>
      <c r="F2281" t="s">
        <v>43</v>
      </c>
      <c r="G2281">
        <v>-421.1737</v>
      </c>
      <c r="H2281" s="1">
        <v>-1.180501E-6</v>
      </c>
      <c r="I2281">
        <v>61.612940000000002</v>
      </c>
      <c r="J2281">
        <v>-422.7133</v>
      </c>
      <c r="K2281">
        <v>1.1098319999999999</v>
      </c>
      <c r="L2281">
        <v>74.117310000000003</v>
      </c>
      <c r="M2281">
        <v>-2.5810739999999999E-2</v>
      </c>
      <c r="N2281">
        <v>0</v>
      </c>
      <c r="O2281">
        <v>-0.99957530000000006</v>
      </c>
      <c r="P2281">
        <v>1.4018589999999999E-2</v>
      </c>
      <c r="Q2281">
        <v>0.14536840000000001</v>
      </c>
      <c r="R2281">
        <v>-0.98927849999999995</v>
      </c>
      <c r="S2281">
        <v>0.36267090000000002</v>
      </c>
      <c r="T2281">
        <v>-0.26328639999999998</v>
      </c>
      <c r="U2281">
        <v>-3.065979</v>
      </c>
      <c r="V2281">
        <v>-3.9431969999999997E-2</v>
      </c>
      <c r="W2281">
        <v>0.158778799999999</v>
      </c>
      <c r="X2281">
        <v>0.98652640000000003</v>
      </c>
      <c r="Y2281">
        <v>-0.1426415</v>
      </c>
      <c r="Z2281">
        <v>8.478484E-2</v>
      </c>
      <c r="AA2281">
        <v>0.98613640000000002</v>
      </c>
      <c r="AB2281">
        <v>41</v>
      </c>
      <c r="AC2281">
        <v>1.5396000000000001</v>
      </c>
      <c r="AD2281">
        <v>-1.109833180501</v>
      </c>
      <c r="AE2281">
        <v>-12.50437</v>
      </c>
      <c r="AF2281">
        <v>-1.84752690108109</v>
      </c>
      <c r="AG2281">
        <v>-1.109833180501</v>
      </c>
      <c r="AH2281">
        <v>12.364513851357399</v>
      </c>
      <c r="AI2281">
        <v>95.073076596751605</v>
      </c>
      <c r="AJ2281">
        <v>98.498358833136294</v>
      </c>
      <c r="AK2281">
        <v>12.550947698049301</v>
      </c>
      <c r="AL2281">
        <v>80.863979135829297</v>
      </c>
      <c r="AM2281">
        <v>92.288923473629396</v>
      </c>
      <c r="AN2281">
        <v>0.99999996274223901</v>
      </c>
    </row>
    <row r="2282" spans="1:40" x14ac:dyDescent="0.3">
      <c r="A2282" t="str">
        <f>"20200111150849945"</f>
        <v>20200111150849945</v>
      </c>
      <c r="B2282" t="str">
        <f>"1578726529935649"</f>
        <v>1578726529935649</v>
      </c>
      <c r="C2282" t="s">
        <v>40</v>
      </c>
      <c r="D2282">
        <v>5.4304569999999996</v>
      </c>
      <c r="E2282">
        <v>0.45844109999999999</v>
      </c>
      <c r="F2282" t="s">
        <v>43</v>
      </c>
      <c r="G2282">
        <v>-421.16050000000001</v>
      </c>
      <c r="H2282" s="1">
        <v>-9.2527559999999996E-7</v>
      </c>
      <c r="I2282">
        <v>61.026169999999901</v>
      </c>
      <c r="J2282">
        <v>-422.72390000000001</v>
      </c>
      <c r="K2282">
        <v>1.1098950000000001</v>
      </c>
      <c r="L2282">
        <v>73.710539999999995</v>
      </c>
      <c r="M2282">
        <v>-2.5938570000000001E-2</v>
      </c>
      <c r="N2282">
        <v>0</v>
      </c>
      <c r="O2282">
        <v>-0.99956909999999999</v>
      </c>
      <c r="P2282">
        <v>1.5710040000000002E-2</v>
      </c>
      <c r="Q2282">
        <v>0.14519479999999901</v>
      </c>
      <c r="R2282">
        <v>-0.98927830000000005</v>
      </c>
      <c r="S2282">
        <v>0.36361690000000002</v>
      </c>
      <c r="T2282">
        <v>-0.2598897</v>
      </c>
      <c r="U2282">
        <v>-3.0655519999999998</v>
      </c>
      <c r="V2282">
        <v>-4.126875E-2</v>
      </c>
      <c r="W2282">
        <v>0.15879579999999999</v>
      </c>
      <c r="X2282">
        <v>0.98644860000000001</v>
      </c>
      <c r="Y2282">
        <v>-0.143095</v>
      </c>
      <c r="Z2282">
        <v>8.370561E-2</v>
      </c>
      <c r="AA2282">
        <v>0.98616280000000001</v>
      </c>
      <c r="AB2282">
        <v>41</v>
      </c>
      <c r="AC2282">
        <v>1.5633999999999999</v>
      </c>
      <c r="AD2282">
        <v>-1.1098959252756</v>
      </c>
      <c r="AE2282">
        <v>-12.684369999999999</v>
      </c>
      <c r="AF2282">
        <v>-1.87775756767802</v>
      </c>
      <c r="AG2282">
        <v>-1.1098959252756</v>
      </c>
      <c r="AH2282">
        <v>12.544933023124299</v>
      </c>
      <c r="AI2282">
        <v>95.000580480042203</v>
      </c>
      <c r="AJ2282">
        <v>98.5129764880989</v>
      </c>
      <c r="AK2282">
        <v>12.7331530660159</v>
      </c>
      <c r="AL2282">
        <v>80.862993193657204</v>
      </c>
      <c r="AM2282">
        <v>92.395611048021294</v>
      </c>
      <c r="AN2282">
        <v>1.0000000281330801</v>
      </c>
    </row>
    <row r="2283" spans="1:40" x14ac:dyDescent="0.3">
      <c r="A2283" t="str">
        <f>"20200111150849966"</f>
        <v>20200111150849966</v>
      </c>
      <c r="B2283" t="str">
        <f>"1578726529956145"</f>
        <v>1578726529956145</v>
      </c>
      <c r="C2283" t="s">
        <v>40</v>
      </c>
      <c r="D2283">
        <v>5.4210699999999896</v>
      </c>
      <c r="E2283">
        <v>0.45820949999999999</v>
      </c>
      <c r="F2283" t="s">
        <v>43</v>
      </c>
      <c r="G2283">
        <v>-421.13639999999998</v>
      </c>
      <c r="H2283" s="1">
        <v>-7.0263800000000005E-7</v>
      </c>
      <c r="I2283">
        <v>60.52214</v>
      </c>
      <c r="J2283">
        <v>-422.73410000000001</v>
      </c>
      <c r="K2283">
        <v>1.109947</v>
      </c>
      <c r="L2283">
        <v>73.320949999999996</v>
      </c>
      <c r="M2283">
        <v>-2.6017530000000001E-2</v>
      </c>
      <c r="N2283">
        <v>0</v>
      </c>
      <c r="O2283">
        <v>-0.99956469999999997</v>
      </c>
      <c r="P2283">
        <v>1.7228980000000001E-2</v>
      </c>
      <c r="Q2283">
        <v>0.1444867</v>
      </c>
      <c r="R2283">
        <v>-0.98935669999999998</v>
      </c>
      <c r="S2283">
        <v>0.36886600000000003</v>
      </c>
      <c r="T2283">
        <v>-0.2578976</v>
      </c>
      <c r="U2283">
        <v>-3.0644840000000002</v>
      </c>
      <c r="V2283">
        <v>-4.288492E-2</v>
      </c>
      <c r="W2283">
        <v>0.158252</v>
      </c>
      <c r="X2283">
        <v>0.98646699999999998</v>
      </c>
      <c r="Y2283">
        <v>-0.14488480000000001</v>
      </c>
      <c r="Z2283">
        <v>8.3077559999999995E-2</v>
      </c>
      <c r="AA2283">
        <v>0.98595460000000001</v>
      </c>
      <c r="AB2283">
        <v>41</v>
      </c>
      <c r="AC2283">
        <v>1.5977000000000301</v>
      </c>
      <c r="AD2283">
        <v>-1.109947702638</v>
      </c>
      <c r="AE2283">
        <v>-12.7988099999999</v>
      </c>
      <c r="AF2283">
        <v>-1.9159959191160301</v>
      </c>
      <c r="AG2283">
        <v>-1.109947702638</v>
      </c>
      <c r="AH2283">
        <v>12.6591578270033</v>
      </c>
      <c r="AI2283">
        <v>94.954703571671502</v>
      </c>
      <c r="AJ2283">
        <v>98.606541106845796</v>
      </c>
      <c r="AK2283">
        <v>12.851354059150299</v>
      </c>
      <c r="AL2283">
        <v>80.894549195486903</v>
      </c>
      <c r="AM2283">
        <v>92.4892659846915</v>
      </c>
      <c r="AN2283">
        <v>0.99999997697820198</v>
      </c>
    </row>
    <row r="2284" spans="1:40" x14ac:dyDescent="0.3">
      <c r="A2284" t="str">
        <f>"20200111150849989"</f>
        <v>20200111150849989</v>
      </c>
      <c r="B2284" t="str">
        <f>"1578726529985425"</f>
        <v>1578726529985425</v>
      </c>
      <c r="C2284" t="s">
        <v>40</v>
      </c>
      <c r="D2284">
        <v>5.3595220000000001</v>
      </c>
      <c r="E2284">
        <v>0.4580554</v>
      </c>
      <c r="F2284" t="s">
        <v>43</v>
      </c>
      <c r="G2284">
        <v>-421.11419999999998</v>
      </c>
      <c r="H2284" s="1">
        <v>-5.3606409999999899E-7</v>
      </c>
      <c r="I2284">
        <v>60.147620000000003</v>
      </c>
      <c r="J2284">
        <v>-422.74470000000002</v>
      </c>
      <c r="K2284">
        <v>1.10999</v>
      </c>
      <c r="L2284">
        <v>72.918369999999996</v>
      </c>
      <c r="M2284">
        <v>-2.606116E-2</v>
      </c>
      <c r="N2284">
        <v>0</v>
      </c>
      <c r="O2284">
        <v>-0.99956129999999999</v>
      </c>
      <c r="P2284">
        <v>1.8987210000000001E-2</v>
      </c>
      <c r="Q2284">
        <v>0.1438536</v>
      </c>
      <c r="R2284">
        <v>-0.98941670000000004</v>
      </c>
      <c r="S2284">
        <v>0.37670900000000002</v>
      </c>
      <c r="T2284">
        <v>-0.25811460000000003</v>
      </c>
      <c r="U2284">
        <v>-3.0634160000000001</v>
      </c>
      <c r="V2284">
        <v>-4.4703560000000003E-2</v>
      </c>
      <c r="W2284">
        <v>0.1577694</v>
      </c>
      <c r="X2284">
        <v>0.9864636</v>
      </c>
      <c r="Y2284">
        <v>-0.14745510000000001</v>
      </c>
      <c r="Z2284">
        <v>8.3146810000000002E-2</v>
      </c>
      <c r="AA2284">
        <v>0.98556759999999999</v>
      </c>
      <c r="AB2284">
        <v>40</v>
      </c>
      <c r="AC2284">
        <v>1.63050000000004</v>
      </c>
      <c r="AD2284">
        <v>-1.1099905360641</v>
      </c>
      <c r="AE2284">
        <v>-12.77075</v>
      </c>
      <c r="AF2284">
        <v>-1.9483171222228901</v>
      </c>
      <c r="AG2284">
        <v>-1.1099905360641</v>
      </c>
      <c r="AH2284">
        <v>12.6300314240881</v>
      </c>
      <c r="AI2284">
        <v>94.964118037514197</v>
      </c>
      <c r="AJ2284">
        <v>98.769361764557303</v>
      </c>
      <c r="AK2284">
        <v>12.8275372684062</v>
      </c>
      <c r="AL2284">
        <v>80.922552256393004</v>
      </c>
      <c r="AM2284">
        <v>92.594696993119001</v>
      </c>
      <c r="AN2284">
        <v>1.0000000129889901</v>
      </c>
    </row>
    <row r="2285" spans="1:40" x14ac:dyDescent="0.3">
      <c r="A2285" t="str">
        <f>"20200111150850011"</f>
        <v>20200111150850011</v>
      </c>
      <c r="B2285" t="str">
        <f>"1578726530005924"</f>
        <v>1578726530005924</v>
      </c>
      <c r="C2285" t="s">
        <v>40</v>
      </c>
      <c r="D2285">
        <v>5.3928450000000003</v>
      </c>
      <c r="E2285">
        <v>0.45787410000000001</v>
      </c>
      <c r="F2285" t="s">
        <v>43</v>
      </c>
      <c r="G2285">
        <v>-421.11649999999997</v>
      </c>
      <c r="H2285" s="1">
        <v>-4.485537E-7</v>
      </c>
      <c r="I2285">
        <v>59.942230000000002</v>
      </c>
      <c r="J2285">
        <v>-422.75540000000001</v>
      </c>
      <c r="K2285">
        <v>1.1100460000000001</v>
      </c>
      <c r="L2285">
        <v>72.506929999999997</v>
      </c>
      <c r="M2285">
        <v>-2.6056360000000001E-2</v>
      </c>
      <c r="N2285">
        <v>0</v>
      </c>
      <c r="O2285">
        <v>-0.99955939999999999</v>
      </c>
      <c r="P2285">
        <v>2.0815159999999999E-2</v>
      </c>
      <c r="Q2285">
        <v>0.14264389999999999</v>
      </c>
      <c r="R2285">
        <v>-0.98955519999999997</v>
      </c>
      <c r="S2285">
        <v>0.38430789999999998</v>
      </c>
      <c r="T2285">
        <v>-0.26199519999999998</v>
      </c>
      <c r="U2285">
        <v>-3.062805</v>
      </c>
      <c r="V2285">
        <v>-4.654792E-2</v>
      </c>
      <c r="W2285">
        <v>0.15669530000000001</v>
      </c>
      <c r="X2285">
        <v>0.98654949999999997</v>
      </c>
      <c r="Y2285">
        <v>-0.149868899999999</v>
      </c>
      <c r="Z2285">
        <v>8.4376309999999996E-2</v>
      </c>
      <c r="AA2285">
        <v>0.98509899999999995</v>
      </c>
      <c r="AB2285">
        <v>40</v>
      </c>
      <c r="AC2285">
        <v>1.63890000000003</v>
      </c>
      <c r="AD2285">
        <v>-1.1100464485536901</v>
      </c>
      <c r="AE2285">
        <v>-12.5647</v>
      </c>
      <c r="AF2285">
        <v>-1.9507954517100401</v>
      </c>
      <c r="AG2285">
        <v>-1.1100464485536901</v>
      </c>
      <c r="AH2285">
        <v>12.422389155594701</v>
      </c>
      <c r="AI2285">
        <v>95.044802780338401</v>
      </c>
      <c r="AJ2285">
        <v>98.924764293287197</v>
      </c>
      <c r="AK2285">
        <v>12.623531928323199</v>
      </c>
      <c r="AL2285">
        <v>80.984868843137207</v>
      </c>
      <c r="AM2285">
        <v>92.701357524768</v>
      </c>
      <c r="AN2285">
        <v>1.00000002092433</v>
      </c>
    </row>
    <row r="2286" spans="1:40" x14ac:dyDescent="0.3">
      <c r="A2286" t="str">
        <f>"20200111150850035"</f>
        <v>20200111150850035</v>
      </c>
      <c r="B2286" t="str">
        <f>"1578726530025441"</f>
        <v>1578726530025441</v>
      </c>
      <c r="C2286" t="s">
        <v>40</v>
      </c>
      <c r="D2286">
        <v>5.4552449999999997</v>
      </c>
      <c r="E2286">
        <v>0.45779710000000001</v>
      </c>
      <c r="F2286" t="s">
        <v>43</v>
      </c>
      <c r="G2286">
        <v>-421.1447</v>
      </c>
      <c r="H2286" s="1">
        <v>-4.372132E-7</v>
      </c>
      <c r="I2286">
        <v>59.898249999999997</v>
      </c>
      <c r="J2286">
        <v>-422.76620000000003</v>
      </c>
      <c r="K2286">
        <v>1.1101160000000001</v>
      </c>
      <c r="L2286">
        <v>72.088809999999995</v>
      </c>
      <c r="M2286">
        <v>-2.598367E-2</v>
      </c>
      <c r="N2286">
        <v>0</v>
      </c>
      <c r="O2286">
        <v>-0.99955989999999995</v>
      </c>
      <c r="P2286">
        <v>2.2142200000000001E-2</v>
      </c>
      <c r="Q2286">
        <v>0.14273369999999999</v>
      </c>
      <c r="R2286">
        <v>-0.9895138</v>
      </c>
      <c r="S2286">
        <v>0.39117429999999997</v>
      </c>
      <c r="T2286">
        <v>-0.26959860000000002</v>
      </c>
      <c r="U2286">
        <v>-3.0622859999999998</v>
      </c>
      <c r="V2286">
        <v>-4.7823490000000003E-2</v>
      </c>
      <c r="W2286">
        <v>0.1569016</v>
      </c>
      <c r="X2286">
        <v>0.98645570000000005</v>
      </c>
      <c r="Y2286">
        <v>-0.15196490000000001</v>
      </c>
      <c r="Z2286">
        <v>8.6795250000000004E-2</v>
      </c>
      <c r="AA2286">
        <v>0.98456750000000004</v>
      </c>
      <c r="AB2286">
        <v>40</v>
      </c>
      <c r="AC2286">
        <v>1.6215000000000199</v>
      </c>
      <c r="AD2286">
        <v>-1.1101164372132</v>
      </c>
      <c r="AE2286">
        <v>-12.1905599999999</v>
      </c>
      <c r="AF2286">
        <v>-1.9220784582441399</v>
      </c>
      <c r="AG2286">
        <v>-1.1101164372132</v>
      </c>
      <c r="AH2286">
        <v>12.046149346177099</v>
      </c>
      <c r="AI2286">
        <v>95.199829361063806</v>
      </c>
      <c r="AJ2286">
        <v>99.065670561307897</v>
      </c>
      <c r="AK2286">
        <v>12.2489370222162</v>
      </c>
      <c r="AL2286">
        <v>80.972900705835499</v>
      </c>
      <c r="AM2286">
        <v>92.775533120699507</v>
      </c>
      <c r="AN2286">
        <v>1.00000002317041</v>
      </c>
    </row>
    <row r="2287" spans="1:40" x14ac:dyDescent="0.3">
      <c r="A2287" t="str">
        <f>"20200111150850056"</f>
        <v>20200111150850056</v>
      </c>
      <c r="B2287" t="str">
        <f>"1578726530045938"</f>
        <v>1578726530045938</v>
      </c>
      <c r="C2287" t="s">
        <v>40</v>
      </c>
      <c r="D2287">
        <v>5.4231829999999999</v>
      </c>
      <c r="E2287">
        <v>0.45767770000000002</v>
      </c>
      <c r="F2287" t="s">
        <v>43</v>
      </c>
      <c r="G2287">
        <v>-421.1318</v>
      </c>
      <c r="H2287" s="1">
        <v>-4.4421439999999997E-6</v>
      </c>
      <c r="I2287">
        <v>59.45026</v>
      </c>
      <c r="J2287">
        <v>-422.77609999999999</v>
      </c>
      <c r="K2287">
        <v>1.11019</v>
      </c>
      <c r="L2287">
        <v>71.704499999999996</v>
      </c>
      <c r="M2287">
        <v>-2.5839500000000001E-2</v>
      </c>
      <c r="N2287">
        <v>0</v>
      </c>
      <c r="O2287">
        <v>-0.99956199999999995</v>
      </c>
      <c r="P2287">
        <v>2.3168399999999999E-2</v>
      </c>
      <c r="Q2287">
        <v>0.14289549999999901</v>
      </c>
      <c r="R2287">
        <v>-0.98946679999999998</v>
      </c>
      <c r="S2287">
        <v>0.39593509999999998</v>
      </c>
      <c r="T2287">
        <v>-0.26892820000000001</v>
      </c>
      <c r="U2287">
        <v>-3.0617070000000002</v>
      </c>
      <c r="V2287">
        <v>-4.8731679999999999E-2</v>
      </c>
      <c r="W2287">
        <v>0.15715299999999999</v>
      </c>
      <c r="X2287">
        <v>0.9863712</v>
      </c>
      <c r="Y2287">
        <v>-0.15335409999999999</v>
      </c>
      <c r="Z2287">
        <v>8.6579859999999995E-2</v>
      </c>
      <c r="AA2287">
        <v>0.98437110000000005</v>
      </c>
      <c r="AB2287">
        <v>40</v>
      </c>
      <c r="AC2287">
        <v>1.6442999999999801</v>
      </c>
      <c r="AD2287">
        <v>-1.110194442144</v>
      </c>
      <c r="AE2287">
        <v>-12.2542399999999</v>
      </c>
      <c r="AF2287">
        <v>-1.9447475170920601</v>
      </c>
      <c r="AG2287">
        <v>-1.110194442144</v>
      </c>
      <c r="AH2287">
        <v>12.110016892334601</v>
      </c>
      <c r="AI2287">
        <v>95.172089051472497</v>
      </c>
      <c r="AJ2287">
        <v>99.123234158074993</v>
      </c>
      <c r="AK2287">
        <v>12.315319067617899</v>
      </c>
      <c r="AL2287">
        <v>80.958315334260902</v>
      </c>
      <c r="AM2287">
        <v>92.828398876570105</v>
      </c>
      <c r="AN2287">
        <v>0.99999999311703103</v>
      </c>
    </row>
    <row r="2288" spans="1:40" x14ac:dyDescent="0.3">
      <c r="A2288" t="str">
        <f>"20200111150850079"</f>
        <v>20200111150850079</v>
      </c>
      <c r="B2288" t="str">
        <f>"1578726530076193"</f>
        <v>1578726530076193</v>
      </c>
      <c r="C2288" t="s">
        <v>40</v>
      </c>
      <c r="D2288">
        <v>5.4493830000000001</v>
      </c>
      <c r="E2288">
        <v>0.45736500000000002</v>
      </c>
      <c r="F2288" t="s">
        <v>43</v>
      </c>
      <c r="G2288">
        <v>-421.1268</v>
      </c>
      <c r="H2288" s="1">
        <v>-4.3168269999999996E-6</v>
      </c>
      <c r="I2288">
        <v>59.08464</v>
      </c>
      <c r="J2288">
        <v>-422.78629999999998</v>
      </c>
      <c r="K2288">
        <v>1.110284</v>
      </c>
      <c r="L2288">
        <v>71.306030000000007</v>
      </c>
      <c r="M2288">
        <v>-2.559838E-2</v>
      </c>
      <c r="N2288">
        <v>0</v>
      </c>
      <c r="O2288">
        <v>-0.99956690000000004</v>
      </c>
      <c r="P2288">
        <v>2.3945959999999999E-2</v>
      </c>
      <c r="Q2288">
        <v>0.14334169999999999</v>
      </c>
      <c r="R2288">
        <v>-0.98938360000000003</v>
      </c>
      <c r="S2288">
        <v>0.40011600000000003</v>
      </c>
      <c r="T2288">
        <v>-0.26932299999999998</v>
      </c>
      <c r="U2288">
        <v>-3.0614620000000001</v>
      </c>
      <c r="V2288">
        <v>-4.9302720000000001E-2</v>
      </c>
      <c r="W2288">
        <v>0.15767709999999999</v>
      </c>
      <c r="X2288">
        <v>0.9862592</v>
      </c>
      <c r="Y2288">
        <v>-0.15444630000000001</v>
      </c>
      <c r="Z2288">
        <v>8.6698659999999997E-2</v>
      </c>
      <c r="AA2288">
        <v>0.98418989999999995</v>
      </c>
      <c r="AB2288">
        <v>40</v>
      </c>
      <c r="AC2288">
        <v>1.65949999999998</v>
      </c>
      <c r="AD2288">
        <v>-1.1102883168269999</v>
      </c>
      <c r="AE2288">
        <v>-12.22139</v>
      </c>
      <c r="AF2288">
        <v>-1.9559856614284401</v>
      </c>
      <c r="AG2288">
        <v>-1.1102883168269999</v>
      </c>
      <c r="AH2288">
        <v>12.0770279092138</v>
      </c>
      <c r="AI2288">
        <v>95.185466014186503</v>
      </c>
      <c r="AJ2288">
        <v>99.199694724884793</v>
      </c>
      <c r="AK2288">
        <v>12.284674321044299</v>
      </c>
      <c r="AL2288">
        <v>80.927907733056102</v>
      </c>
      <c r="AM2288">
        <v>92.861811826353204</v>
      </c>
      <c r="AN2288">
        <v>1.0000000178242201</v>
      </c>
    </row>
    <row r="2289" spans="1:40" x14ac:dyDescent="0.3">
      <c r="A2289" t="str">
        <f>"20200111150850102"</f>
        <v>20200111150850102</v>
      </c>
      <c r="B2289" t="str">
        <f>"1578726530095713"</f>
        <v>1578726530095713</v>
      </c>
      <c r="C2289" t="s">
        <v>40</v>
      </c>
      <c r="D2289">
        <v>5.4360269999999904</v>
      </c>
      <c r="E2289">
        <v>0.45722119999999999</v>
      </c>
      <c r="F2289" t="s">
        <v>43</v>
      </c>
      <c r="G2289">
        <v>-421.11320000000001</v>
      </c>
      <c r="H2289" s="1">
        <v>-4.1704339999999996E-6</v>
      </c>
      <c r="I2289">
        <v>58.661540000000002</v>
      </c>
      <c r="J2289">
        <v>-422.79669999999999</v>
      </c>
      <c r="K2289">
        <v>1.110403</v>
      </c>
      <c r="L2289">
        <v>70.887050000000002</v>
      </c>
      <c r="M2289">
        <v>-2.5217469999999999E-2</v>
      </c>
      <c r="N2289">
        <v>0</v>
      </c>
      <c r="O2289">
        <v>-0.9995754</v>
      </c>
      <c r="P2289">
        <v>2.5252960000000001E-2</v>
      </c>
      <c r="Q2289">
        <v>0.14339660000000001</v>
      </c>
      <c r="R2289">
        <v>-0.98934319999999998</v>
      </c>
      <c r="S2289">
        <v>0.40505980000000003</v>
      </c>
      <c r="T2289">
        <v>-0.2688103</v>
      </c>
      <c r="U2289">
        <v>-3.06134</v>
      </c>
      <c r="V2289">
        <v>-5.0274270000000003E-2</v>
      </c>
      <c r="W2289">
        <v>0.1577981</v>
      </c>
      <c r="X2289">
        <v>0.98619080000000003</v>
      </c>
      <c r="Y2289">
        <v>-0.15563920000000001</v>
      </c>
      <c r="Z2289">
        <v>8.6522360000000006E-2</v>
      </c>
      <c r="AA2289">
        <v>0.98401740000000004</v>
      </c>
      <c r="AB2289">
        <v>40</v>
      </c>
      <c r="AC2289">
        <v>1.68349999999998</v>
      </c>
      <c r="AD2289">
        <v>-1.1104071704339999</v>
      </c>
      <c r="AE2289">
        <v>-12.22551</v>
      </c>
      <c r="AF2289">
        <v>-1.9753016875093199</v>
      </c>
      <c r="AG2289">
        <v>-1.1104071704339999</v>
      </c>
      <c r="AH2289">
        <v>12.081352134047799</v>
      </c>
      <c r="AI2289">
        <v>95.182912675129202</v>
      </c>
      <c r="AJ2289">
        <v>99.285701960782802</v>
      </c>
      <c r="AK2289">
        <v>12.292025472951501</v>
      </c>
      <c r="AL2289">
        <v>80.9208870567182</v>
      </c>
      <c r="AM2289">
        <v>92.918311656266198</v>
      </c>
      <c r="AN2289">
        <v>1.0000000182961399</v>
      </c>
    </row>
    <row r="2290" spans="1:40" x14ac:dyDescent="0.3">
      <c r="A2290" t="str">
        <f>"20200111150850124"</f>
        <v>20200111150850124</v>
      </c>
      <c r="B2290" t="str">
        <f>"1578726530116209"</f>
        <v>1578726530116209</v>
      </c>
      <c r="C2290" t="s">
        <v>40</v>
      </c>
      <c r="D2290">
        <v>5.4532339999999904</v>
      </c>
      <c r="E2290">
        <v>0.45716639999999997</v>
      </c>
      <c r="F2290" t="s">
        <v>43</v>
      </c>
      <c r="G2290">
        <v>-421.09859999999998</v>
      </c>
      <c r="H2290" s="1">
        <v>-3.9878589999999999E-6</v>
      </c>
      <c r="I2290">
        <v>58.203510000000001</v>
      </c>
      <c r="J2290">
        <v>-422.8066</v>
      </c>
      <c r="K2290">
        <v>1.1105210000000001</v>
      </c>
      <c r="L2290">
        <v>70.474609999999998</v>
      </c>
      <c r="M2290">
        <v>-2.4702430000000001E-2</v>
      </c>
      <c r="N2290">
        <v>0</v>
      </c>
      <c r="O2290">
        <v>-0.99958709999999995</v>
      </c>
      <c r="P2290">
        <v>2.5829609999999999E-2</v>
      </c>
      <c r="Q2290">
        <v>0.14327519999999999</v>
      </c>
      <c r="R2290">
        <v>-0.9893459</v>
      </c>
      <c r="S2290">
        <v>0.4097595</v>
      </c>
      <c r="T2290">
        <v>-0.26795530000000001</v>
      </c>
      <c r="U2290">
        <v>-3.0606990000000001</v>
      </c>
      <c r="V2290">
        <v>-5.0388160000000001E-2</v>
      </c>
      <c r="W2290">
        <v>0.15772939999999999</v>
      </c>
      <c r="X2290">
        <v>0.98619599999999996</v>
      </c>
      <c r="Y2290">
        <v>-0.1566447</v>
      </c>
      <c r="Z2290">
        <v>8.6253129999999997E-2</v>
      </c>
      <c r="AA2290">
        <v>0.98388149999999996</v>
      </c>
      <c r="AB2290">
        <v>40</v>
      </c>
      <c r="AC2290">
        <v>1.7080000000000199</v>
      </c>
      <c r="AD2290">
        <v>-1.11052498785899</v>
      </c>
      <c r="AE2290">
        <v>-12.271100000000001</v>
      </c>
      <c r="AF2290">
        <v>-1.9946117178614999</v>
      </c>
      <c r="AG2290">
        <v>-1.11052498785899</v>
      </c>
      <c r="AH2290">
        <v>12.127718762486399</v>
      </c>
      <c r="AI2290">
        <v>95.162956446310105</v>
      </c>
      <c r="AJ2290">
        <v>99.339663384782298</v>
      </c>
      <c r="AK2290">
        <v>12.340717322572999</v>
      </c>
      <c r="AL2290">
        <v>80.924873397442795</v>
      </c>
      <c r="AM2290">
        <v>92.924895859712393</v>
      </c>
      <c r="AN2290">
        <v>1.0000000403542699</v>
      </c>
    </row>
    <row r="2291" spans="1:40" x14ac:dyDescent="0.3">
      <c r="A2291" t="str">
        <f>"20200111150850145"</f>
        <v>20200111150850145</v>
      </c>
      <c r="B2291" t="str">
        <f>"1578726530135729"</f>
        <v>1578726530135729</v>
      </c>
      <c r="C2291" t="s">
        <v>40</v>
      </c>
      <c r="D2291">
        <v>5.4566660000000002</v>
      </c>
      <c r="E2291">
        <v>0.4573584</v>
      </c>
      <c r="F2291" t="s">
        <v>43</v>
      </c>
      <c r="G2291">
        <v>-421.09879999999998</v>
      </c>
      <c r="H2291" s="1">
        <v>-3.803291E-6</v>
      </c>
      <c r="I2291">
        <v>57.773130000000002</v>
      </c>
      <c r="J2291">
        <v>-422.81540000000001</v>
      </c>
      <c r="K2291">
        <v>1.110638</v>
      </c>
      <c r="L2291">
        <v>70.096950000000007</v>
      </c>
      <c r="M2291">
        <v>-2.4122609999999999E-2</v>
      </c>
      <c r="N2291">
        <v>0</v>
      </c>
      <c r="O2291">
        <v>-0.9996005</v>
      </c>
      <c r="P2291">
        <v>2.6156499999999999E-2</v>
      </c>
      <c r="Q2291">
        <v>0.14343110000000001</v>
      </c>
      <c r="R2291">
        <v>-0.9893149</v>
      </c>
      <c r="S2291">
        <v>0.41146850000000001</v>
      </c>
      <c r="T2291">
        <v>-0.26757069999999999</v>
      </c>
      <c r="U2291">
        <v>-3.0603030000000002</v>
      </c>
      <c r="V2291">
        <v>-5.018388E-2</v>
      </c>
      <c r="W2291">
        <v>0.15792619999999999</v>
      </c>
      <c r="X2291">
        <v>0.98617489999999997</v>
      </c>
      <c r="Y2291">
        <v>-0.15662970000000001</v>
      </c>
      <c r="Z2291">
        <v>8.6140040000000001E-2</v>
      </c>
      <c r="AA2291">
        <v>0.98389380000000004</v>
      </c>
      <c r="AB2291">
        <v>40</v>
      </c>
      <c r="AC2291">
        <v>1.7166000000000201</v>
      </c>
      <c r="AD2291">
        <v>-1.1106418032909999</v>
      </c>
      <c r="AE2291">
        <v>-12.32382</v>
      </c>
      <c r="AF2291">
        <v>-1.99750061782931</v>
      </c>
      <c r="AG2291">
        <v>-1.1106418032909999</v>
      </c>
      <c r="AH2291">
        <v>12.181763802009501</v>
      </c>
      <c r="AI2291">
        <v>95.141114205323007</v>
      </c>
      <c r="AJ2291">
        <v>99.312185239492507</v>
      </c>
      <c r="AK2291">
        <v>12.394309309574099</v>
      </c>
      <c r="AL2291">
        <v>80.913454283873094</v>
      </c>
      <c r="AM2291">
        <v>92.913120645944304</v>
      </c>
      <c r="AN2291">
        <v>1.0000000199241501</v>
      </c>
    </row>
    <row r="2292" spans="1:40" x14ac:dyDescent="0.3">
      <c r="A2292" t="str">
        <f>"20200111150850168"</f>
        <v>20200111150850168</v>
      </c>
      <c r="B2292" t="str">
        <f>"1578726530165985"</f>
        <v>1578726530165985</v>
      </c>
      <c r="C2292" t="s">
        <v>40</v>
      </c>
      <c r="D2292">
        <v>6.9352349999999996</v>
      </c>
      <c r="E2292">
        <v>0.45757890000000001</v>
      </c>
      <c r="F2292" t="s">
        <v>43</v>
      </c>
      <c r="G2292">
        <v>-421.10480000000001</v>
      </c>
      <c r="H2292" s="1">
        <v>-3.6257810000000002E-6</v>
      </c>
      <c r="I2292">
        <v>57.35566</v>
      </c>
      <c r="J2292">
        <v>-422.82440000000003</v>
      </c>
      <c r="K2292">
        <v>1.1107640000000001</v>
      </c>
      <c r="L2292">
        <v>69.697479999999999</v>
      </c>
      <c r="M2292">
        <v>-2.3379090000000002E-2</v>
      </c>
      <c r="N2292">
        <v>0</v>
      </c>
      <c r="O2292">
        <v>-0.99961730000000004</v>
      </c>
      <c r="P2292">
        <v>2.6483530000000002E-2</v>
      </c>
      <c r="Q2292">
        <v>0.14376359999999999</v>
      </c>
      <c r="R2292">
        <v>-0.98925750000000001</v>
      </c>
      <c r="S2292">
        <v>0.41085820000000001</v>
      </c>
      <c r="T2292">
        <v>-0.2667544</v>
      </c>
      <c r="U2292">
        <v>-3.0602109999999998</v>
      </c>
      <c r="V2292">
        <v>-4.9821160000000003E-2</v>
      </c>
      <c r="W2292">
        <v>0.15829389999999999</v>
      </c>
      <c r="X2292">
        <v>0.98613430000000002</v>
      </c>
      <c r="Y2292">
        <v>-0.15570919999999999</v>
      </c>
      <c r="Z2292">
        <v>8.5891460000000003E-2</v>
      </c>
      <c r="AA2292">
        <v>0.98406170000000004</v>
      </c>
      <c r="AB2292">
        <v>40</v>
      </c>
      <c r="AC2292">
        <v>1.71960000000001</v>
      </c>
      <c r="AD2292">
        <v>-1.110767625781</v>
      </c>
      <c r="AE2292">
        <v>-12.341819999999901</v>
      </c>
      <c r="AF2292">
        <v>-1.99187491061005</v>
      </c>
      <c r="AG2292">
        <v>-1.110767625781</v>
      </c>
      <c r="AH2292">
        <v>12.201289774393601</v>
      </c>
      <c r="AI2292">
        <v>95.134097845119399</v>
      </c>
      <c r="AJ2292">
        <v>99.271813227460797</v>
      </c>
      <c r="AK2292">
        <v>12.412608208459799</v>
      </c>
      <c r="AL2292">
        <v>80.892117904158596</v>
      </c>
      <c r="AM2292">
        <v>92.892219881777393</v>
      </c>
      <c r="AN2292">
        <v>0.99999998219872199</v>
      </c>
    </row>
    <row r="2293" spans="1:40" x14ac:dyDescent="0.3">
      <c r="A2293" t="str">
        <f>"20200111150850212"</f>
        <v>20200111150850212</v>
      </c>
      <c r="B2293" t="str">
        <f>"1578726530206004"</f>
        <v>1578726530206004</v>
      </c>
      <c r="C2293" t="s">
        <v>40</v>
      </c>
      <c r="D2293">
        <v>5.3434249999999999</v>
      </c>
      <c r="E2293">
        <v>0.4063582</v>
      </c>
      <c r="F2293" t="s">
        <v>43</v>
      </c>
      <c r="G2293">
        <v>-421.09870000000001</v>
      </c>
      <c r="H2293" s="1">
        <v>-3.3913730000000001E-6</v>
      </c>
      <c r="I2293">
        <v>56.81306</v>
      </c>
      <c r="J2293">
        <v>-422.84089999999998</v>
      </c>
      <c r="K2293">
        <v>1.1110439999999999</v>
      </c>
      <c r="L2293">
        <v>68.905789999999996</v>
      </c>
      <c r="M2293">
        <v>-2.1458580000000001E-2</v>
      </c>
      <c r="N2293">
        <v>0</v>
      </c>
      <c r="O2293">
        <v>-0.99965919999999997</v>
      </c>
      <c r="P2293">
        <v>2.8596139999999999E-2</v>
      </c>
      <c r="Q2293">
        <v>0.14365939999999999</v>
      </c>
      <c r="R2293">
        <v>-0.98921400000000004</v>
      </c>
      <c r="S2293">
        <v>0.40985110000000002</v>
      </c>
      <c r="T2293">
        <v>-0.26380019999999998</v>
      </c>
      <c r="U2293">
        <v>-3.0599669999999999</v>
      </c>
      <c r="V2293">
        <v>-5.013621E-2</v>
      </c>
      <c r="W2293">
        <v>0.15823599999999999</v>
      </c>
      <c r="X2293">
        <v>0.98612759999999999</v>
      </c>
      <c r="Y2293">
        <v>-0.15351389999999901</v>
      </c>
      <c r="Z2293">
        <v>8.4975990000000001E-2</v>
      </c>
      <c r="AA2293">
        <v>0.98448590000000002</v>
      </c>
      <c r="AB2293">
        <v>40</v>
      </c>
      <c r="AC2293">
        <v>1.74219999999996</v>
      </c>
      <c r="AD2293">
        <v>-1.1110473913729999</v>
      </c>
      <c r="AE2293">
        <v>-12.0927299999999</v>
      </c>
      <c r="AF2293">
        <v>-1.98490549364157</v>
      </c>
      <c r="AG2293">
        <v>-1.1110473913729999</v>
      </c>
      <c r="AH2293">
        <v>11.953701032239801</v>
      </c>
      <c r="AI2293">
        <v>95.238825839489294</v>
      </c>
      <c r="AJ2293">
        <v>99.427910694163003</v>
      </c>
      <c r="AK2293">
        <v>12.168206297262399</v>
      </c>
      <c r="AL2293">
        <v>80.895477446088506</v>
      </c>
      <c r="AM2293">
        <v>92.910497569491994</v>
      </c>
      <c r="AN2293">
        <v>0.99999995736546099</v>
      </c>
    </row>
    <row r="2294" spans="1:40" x14ac:dyDescent="0.3">
      <c r="A2294" t="str">
        <f>"20200111150850235"</f>
        <v>20200111150850235</v>
      </c>
      <c r="B2294" t="str">
        <f>"1578726530225521"</f>
        <v>1578726530225521</v>
      </c>
      <c r="C2294" t="s">
        <v>40</v>
      </c>
      <c r="D2294">
        <v>7.6532580000000001</v>
      </c>
      <c r="E2294">
        <v>0.41627760000000003</v>
      </c>
      <c r="F2294" t="s">
        <v>88</v>
      </c>
      <c r="G2294">
        <v>-403.24290000000002</v>
      </c>
      <c r="H2294">
        <v>17.064150000000001</v>
      </c>
      <c r="I2294">
        <v>0.64786149999999998</v>
      </c>
      <c r="J2294">
        <v>-422.8485</v>
      </c>
      <c r="K2294">
        <v>1.1112040000000001</v>
      </c>
      <c r="L2294">
        <v>68.501859999999994</v>
      </c>
      <c r="M2294">
        <v>-2.023838E-2</v>
      </c>
      <c r="N2294">
        <v>0</v>
      </c>
      <c r="O2294">
        <v>-0.99968420000000002</v>
      </c>
      <c r="P2294">
        <v>3.0285780000000002E-2</v>
      </c>
      <c r="Q2294">
        <v>0.14407220000000001</v>
      </c>
      <c r="R2294">
        <v>-0.98910359999999997</v>
      </c>
      <c r="S2294">
        <v>0.8354492</v>
      </c>
      <c r="T2294">
        <v>0.68006899999999904</v>
      </c>
      <c r="U2294">
        <v>-2.9097900000000001</v>
      </c>
      <c r="V2294">
        <v>-5.0677239999999998E-2</v>
      </c>
      <c r="W2294">
        <v>0.15865969999999999</v>
      </c>
      <c r="X2294">
        <v>0.98603189999999996</v>
      </c>
      <c r="Y2294">
        <v>-0.28868640000000001</v>
      </c>
      <c r="Z2294">
        <v>-0.21847279999999999</v>
      </c>
      <c r="AA2294">
        <v>0.93216410000000005</v>
      </c>
      <c r="AB2294">
        <v>40</v>
      </c>
      <c r="AC2294">
        <v>19.6055999999999</v>
      </c>
      <c r="AD2294">
        <v>15.952945999999899</v>
      </c>
      <c r="AE2294">
        <v>-67.853998499999904</v>
      </c>
      <c r="AF2294">
        <v>-19.956867813622299</v>
      </c>
      <c r="AG2294">
        <v>15.952945999999899</v>
      </c>
      <c r="AH2294">
        <v>64.169581319726703</v>
      </c>
      <c r="AI2294">
        <v>76.645719743336997</v>
      </c>
      <c r="AJ2294">
        <v>107.275798027102</v>
      </c>
      <c r="AK2294">
        <v>69.068865820703394</v>
      </c>
      <c r="AL2294">
        <v>80.870890976833493</v>
      </c>
      <c r="AM2294">
        <v>92.942135482572596</v>
      </c>
      <c r="AN2294">
        <v>0.999999995437858</v>
      </c>
    </row>
    <row r="2295" spans="1:40" x14ac:dyDescent="0.3">
      <c r="A2295" t="str">
        <f>"20200111150850256"</f>
        <v>20200111150850256</v>
      </c>
      <c r="B2295" t="str">
        <f>"1578726530246017"</f>
        <v>1578726530246017</v>
      </c>
      <c r="C2295" t="s">
        <v>40</v>
      </c>
      <c r="D2295">
        <v>6.5139399999999998</v>
      </c>
      <c r="E2295">
        <v>0.42012159999999898</v>
      </c>
      <c r="F2295" t="s">
        <v>88</v>
      </c>
      <c r="G2295">
        <v>-405.03489999999999</v>
      </c>
      <c r="H2295">
        <v>18.22749</v>
      </c>
      <c r="I2295">
        <v>0.6296387</v>
      </c>
      <c r="J2295">
        <v>-422.85520000000002</v>
      </c>
      <c r="K2295">
        <v>1.1113630000000001</v>
      </c>
      <c r="L2295">
        <v>68.11627</v>
      </c>
      <c r="M2295">
        <v>-1.8920909999999999E-2</v>
      </c>
      <c r="N2295">
        <v>0</v>
      </c>
      <c r="O2295">
        <v>-0.99970970000000003</v>
      </c>
      <c r="P2295">
        <v>3.1869000000000001E-2</v>
      </c>
      <c r="Q2295">
        <v>0.1434945</v>
      </c>
      <c r="R2295">
        <v>-0.98913799999999996</v>
      </c>
      <c r="S2295">
        <v>0.76193239999999995</v>
      </c>
      <c r="T2295">
        <v>0.73210810000000004</v>
      </c>
      <c r="U2295">
        <v>-2.903076</v>
      </c>
      <c r="V2295">
        <v>-5.1016239999999997E-2</v>
      </c>
      <c r="W2295">
        <v>0.15809049999999999</v>
      </c>
      <c r="X2295">
        <v>0.98610589999999998</v>
      </c>
      <c r="Y2295">
        <v>-0.26491490000000001</v>
      </c>
      <c r="Z2295">
        <v>-0.23631930000000001</v>
      </c>
      <c r="AA2295">
        <v>0.93486539999999996</v>
      </c>
      <c r="AB2295">
        <v>40</v>
      </c>
      <c r="AC2295">
        <v>17.8203</v>
      </c>
      <c r="AD2295">
        <v>17.116126999999999</v>
      </c>
      <c r="AE2295">
        <v>-67.486631299999999</v>
      </c>
      <c r="AF2295">
        <v>-18.011121658552099</v>
      </c>
      <c r="AG2295">
        <v>17.116126999999999</v>
      </c>
      <c r="AH2295">
        <v>63.329243083084599</v>
      </c>
      <c r="AI2295">
        <v>75.4277781019847</v>
      </c>
      <c r="AJ2295">
        <v>105.875990469833</v>
      </c>
      <c r="AK2295">
        <v>68.029077138792005</v>
      </c>
      <c r="AL2295">
        <v>80.903921142985297</v>
      </c>
      <c r="AM2295">
        <v>92.961559794554304</v>
      </c>
      <c r="AN2295">
        <v>1.0000000544743901</v>
      </c>
    </row>
    <row r="2296" spans="1:40" x14ac:dyDescent="0.3">
      <c r="A2296" t="str">
        <f>"20200111150850279"</f>
        <v>20200111150850279</v>
      </c>
      <c r="B2296" t="str">
        <f>"1578726530276273"</f>
        <v>1578726530276273</v>
      </c>
      <c r="C2296" t="s">
        <v>40</v>
      </c>
      <c r="D2296">
        <v>5.2562709999999999</v>
      </c>
      <c r="E2296">
        <v>0.42369709999999999</v>
      </c>
      <c r="F2296" t="s">
        <v>88</v>
      </c>
      <c r="G2296">
        <v>-405.78699999999998</v>
      </c>
      <c r="H2296">
        <v>17.33173</v>
      </c>
      <c r="I2296">
        <v>0.62199019999999905</v>
      </c>
      <c r="J2296">
        <v>-422.8614</v>
      </c>
      <c r="K2296">
        <v>1.1115219999999999</v>
      </c>
      <c r="L2296">
        <v>67.717959999999906</v>
      </c>
      <c r="M2296">
        <v>-1.7407800000000001E-2</v>
      </c>
      <c r="N2296">
        <v>0</v>
      </c>
      <c r="O2296">
        <v>-0.99973690000000004</v>
      </c>
      <c r="P2296">
        <v>3.4391079999999997E-2</v>
      </c>
      <c r="Q2296">
        <v>0.1432166</v>
      </c>
      <c r="R2296">
        <v>-0.98909369999999996</v>
      </c>
      <c r="S2296">
        <v>0.73535159999999999</v>
      </c>
      <c r="T2296">
        <v>0.69882369999999905</v>
      </c>
      <c r="U2296">
        <v>-2.907867</v>
      </c>
      <c r="V2296">
        <v>-5.2101460000000002E-2</v>
      </c>
      <c r="W2296">
        <v>0.15781319999999999</v>
      </c>
      <c r="X2296">
        <v>0.98609349999999996</v>
      </c>
      <c r="Y2296">
        <v>-0.2556348</v>
      </c>
      <c r="Z2296">
        <v>-0.2263561</v>
      </c>
      <c r="AA2296">
        <v>0.93990099999999999</v>
      </c>
      <c r="AB2296">
        <v>40</v>
      </c>
      <c r="AC2296">
        <v>17.074400000000001</v>
      </c>
      <c r="AD2296">
        <v>16.220208</v>
      </c>
      <c r="AE2296">
        <v>-67.095969799999907</v>
      </c>
      <c r="AF2296">
        <v>-17.290892092116501</v>
      </c>
      <c r="AG2296">
        <v>16.220208</v>
      </c>
      <c r="AH2296">
        <v>63.313459638783598</v>
      </c>
      <c r="AI2296">
        <v>76.118171296364196</v>
      </c>
      <c r="AJ2296">
        <v>105.27498248282301</v>
      </c>
      <c r="AK2296">
        <v>67.606688044426207</v>
      </c>
      <c r="AL2296">
        <v>80.920010557162001</v>
      </c>
      <c r="AM2296">
        <v>93.024480456791295</v>
      </c>
      <c r="AN2296">
        <v>0.99999997948531005</v>
      </c>
    </row>
    <row r="2297" spans="1:40" x14ac:dyDescent="0.3">
      <c r="A2297" t="str">
        <f>"20200111150850302"</f>
        <v>20200111150850302</v>
      </c>
      <c r="B2297" t="str">
        <f>"1578726530295793"</f>
        <v>1578726530295793</v>
      </c>
      <c r="C2297" t="s">
        <v>40</v>
      </c>
      <c r="D2297">
        <v>4.9373290000000001</v>
      </c>
      <c r="E2297">
        <v>0.42365839999999999</v>
      </c>
      <c r="F2297" t="s">
        <v>88</v>
      </c>
      <c r="G2297">
        <v>-406.43400000000003</v>
      </c>
      <c r="H2297">
        <v>15.771789999999999</v>
      </c>
      <c r="I2297">
        <v>0.61540600000000001</v>
      </c>
      <c r="J2297">
        <v>-422.86689999999999</v>
      </c>
      <c r="K2297">
        <v>1.1116760000000001</v>
      </c>
      <c r="L2297">
        <v>67.310580000000002</v>
      </c>
      <c r="M2297">
        <v>-1.5686800000000001E-2</v>
      </c>
      <c r="N2297">
        <v>0</v>
      </c>
      <c r="O2297">
        <v>-0.99976509999999996</v>
      </c>
      <c r="P2297">
        <v>3.7660859999999997E-2</v>
      </c>
      <c r="Q2297">
        <v>0.14316519999999999</v>
      </c>
      <c r="R2297">
        <v>-0.98898229999999998</v>
      </c>
      <c r="S2297">
        <v>0.71386719999999904</v>
      </c>
      <c r="T2297">
        <v>0.63707689999999995</v>
      </c>
      <c r="U2297">
        <v>-2.9160159999999999</v>
      </c>
      <c r="V2297">
        <v>-5.3728320000000003E-2</v>
      </c>
      <c r="W2297">
        <v>0.1577557</v>
      </c>
      <c r="X2297">
        <v>0.98601539999999999</v>
      </c>
      <c r="Y2297">
        <v>-0.24783279999999999</v>
      </c>
      <c r="Z2297">
        <v>-0.20714640000000001</v>
      </c>
      <c r="AA2297">
        <v>0.94639799999999996</v>
      </c>
      <c r="AB2297">
        <v>40</v>
      </c>
      <c r="AC2297">
        <v>16.432899999999901</v>
      </c>
      <c r="AD2297">
        <v>14.660114</v>
      </c>
      <c r="AE2297">
        <v>-66.695173999999994</v>
      </c>
      <c r="AF2297">
        <v>-16.715819337945199</v>
      </c>
      <c r="AG2297">
        <v>14.660114</v>
      </c>
      <c r="AH2297">
        <v>63.535119102012999</v>
      </c>
      <c r="AI2297">
        <v>77.420736764978002</v>
      </c>
      <c r="AJ2297">
        <v>104.740232365837</v>
      </c>
      <c r="AK2297">
        <v>67.3130664725565</v>
      </c>
      <c r="AL2297">
        <v>80.923346871636696</v>
      </c>
      <c r="AM2297">
        <v>93.118982314118398</v>
      </c>
      <c r="AN2297">
        <v>0.99999998114483601</v>
      </c>
    </row>
    <row r="2298" spans="1:40" x14ac:dyDescent="0.3">
      <c r="A2298" t="str">
        <f>"20200111150850325"</f>
        <v>20200111150850325</v>
      </c>
      <c r="B2298" t="str">
        <f>"1578726530316289"</f>
        <v>1578726530316289</v>
      </c>
      <c r="C2298" t="s">
        <v>40</v>
      </c>
      <c r="D2298">
        <v>5.1262970000000001</v>
      </c>
      <c r="E2298">
        <v>0.47480099999999997</v>
      </c>
      <c r="F2298" t="s">
        <v>88</v>
      </c>
      <c r="G2298">
        <v>-406.26440000000002</v>
      </c>
      <c r="H2298">
        <v>16.248719999999999</v>
      </c>
      <c r="I2298">
        <v>0.61713030000000002</v>
      </c>
      <c r="J2298">
        <v>-422.87150000000003</v>
      </c>
      <c r="K2298">
        <v>1.111834</v>
      </c>
      <c r="L2298">
        <v>66.913089999999997</v>
      </c>
      <c r="M2298">
        <v>-1.386516E-2</v>
      </c>
      <c r="N2298">
        <v>0</v>
      </c>
      <c r="O2298">
        <v>-0.99979169999999995</v>
      </c>
      <c r="P2298">
        <v>4.0398910000000003E-2</v>
      </c>
      <c r="Q2298">
        <v>0.1429376</v>
      </c>
      <c r="R2298">
        <v>-0.98890679999999997</v>
      </c>
      <c r="S2298">
        <v>0.72445680000000001</v>
      </c>
      <c r="T2298">
        <v>0.66051459999999995</v>
      </c>
      <c r="U2298">
        <v>-2.9102169999999998</v>
      </c>
      <c r="V2298">
        <v>-5.4719589999999999E-2</v>
      </c>
      <c r="W2298">
        <v>0.1575222</v>
      </c>
      <c r="X2298">
        <v>0.98599820000000005</v>
      </c>
      <c r="Y2298">
        <v>-0.24935789999999999</v>
      </c>
      <c r="Z2298">
        <v>-0.21468499999999999</v>
      </c>
      <c r="AA2298">
        <v>0.94431509999999996</v>
      </c>
      <c r="AB2298">
        <v>40</v>
      </c>
      <c r="AC2298">
        <v>16.607099999999999</v>
      </c>
      <c r="AD2298">
        <v>15.136886000000001</v>
      </c>
      <c r="AE2298">
        <v>-66.295959699999997</v>
      </c>
      <c r="AF2298">
        <v>-16.705358222008702</v>
      </c>
      <c r="AG2298">
        <v>15.136886000000001</v>
      </c>
      <c r="AH2298">
        <v>62.970396472266103</v>
      </c>
      <c r="AI2298">
        <v>76.919747143383603</v>
      </c>
      <c r="AJ2298">
        <v>104.857701917922</v>
      </c>
      <c r="AK2298">
        <v>66.883967757430597</v>
      </c>
      <c r="AL2298">
        <v>80.936894669732496</v>
      </c>
      <c r="AM2298">
        <v>93.176465048039105</v>
      </c>
      <c r="AN2298">
        <v>0.99999996371292299</v>
      </c>
    </row>
    <row r="2299" spans="1:40" x14ac:dyDescent="0.3">
      <c r="A2299" t="str">
        <f>"20200111150850346"</f>
        <v>20200111150850346</v>
      </c>
      <c r="B2299" t="str">
        <f>"1578726530336316"</f>
        <v>1578726530336316</v>
      </c>
      <c r="C2299" t="s">
        <v>40</v>
      </c>
      <c r="D2299">
        <v>5.1162769999999904</v>
      </c>
      <c r="E2299">
        <v>0.4669932</v>
      </c>
      <c r="F2299" t="s">
        <v>43</v>
      </c>
      <c r="G2299">
        <v>-420.5616</v>
      </c>
      <c r="H2299" s="1">
        <v>-2.334067E-6</v>
      </c>
      <c r="I2299">
        <v>44.681519999999999</v>
      </c>
      <c r="J2299">
        <v>-422.87509999999997</v>
      </c>
      <c r="K2299">
        <v>1.1119650000000001</v>
      </c>
      <c r="L2299">
        <v>66.533330000000007</v>
      </c>
      <c r="M2299">
        <v>-1.2015680000000001E-2</v>
      </c>
      <c r="N2299">
        <v>0</v>
      </c>
      <c r="O2299">
        <v>-0.99981529999999996</v>
      </c>
      <c r="P2299">
        <v>4.2080439999999997E-2</v>
      </c>
      <c r="Q2299">
        <v>0.1424347</v>
      </c>
      <c r="R2299">
        <v>-0.98890919999999904</v>
      </c>
      <c r="S2299">
        <v>0.31613160000000001</v>
      </c>
      <c r="T2299">
        <v>-0.15217159999999999</v>
      </c>
      <c r="U2299">
        <v>-3.0427249999999999</v>
      </c>
      <c r="V2299">
        <v>-5.4618720000000003E-2</v>
      </c>
      <c r="W2299">
        <v>0.1570183</v>
      </c>
      <c r="X2299">
        <v>0.98608419999999997</v>
      </c>
      <c r="Y2299">
        <v>-0.115159</v>
      </c>
      <c r="Z2299">
        <v>4.9644319999999999E-2</v>
      </c>
      <c r="AA2299">
        <v>0.99210580000000004</v>
      </c>
      <c r="AB2299">
        <v>40</v>
      </c>
      <c r="AC2299">
        <v>2.3134999999999701</v>
      </c>
      <c r="AD2299">
        <v>-1.11196733406699</v>
      </c>
      <c r="AE2299">
        <v>-21.85181</v>
      </c>
      <c r="AF2299">
        <v>-2.5693473735472101</v>
      </c>
      <c r="AG2299">
        <v>-1.11196733406699</v>
      </c>
      <c r="AH2299">
        <v>21.766691537168398</v>
      </c>
      <c r="AI2299">
        <v>92.904325615397696</v>
      </c>
      <c r="AJ2299">
        <v>96.7320607525063</v>
      </c>
      <c r="AK2299">
        <v>21.945999128593499</v>
      </c>
      <c r="AL2299">
        <v>80.966130161653595</v>
      </c>
      <c r="AM2299">
        <v>93.170345558096997</v>
      </c>
      <c r="AN2299">
        <v>1.00000000029948</v>
      </c>
    </row>
    <row r="2300" spans="1:40" x14ac:dyDescent="0.3">
      <c r="A2300" t="str">
        <f>"20200111150850368"</f>
        <v>20200111150850368</v>
      </c>
      <c r="B2300" t="str">
        <f>"1578726530365597"</f>
        <v>1578726530365597</v>
      </c>
      <c r="C2300" t="s">
        <v>40</v>
      </c>
      <c r="D2300">
        <v>4.3123480000000001</v>
      </c>
      <c r="E2300">
        <v>0.46873799999999999</v>
      </c>
      <c r="F2300" t="s">
        <v>43</v>
      </c>
      <c r="G2300">
        <v>-420.7183</v>
      </c>
      <c r="H2300" s="1">
        <v>-4.3527769999999996E-6</v>
      </c>
      <c r="I2300">
        <v>49.403199999999998</v>
      </c>
      <c r="J2300">
        <v>-422.87799999999999</v>
      </c>
      <c r="K2300">
        <v>1.1120840000000001</v>
      </c>
      <c r="L2300">
        <v>66.140379999999993</v>
      </c>
      <c r="M2300">
        <v>-9.9929909999999997E-3</v>
      </c>
      <c r="N2300">
        <v>0</v>
      </c>
      <c r="O2300">
        <v>-0.99983730000000004</v>
      </c>
      <c r="P2300">
        <v>4.3974840000000001E-2</v>
      </c>
      <c r="Q2300">
        <v>0.1423806</v>
      </c>
      <c r="R2300">
        <v>-0.98883469999999996</v>
      </c>
      <c r="S2300">
        <v>0.38348389999999999</v>
      </c>
      <c r="T2300">
        <v>-0.19771269999999999</v>
      </c>
      <c r="U2300">
        <v>-3.0458069999999999</v>
      </c>
      <c r="V2300">
        <v>-5.4559499999999997E-2</v>
      </c>
      <c r="W2300">
        <v>0.15696089999999999</v>
      </c>
      <c r="X2300">
        <v>0.98609659999999999</v>
      </c>
      <c r="Y2300">
        <v>-0.13457089999999999</v>
      </c>
      <c r="Z2300">
        <v>6.4224779999999995E-2</v>
      </c>
      <c r="AA2300">
        <v>0.98882040000000004</v>
      </c>
      <c r="AB2300">
        <v>40</v>
      </c>
      <c r="AC2300">
        <v>2.1597000000000399</v>
      </c>
      <c r="AD2300">
        <v>-1.112088352777</v>
      </c>
      <c r="AE2300">
        <v>-16.737179999999999</v>
      </c>
      <c r="AF2300">
        <v>-2.31680470631483</v>
      </c>
      <c r="AG2300">
        <v>-1.112088352777</v>
      </c>
      <c r="AH2300">
        <v>16.642489367146901</v>
      </c>
      <c r="AI2300">
        <v>93.786541973138696</v>
      </c>
      <c r="AJ2300">
        <v>97.925224738678807</v>
      </c>
      <c r="AK2300">
        <v>16.839738029054399</v>
      </c>
      <c r="AL2300">
        <v>80.9694600816226</v>
      </c>
      <c r="AM2300">
        <v>93.166875389372095</v>
      </c>
      <c r="AN2300">
        <v>0.99999998385030897</v>
      </c>
    </row>
    <row r="2301" spans="1:40" x14ac:dyDescent="0.3">
      <c r="A2301" t="str">
        <f>"20200111150850390"</f>
        <v>20200111150850390</v>
      </c>
      <c r="B2301" t="str">
        <f>"1578726530386104"</f>
        <v>1578726530386104</v>
      </c>
      <c r="C2301" t="s">
        <v>40</v>
      </c>
      <c r="D2301">
        <v>5.0662629999999904</v>
      </c>
      <c r="E2301">
        <v>0.44068279999999899</v>
      </c>
      <c r="F2301" t="s">
        <v>43</v>
      </c>
      <c r="G2301">
        <v>-420.93150000000003</v>
      </c>
      <c r="H2301" s="1">
        <v>-5.6087030000000005E-7</v>
      </c>
      <c r="I2301">
        <v>50.318770000000001</v>
      </c>
      <c r="J2301">
        <v>-422.88010000000003</v>
      </c>
      <c r="K2301">
        <v>1.112206</v>
      </c>
      <c r="L2301">
        <v>65.745669999999905</v>
      </c>
      <c r="M2301">
        <v>-7.8488039999999992E-3</v>
      </c>
      <c r="N2301">
        <v>0</v>
      </c>
      <c r="O2301">
        <v>-0.99985650000000004</v>
      </c>
      <c r="P2301">
        <v>4.6022559999999997E-2</v>
      </c>
      <c r="Q2301">
        <v>0.14259569999999999</v>
      </c>
      <c r="R2301">
        <v>-0.9887106</v>
      </c>
      <c r="S2301">
        <v>0.375</v>
      </c>
      <c r="T2301">
        <v>-0.21424319999999999</v>
      </c>
      <c r="U2301">
        <v>-3.048035</v>
      </c>
      <c r="V2301">
        <v>-5.4532740000000003E-2</v>
      </c>
      <c r="W2301">
        <v>0.15717039999999999</v>
      </c>
      <c r="X2301">
        <v>0.98606470000000002</v>
      </c>
      <c r="Y2301">
        <v>-0.12960079999999999</v>
      </c>
      <c r="Z2301">
        <v>6.9556069999999998E-2</v>
      </c>
      <c r="AA2301">
        <v>0.98912359999999999</v>
      </c>
      <c r="AB2301">
        <v>40</v>
      </c>
      <c r="AC2301">
        <v>1.9485999999999899</v>
      </c>
      <c r="AD2301">
        <v>-1.1122065608703</v>
      </c>
      <c r="AE2301">
        <v>-15.4268999999999</v>
      </c>
      <c r="AF2301">
        <v>-2.0591017505876801</v>
      </c>
      <c r="AG2301">
        <v>-1.1122065608703</v>
      </c>
      <c r="AH2301">
        <v>15.3326852150338</v>
      </c>
      <c r="AI2301">
        <v>94.112083502771497</v>
      </c>
      <c r="AJ2301">
        <v>97.648769095857602</v>
      </c>
      <c r="AK2301">
        <v>15.510259164715199</v>
      </c>
      <c r="AL2301">
        <v>80.957305663532495</v>
      </c>
      <c r="AM2301">
        <v>93.1654274721771</v>
      </c>
      <c r="AN2301">
        <v>0.99999997347707803</v>
      </c>
    </row>
    <row r="2302" spans="1:40" x14ac:dyDescent="0.3">
      <c r="A2302" t="str">
        <f>"20200111150850415"</f>
        <v>20200111150850415</v>
      </c>
      <c r="B2302" t="str">
        <f>"1578726530405612"</f>
        <v>1578726530405612</v>
      </c>
      <c r="C2302" t="s">
        <v>40</v>
      </c>
      <c r="D2302">
        <v>4.7683280000000003</v>
      </c>
      <c r="E2302">
        <v>0.44293440000000001</v>
      </c>
      <c r="F2302" t="s">
        <v>88</v>
      </c>
      <c r="G2302">
        <v>-409.34559999999999</v>
      </c>
      <c r="H2302">
        <v>11.00638</v>
      </c>
      <c r="I2302">
        <v>0.58577729999999995</v>
      </c>
      <c r="J2302">
        <v>-422.88119999999998</v>
      </c>
      <c r="K2302">
        <v>1.112344</v>
      </c>
      <c r="L2302">
        <v>65.314239999999998</v>
      </c>
      <c r="M2302">
        <v>-5.374546E-3</v>
      </c>
      <c r="N2302">
        <v>0</v>
      </c>
      <c r="O2302">
        <v>-0.9998726</v>
      </c>
      <c r="P2302">
        <v>4.8443510000000002E-2</v>
      </c>
      <c r="Q2302">
        <v>0.142794899999999</v>
      </c>
      <c r="R2302">
        <v>-0.98856619999999995</v>
      </c>
      <c r="S2302">
        <v>0.61096189999999995</v>
      </c>
      <c r="T2302">
        <v>0.44663510000000001</v>
      </c>
      <c r="U2302">
        <v>-2.9414060000000002</v>
      </c>
      <c r="V2302">
        <v>-5.4559749999999997E-2</v>
      </c>
      <c r="W2302">
        <v>0.15736069999999999</v>
      </c>
      <c r="X2302">
        <v>0.98603289999999999</v>
      </c>
      <c r="Y2302">
        <v>-0.20642089999999999</v>
      </c>
      <c r="Z2302">
        <v>-0.1469695</v>
      </c>
      <c r="AA2302">
        <v>0.96736259999999996</v>
      </c>
      <c r="AB2302">
        <v>40</v>
      </c>
      <c r="AC2302">
        <v>13.535599999999899</v>
      </c>
      <c r="AD2302">
        <v>9.8940359999999998</v>
      </c>
      <c r="AE2302">
        <v>-64.728462699999994</v>
      </c>
      <c r="AF2302">
        <v>-13.579347932746099</v>
      </c>
      <c r="AG2302">
        <v>9.8940359999999998</v>
      </c>
      <c r="AH2302">
        <v>63.2391255617312</v>
      </c>
      <c r="AI2302">
        <v>81.303023713100302</v>
      </c>
      <c r="AJ2302">
        <v>102.119102084194</v>
      </c>
      <c r="AK2302">
        <v>65.433001157369205</v>
      </c>
      <c r="AL2302">
        <v>80.946265295829804</v>
      </c>
      <c r="AM2302">
        <v>93.167094042862402</v>
      </c>
      <c r="AN2302">
        <v>1.00000001805348</v>
      </c>
    </row>
    <row r="2303" spans="1:40" x14ac:dyDescent="0.3">
      <c r="A2303" t="str">
        <f>"20200111150850435"</f>
        <v>20200111150850435</v>
      </c>
      <c r="B2303" t="str">
        <f>"1578726530426109"</f>
        <v>1578726530426109</v>
      </c>
      <c r="C2303" t="s">
        <v>40</v>
      </c>
      <c r="D2303">
        <v>4.7864409999999999</v>
      </c>
      <c r="E2303">
        <v>0.4452139</v>
      </c>
      <c r="F2303" t="s">
        <v>88</v>
      </c>
      <c r="G2303">
        <v>-409.80939999999998</v>
      </c>
      <c r="H2303">
        <v>7.1493890000000002</v>
      </c>
      <c r="I2303">
        <v>0.58104709999999904</v>
      </c>
      <c r="J2303">
        <v>-422.88130000000001</v>
      </c>
      <c r="K2303">
        <v>1.1124670000000001</v>
      </c>
      <c r="L2303">
        <v>64.953890000000001</v>
      </c>
      <c r="M2303">
        <v>-3.1915250000000002E-3</v>
      </c>
      <c r="N2303">
        <v>0</v>
      </c>
      <c r="O2303">
        <v>-0.9998821</v>
      </c>
      <c r="P2303">
        <v>5.0572590000000001E-2</v>
      </c>
      <c r="Q2303">
        <v>0.14238509999999999</v>
      </c>
      <c r="R2303">
        <v>-0.98851889999999998</v>
      </c>
      <c r="S2303">
        <v>0.59881589999999996</v>
      </c>
      <c r="T2303">
        <v>0.27655550000000001</v>
      </c>
      <c r="U2303">
        <v>-2.9654240000000001</v>
      </c>
      <c r="V2303">
        <v>-5.4574240000000003E-2</v>
      </c>
      <c r="W2303">
        <v>0.156943</v>
      </c>
      <c r="X2303">
        <v>0.98609860000000005</v>
      </c>
      <c r="Y2303">
        <v>-0.20024359999999999</v>
      </c>
      <c r="Z2303">
        <v>-9.1005370000000002E-2</v>
      </c>
      <c r="AA2303">
        <v>0.9755104</v>
      </c>
      <c r="AB2303">
        <v>39</v>
      </c>
      <c r="AC2303">
        <v>13.071899999999999</v>
      </c>
      <c r="AD2303">
        <v>6.0369219999999997</v>
      </c>
      <c r="AE2303">
        <v>-64.372842899999995</v>
      </c>
      <c r="AF2303">
        <v>-13.1660966994476</v>
      </c>
      <c r="AG2303">
        <v>6.0369219999999997</v>
      </c>
      <c r="AH2303">
        <v>63.791972126576098</v>
      </c>
      <c r="AI2303">
        <v>84.704890120983706</v>
      </c>
      <c r="AJ2303">
        <v>101.661596138975</v>
      </c>
      <c r="AK2303">
        <v>65.415642145676102</v>
      </c>
      <c r="AL2303">
        <v>80.970498246759206</v>
      </c>
      <c r="AM2303">
        <v>93.167722810484094</v>
      </c>
      <c r="AN2303">
        <v>0.99999995092126703</v>
      </c>
    </row>
    <row r="2304" spans="1:40" x14ac:dyDescent="0.3">
      <c r="A2304" t="str">
        <f>"20200111150850458"</f>
        <v>20200111150850458</v>
      </c>
      <c r="B2304" t="str">
        <f>"1578726530455389"</f>
        <v>1578726530455389</v>
      </c>
      <c r="C2304" t="s">
        <v>40</v>
      </c>
      <c r="D2304">
        <v>7.8325639999999996</v>
      </c>
      <c r="E2304">
        <v>0.44248270000000001</v>
      </c>
      <c r="F2304" t="s">
        <v>88</v>
      </c>
      <c r="G2304">
        <v>-410.23489999999998</v>
      </c>
      <c r="H2304">
        <v>4.3344680000000002</v>
      </c>
      <c r="I2304">
        <v>0.57671169999999905</v>
      </c>
      <c r="J2304">
        <v>-422.88040000000001</v>
      </c>
      <c r="K2304">
        <v>1.1126100000000001</v>
      </c>
      <c r="L2304">
        <v>64.561859999999996</v>
      </c>
      <c r="M2304">
        <v>-6.892752E-4</v>
      </c>
      <c r="N2304">
        <v>0</v>
      </c>
      <c r="O2304">
        <v>-0.99988679999999996</v>
      </c>
      <c r="P2304">
        <v>5.3316589999999997E-2</v>
      </c>
      <c r="Q2304">
        <v>0.14212929999999999</v>
      </c>
      <c r="R2304">
        <v>-0.98841120000000005</v>
      </c>
      <c r="S2304">
        <v>0.58605959999999901</v>
      </c>
      <c r="T2304">
        <v>0.14931269999999999</v>
      </c>
      <c r="U2304">
        <v>-2.983368</v>
      </c>
      <c r="V2304">
        <v>-5.4896340000000002E-2</v>
      </c>
      <c r="W2304">
        <v>0.15667500000000001</v>
      </c>
      <c r="X2304">
        <v>0.98612339999999998</v>
      </c>
      <c r="Y2304">
        <v>-0.1932026</v>
      </c>
      <c r="Z2304">
        <v>-4.904737E-2</v>
      </c>
      <c r="AA2304">
        <v>0.97993220000000003</v>
      </c>
      <c r="AB2304">
        <v>39</v>
      </c>
      <c r="AC2304">
        <v>12.6455</v>
      </c>
      <c r="AD2304">
        <v>3.2218580000000001</v>
      </c>
      <c r="AE2304">
        <v>-63.985148299999999</v>
      </c>
      <c r="AF2304">
        <v>-12.6587163310489</v>
      </c>
      <c r="AG2304">
        <v>3.2218580000000001</v>
      </c>
      <c r="AH2304">
        <v>63.820684564398199</v>
      </c>
      <c r="AI2304">
        <v>87.165126166087006</v>
      </c>
      <c r="AJ2304">
        <v>101.218901150406</v>
      </c>
      <c r="AK2304">
        <v>65.143712255217295</v>
      </c>
      <c r="AL2304">
        <v>80.986046411025697</v>
      </c>
      <c r="AM2304">
        <v>93.186300493847099</v>
      </c>
      <c r="AN2304">
        <v>1.00000001189897</v>
      </c>
    </row>
    <row r="2305" spans="1:40" x14ac:dyDescent="0.3">
      <c r="A2305" t="str">
        <f>"20200111150851139"</f>
        <v>20200111150851139</v>
      </c>
      <c r="B2305" t="str">
        <f>"1578726531135661"</f>
        <v>1578726531135661</v>
      </c>
      <c r="C2305" t="s">
        <v>40</v>
      </c>
      <c r="D2305">
        <v>4.7435219999999996</v>
      </c>
      <c r="E2305">
        <v>0.39305639999999997</v>
      </c>
      <c r="F2305" t="s">
        <v>88</v>
      </c>
      <c r="G2305">
        <v>-409.66480000000001</v>
      </c>
      <c r="H2305">
        <v>4.2433620000000003</v>
      </c>
      <c r="I2305">
        <v>0.58250809999999997</v>
      </c>
      <c r="J2305">
        <v>-422.08049999999997</v>
      </c>
      <c r="K2305">
        <v>1.1156079999999999</v>
      </c>
      <c r="L2305">
        <v>52.906649999999999</v>
      </c>
      <c r="M2305">
        <v>0.13645660000000001</v>
      </c>
      <c r="N2305">
        <v>0</v>
      </c>
      <c r="O2305">
        <v>-0.99053230000000003</v>
      </c>
      <c r="P2305">
        <v>0.19103780000000001</v>
      </c>
      <c r="Q2305">
        <v>0.13934070000000001</v>
      </c>
      <c r="R2305">
        <v>-0.97164229999999996</v>
      </c>
      <c r="S2305">
        <v>0.615753199999999</v>
      </c>
      <c r="T2305">
        <v>0.1458699</v>
      </c>
      <c r="U2305">
        <v>-2.980988</v>
      </c>
      <c r="V2305">
        <v>-5.8668749999999999E-2</v>
      </c>
      <c r="W2305">
        <v>0.15342039999999901</v>
      </c>
      <c r="X2305">
        <v>0.98641780000000001</v>
      </c>
      <c r="Y2305">
        <v>-6.6514879999999998E-2</v>
      </c>
      <c r="Z2305">
        <v>-4.763709E-2</v>
      </c>
      <c r="AA2305">
        <v>0.99664759999999997</v>
      </c>
      <c r="AB2305">
        <v>38</v>
      </c>
      <c r="AC2305">
        <v>12.4156999999999</v>
      </c>
      <c r="AD2305">
        <v>3.1277539999999999</v>
      </c>
      <c r="AE2305">
        <v>-52.324141900000001</v>
      </c>
      <c r="AF2305">
        <v>-5.1413666493726602</v>
      </c>
      <c r="AG2305">
        <v>3.1277539999999999</v>
      </c>
      <c r="AH2305">
        <v>53.348523168173202</v>
      </c>
      <c r="AI2305">
        <v>86.660103479830994</v>
      </c>
      <c r="AJ2305">
        <v>95.504775888748398</v>
      </c>
      <c r="AK2305">
        <v>53.686883131104899</v>
      </c>
      <c r="AL2305">
        <v>81.1748035188876</v>
      </c>
      <c r="AM2305">
        <v>93.403746832527005</v>
      </c>
      <c r="AN2305">
        <v>0.99999995875977998</v>
      </c>
    </row>
    <row r="2306" spans="1:40" x14ac:dyDescent="0.3">
      <c r="A2306" t="str">
        <f>"20200111150851228"</f>
        <v>20200111150851228</v>
      </c>
      <c r="B2306" t="str">
        <f>"1578726531226429"</f>
        <v>1578726531226429</v>
      </c>
      <c r="C2306" t="s">
        <v>40</v>
      </c>
      <c r="D2306">
        <v>6.4903060000000004</v>
      </c>
      <c r="E2306">
        <v>0.49403049999999998</v>
      </c>
      <c r="F2306" t="s">
        <v>89</v>
      </c>
      <c r="G2306">
        <v>-401.10750000000002</v>
      </c>
      <c r="H2306" s="1">
        <v>-6.3475779999999998E-6</v>
      </c>
      <c r="I2306">
        <v>11.21247</v>
      </c>
      <c r="J2306">
        <v>-421.84559999999999</v>
      </c>
      <c r="K2306">
        <v>1.115642</v>
      </c>
      <c r="L2306">
        <v>51.428220000000003</v>
      </c>
      <c r="M2306">
        <v>0.15733179999999999</v>
      </c>
      <c r="N2306">
        <v>0</v>
      </c>
      <c r="O2306">
        <v>-0.98743099999999995</v>
      </c>
      <c r="P2306">
        <v>0.2095622</v>
      </c>
      <c r="Q2306">
        <v>0.137969799999999</v>
      </c>
      <c r="R2306">
        <v>-0.96801250000000005</v>
      </c>
      <c r="S2306">
        <v>1.418274</v>
      </c>
      <c r="T2306">
        <v>-7.5442079999999995E-2</v>
      </c>
      <c r="U2306">
        <v>-2.8195190000000001</v>
      </c>
      <c r="V2306">
        <v>-5.6640740000000002E-2</v>
      </c>
      <c r="W2306">
        <v>0.15211129999999901</v>
      </c>
      <c r="X2306">
        <v>0.98673900000000003</v>
      </c>
      <c r="Y2306">
        <v>-0.30307299999999998</v>
      </c>
      <c r="Z2306">
        <v>2.4182510000000001E-2</v>
      </c>
      <c r="AA2306">
        <v>0.95266039999999996</v>
      </c>
      <c r="AB2306">
        <v>38</v>
      </c>
      <c r="AC2306">
        <v>20.7380999999999</v>
      </c>
      <c r="AD2306">
        <v>-1.1156483475779999</v>
      </c>
      <c r="AE2306">
        <v>-40.21575</v>
      </c>
      <c r="AF2306">
        <v>-14.143232695832401</v>
      </c>
      <c r="AG2306">
        <v>-1.1156483475779999</v>
      </c>
      <c r="AH2306">
        <v>42.951801292987597</v>
      </c>
      <c r="AI2306">
        <v>91.413276300160405</v>
      </c>
      <c r="AJ2306">
        <v>108.225756777896</v>
      </c>
      <c r="AK2306">
        <v>45.234200961619898</v>
      </c>
      <c r="AL2306">
        <v>81.250700090908694</v>
      </c>
      <c r="AM2306">
        <v>93.285284157613305</v>
      </c>
      <c r="AN2306">
        <v>0.99999993756821604</v>
      </c>
    </row>
    <row r="2307" spans="1:40" x14ac:dyDescent="0.3">
      <c r="A2307" t="str">
        <f>"20200111150851251"</f>
        <v>20200111150851251</v>
      </c>
      <c r="B2307" t="str">
        <f>"1578726531245951"</f>
        <v>1578726531245951</v>
      </c>
      <c r="C2307" t="s">
        <v>40</v>
      </c>
      <c r="D2307">
        <v>6.4745619999999997</v>
      </c>
      <c r="E2307">
        <v>0.40117229999999998</v>
      </c>
      <c r="F2307" t="s">
        <v>41</v>
      </c>
      <c r="G2307">
        <v>-421.65530000000001</v>
      </c>
      <c r="H2307">
        <v>0.92044440000000005</v>
      </c>
      <c r="I2307">
        <v>50.592080000000003</v>
      </c>
      <c r="J2307">
        <v>-421.78100000000001</v>
      </c>
      <c r="K2307">
        <v>1.1156629999999901</v>
      </c>
      <c r="L2307">
        <v>51.054380000000002</v>
      </c>
      <c r="M2307">
        <v>0.16266710000000001</v>
      </c>
      <c r="N2307">
        <v>0</v>
      </c>
      <c r="O2307">
        <v>-0.9865661</v>
      </c>
      <c r="P2307">
        <v>0.21419830000000001</v>
      </c>
      <c r="Q2307">
        <v>0.1384532</v>
      </c>
      <c r="R2307">
        <v>-0.96692829999999996</v>
      </c>
      <c r="S2307">
        <v>0.69512940000000001</v>
      </c>
      <c r="T2307">
        <v>-0.71233610000000003</v>
      </c>
      <c r="U2307">
        <v>-3.0501710000000002</v>
      </c>
      <c r="V2307">
        <v>-5.6055769999999998E-2</v>
      </c>
      <c r="W2307">
        <v>0.15260850000000001</v>
      </c>
      <c r="X2307">
        <v>0.98669569999999995</v>
      </c>
      <c r="Y2307">
        <v>-5.5099780000000001E-2</v>
      </c>
      <c r="Z2307">
        <v>0.2201428</v>
      </c>
      <c r="AA2307">
        <v>0.97391019999999995</v>
      </c>
      <c r="AB2307">
        <v>38</v>
      </c>
      <c r="AC2307">
        <v>0.12569999999999401</v>
      </c>
      <c r="AD2307">
        <v>-0.19521859999999899</v>
      </c>
      <c r="AE2307">
        <v>-0.46230000000000598</v>
      </c>
      <c r="AF2307">
        <v>-4.1864602363928402E-2</v>
      </c>
      <c r="AG2307">
        <v>-0.19521859999999899</v>
      </c>
      <c r="AH2307">
        <v>0.40872517046525197</v>
      </c>
      <c r="AI2307">
        <v>115.41436058317301</v>
      </c>
      <c r="AJ2307">
        <v>95.848255019604593</v>
      </c>
      <c r="AK2307">
        <v>0.454883734254039</v>
      </c>
      <c r="AL2307">
        <v>81.221876697318095</v>
      </c>
      <c r="AM2307">
        <v>93.251570199368203</v>
      </c>
      <c r="AN2307">
        <v>1.0000000040105099</v>
      </c>
    </row>
    <row r="2308" spans="1:40" x14ac:dyDescent="0.3">
      <c r="A2308" t="str">
        <f>"20200111150851265"</f>
        <v>20200111150851265</v>
      </c>
      <c r="B2308" t="str">
        <f>"1578726531255709"</f>
        <v>1578726531255709</v>
      </c>
      <c r="C2308" t="s">
        <v>40</v>
      </c>
      <c r="D2308">
        <v>8.6738099999999996</v>
      </c>
      <c r="E2308">
        <v>0.40117229999999998</v>
      </c>
      <c r="F2308" t="s">
        <v>89</v>
      </c>
      <c r="G2308">
        <v>-415.29640000000001</v>
      </c>
      <c r="H2308" s="1">
        <v>-2.128875E-6</v>
      </c>
      <c r="I2308">
        <v>38.215850000000003</v>
      </c>
      <c r="J2308">
        <v>-421.73880000000003</v>
      </c>
      <c r="K2308">
        <v>1.1156779999999999</v>
      </c>
      <c r="L2308">
        <v>50.816249999999997</v>
      </c>
      <c r="M2308">
        <v>0.16608979999999901</v>
      </c>
      <c r="N2308">
        <v>0</v>
      </c>
      <c r="O2308">
        <v>-0.98599559999999997</v>
      </c>
      <c r="P2308">
        <v>0.217087</v>
      </c>
      <c r="Q2308">
        <v>0.1391521</v>
      </c>
      <c r="R2308">
        <v>-0.96618309999999996</v>
      </c>
      <c r="S2308">
        <v>1.425354</v>
      </c>
      <c r="T2308">
        <v>-0.24522759999999999</v>
      </c>
      <c r="U2308">
        <v>-2.8219599999999998</v>
      </c>
      <c r="V2308">
        <v>-5.5609699999999998E-2</v>
      </c>
      <c r="W2308">
        <v>0.15331529999999999</v>
      </c>
      <c r="X2308">
        <v>0.98661140000000003</v>
      </c>
      <c r="Y2308">
        <v>-0.29492570000000001</v>
      </c>
      <c r="Z2308">
        <v>7.8204090000000004E-2</v>
      </c>
      <c r="AA2308">
        <v>0.95231449999999995</v>
      </c>
      <c r="AB2308">
        <v>38</v>
      </c>
      <c r="AC2308">
        <v>6.4424000000000197</v>
      </c>
      <c r="AD2308">
        <v>-1.115680128875</v>
      </c>
      <c r="AE2308">
        <v>-12.600399999999899</v>
      </c>
      <c r="AF2308">
        <v>-4.2335510799331404</v>
      </c>
      <c r="AG2308">
        <v>-1.115680128875</v>
      </c>
      <c r="AH2308">
        <v>13.4121279783192</v>
      </c>
      <c r="AI2308">
        <v>94.535568981688598</v>
      </c>
      <c r="AJ2308">
        <v>107.518351527928</v>
      </c>
      <c r="AK2308">
        <v>14.1086099174646</v>
      </c>
      <c r="AL2308">
        <v>81.180898099267395</v>
      </c>
      <c r="AM2308">
        <v>93.226025368349795</v>
      </c>
      <c r="AN2308">
        <v>1.0000000372790601</v>
      </c>
    </row>
    <row r="2309" spans="1:40" x14ac:dyDescent="0.3">
      <c r="A2309" t="str">
        <f>"20200111150851284"</f>
        <v>20200111150851284</v>
      </c>
      <c r="B2309" t="str">
        <f>"1578726531276207"</f>
        <v>1578726531276207</v>
      </c>
      <c r="C2309" t="s">
        <v>40</v>
      </c>
      <c r="D2309">
        <v>8.1923029999999901</v>
      </c>
      <c r="E2309">
        <v>0.4074641</v>
      </c>
      <c r="F2309" t="s">
        <v>89</v>
      </c>
      <c r="G2309">
        <v>-415.15469999999999</v>
      </c>
      <c r="H2309" s="1">
        <v>-2.3815610000000002E-6</v>
      </c>
      <c r="I2309">
        <v>37.877600000000001</v>
      </c>
      <c r="J2309">
        <v>-421.68020000000001</v>
      </c>
      <c r="K2309">
        <v>1.115702</v>
      </c>
      <c r="L2309">
        <v>50.493259999999999</v>
      </c>
      <c r="M2309">
        <v>0.17076839999999999</v>
      </c>
      <c r="N2309">
        <v>0</v>
      </c>
      <c r="O2309">
        <v>-0.98519599999999996</v>
      </c>
      <c r="P2309">
        <v>0.2216159</v>
      </c>
      <c r="Q2309">
        <v>0.14048929999999901</v>
      </c>
      <c r="R2309">
        <v>-0.96496059999999995</v>
      </c>
      <c r="S2309">
        <v>1.433899</v>
      </c>
      <c r="T2309">
        <v>-0.24297540000000001</v>
      </c>
      <c r="U2309">
        <v>-2.8178100000000001</v>
      </c>
      <c r="V2309">
        <v>-5.561207E-2</v>
      </c>
      <c r="W2309">
        <v>0.15465290000000001</v>
      </c>
      <c r="X2309">
        <v>0.98640249999999996</v>
      </c>
      <c r="Y2309">
        <v>-0.29327779999999998</v>
      </c>
      <c r="Z2309">
        <v>7.7467540000000001E-2</v>
      </c>
      <c r="AA2309">
        <v>0.95288349999999999</v>
      </c>
      <c r="AB2309">
        <v>38</v>
      </c>
      <c r="AC2309">
        <v>6.5255000000000196</v>
      </c>
      <c r="AD2309">
        <v>-1.1157043815609999</v>
      </c>
      <c r="AE2309">
        <v>-12.615659999999901</v>
      </c>
      <c r="AF2309">
        <v>-4.2488088470693999</v>
      </c>
      <c r="AG2309">
        <v>-1.1157043815609999</v>
      </c>
      <c r="AH2309">
        <v>13.461720278094599</v>
      </c>
      <c r="AI2309">
        <v>94.5190653404659</v>
      </c>
      <c r="AJ2309">
        <v>107.516818426912</v>
      </c>
      <c r="AK2309">
        <v>14.160334944189399</v>
      </c>
      <c r="AL2309">
        <v>81.103334357697094</v>
      </c>
      <c r="AM2309">
        <v>93.226844358166801</v>
      </c>
      <c r="AN2309">
        <v>1.0000000569071701</v>
      </c>
    </row>
    <row r="2310" spans="1:40" x14ac:dyDescent="0.3">
      <c r="A2310" t="str">
        <f>"20200111150851306"</f>
        <v>20200111150851306</v>
      </c>
      <c r="B2310" t="str">
        <f>"1578726531295724"</f>
        <v>1578726531295724</v>
      </c>
      <c r="C2310" t="s">
        <v>40</v>
      </c>
      <c r="D2310">
        <v>5.437519</v>
      </c>
      <c r="E2310">
        <v>0.34064709999999998</v>
      </c>
      <c r="F2310" t="s">
        <v>89</v>
      </c>
      <c r="G2310">
        <v>-415.64389999999997</v>
      </c>
      <c r="H2310" s="1">
        <v>-1.9878580000000002E-6</v>
      </c>
      <c r="I2310">
        <v>38.292230000000004</v>
      </c>
      <c r="J2310">
        <v>-421.61450000000002</v>
      </c>
      <c r="K2310">
        <v>1.1157300000000001</v>
      </c>
      <c r="L2310">
        <v>50.141689999999997</v>
      </c>
      <c r="M2310">
        <v>0.1759097</v>
      </c>
      <c r="N2310">
        <v>0</v>
      </c>
      <c r="O2310">
        <v>-0.98429089999999997</v>
      </c>
      <c r="P2310">
        <v>0.22675809999999999</v>
      </c>
      <c r="Q2310">
        <v>0.14066879999999901</v>
      </c>
      <c r="R2310">
        <v>-0.96373920000000002</v>
      </c>
      <c r="S2310">
        <v>1.397888</v>
      </c>
      <c r="T2310">
        <v>-0.2583762</v>
      </c>
      <c r="U2310">
        <v>-2.8255309999999998</v>
      </c>
      <c r="V2310">
        <v>-5.5739829999999997E-2</v>
      </c>
      <c r="W2310">
        <v>0.15483329999999901</v>
      </c>
      <c r="X2310">
        <v>0.98636690000000005</v>
      </c>
      <c r="Y2310">
        <v>-0.27730840000000001</v>
      </c>
      <c r="Z2310">
        <v>8.2453979999999996E-2</v>
      </c>
      <c r="AA2310">
        <v>0.95723630000000004</v>
      </c>
      <c r="AB2310">
        <v>38</v>
      </c>
      <c r="AC2310">
        <v>5.9706000000000401</v>
      </c>
      <c r="AD2310">
        <v>-1.1157319878580001</v>
      </c>
      <c r="AE2310">
        <v>-11.849460000000001</v>
      </c>
      <c r="AF2310">
        <v>-3.7661735673165002</v>
      </c>
      <c r="AG2310">
        <v>-1.1157319878580001</v>
      </c>
      <c r="AH2310">
        <v>12.6257731244512</v>
      </c>
      <c r="AI2310">
        <v>94.840385934431595</v>
      </c>
      <c r="AJ2310">
        <v>106.60944805341499</v>
      </c>
      <c r="AK2310">
        <v>13.2226725058892</v>
      </c>
      <c r="AL2310">
        <v>81.092871403474305</v>
      </c>
      <c r="AM2310">
        <v>93.234358289546904</v>
      </c>
      <c r="AN2310">
        <v>0.99999997042646405</v>
      </c>
    </row>
    <row r="2311" spans="1:40" x14ac:dyDescent="0.3">
      <c r="A2311" t="str">
        <f>"20200111150851329"</f>
        <v>20200111150851329</v>
      </c>
      <c r="B2311" t="str">
        <f>"1578726531325981"</f>
        <v>1578726531325981</v>
      </c>
      <c r="C2311" t="s">
        <v>40</v>
      </c>
      <c r="D2311">
        <v>5.4241000000000001</v>
      </c>
      <c r="E2311">
        <v>0.34178229999999998</v>
      </c>
      <c r="F2311" t="s">
        <v>88</v>
      </c>
      <c r="G2311">
        <v>-386.65339999999998</v>
      </c>
      <c r="H2311">
        <v>3.2398440000000002</v>
      </c>
      <c r="I2311">
        <v>2.1135640000000002</v>
      </c>
      <c r="J2311">
        <v>-421.54489999999998</v>
      </c>
      <c r="K2311">
        <v>1.1157589999999999</v>
      </c>
      <c r="L2311">
        <v>49.78058</v>
      </c>
      <c r="M2311">
        <v>0.18124409999999999</v>
      </c>
      <c r="N2311">
        <v>0</v>
      </c>
      <c r="O2311">
        <v>-0.98332249999999999</v>
      </c>
      <c r="P2311">
        <v>0.23171919999999999</v>
      </c>
      <c r="Q2311">
        <v>0.1399601</v>
      </c>
      <c r="R2311">
        <v>-0.96266169999999995</v>
      </c>
      <c r="S2311">
        <v>1.9240109999999999</v>
      </c>
      <c r="T2311">
        <v>0.1168946</v>
      </c>
      <c r="U2311">
        <v>-2.6431269999999998</v>
      </c>
      <c r="V2311">
        <v>-5.5455780000000003E-2</v>
      </c>
      <c r="W2311">
        <v>0.15413189999999999</v>
      </c>
      <c r="X2311">
        <v>0.98649279999999995</v>
      </c>
      <c r="Y2311">
        <v>-0.43182480000000001</v>
      </c>
      <c r="Z2311">
        <v>-3.6612690000000003E-2</v>
      </c>
      <c r="AA2311">
        <v>0.90121410000000002</v>
      </c>
      <c r="AB2311">
        <v>38</v>
      </c>
      <c r="AC2311">
        <v>34.891500000000001</v>
      </c>
      <c r="AD2311">
        <v>2.124085</v>
      </c>
      <c r="AE2311">
        <v>-47.667015999999997</v>
      </c>
      <c r="AF2311">
        <v>-25.640000705182501</v>
      </c>
      <c r="AG2311">
        <v>2.124085</v>
      </c>
      <c r="AH2311">
        <v>53.133280965292698</v>
      </c>
      <c r="AI2311">
        <v>87.938028236851594</v>
      </c>
      <c r="AJ2311">
        <v>115.76010176098499</v>
      </c>
      <c r="AK2311">
        <v>59.034455357746197</v>
      </c>
      <c r="AL2311">
        <v>81.133547355633794</v>
      </c>
      <c r="AM2311">
        <v>93.217500917119807</v>
      </c>
      <c r="AN2311">
        <v>1.00000001529242</v>
      </c>
    </row>
    <row r="2312" spans="1:40" x14ac:dyDescent="0.3">
      <c r="A2312" t="str">
        <f>"20200111150851385"</f>
        <v>20200111150851385</v>
      </c>
      <c r="B2312" t="str">
        <f>"1578726531375757"</f>
        <v>1578726531375757</v>
      </c>
      <c r="C2312" t="s">
        <v>40</v>
      </c>
      <c r="D2312">
        <v>4.3398899999999996</v>
      </c>
      <c r="E2312">
        <v>0.34238449999999998</v>
      </c>
      <c r="F2312" t="s">
        <v>88</v>
      </c>
      <c r="G2312">
        <v>-386.6062</v>
      </c>
      <c r="H2312">
        <v>3.9644349999999999</v>
      </c>
      <c r="I2312">
        <v>2.1140400000000001</v>
      </c>
      <c r="J2312">
        <v>-421.358</v>
      </c>
      <c r="K2312">
        <v>1.1158090000000001</v>
      </c>
      <c r="L2312">
        <v>48.858580000000003</v>
      </c>
      <c r="M2312">
        <v>0.1950751</v>
      </c>
      <c r="N2312">
        <v>0</v>
      </c>
      <c r="O2312">
        <v>-0.9806724</v>
      </c>
      <c r="P2312">
        <v>0.24553120000000001</v>
      </c>
      <c r="Q2312">
        <v>0.13763029999999901</v>
      </c>
      <c r="R2312">
        <v>-0.95956900000000001</v>
      </c>
      <c r="S2312">
        <v>1.9274290000000001</v>
      </c>
      <c r="T2312">
        <v>0.15714900000000001</v>
      </c>
      <c r="U2312">
        <v>-2.629578</v>
      </c>
      <c r="V2312">
        <v>-5.5669490000000002E-2</v>
      </c>
      <c r="W2312">
        <v>0.15179509999999999</v>
      </c>
      <c r="X2312">
        <v>0.98684300000000003</v>
      </c>
      <c r="Y2312">
        <v>-0.4217419</v>
      </c>
      <c r="Z2312">
        <v>-4.9299740000000002E-2</v>
      </c>
      <c r="AA2312">
        <v>0.90537469999999998</v>
      </c>
      <c r="AB2312">
        <v>37</v>
      </c>
      <c r="AC2312">
        <v>34.751800000000003</v>
      </c>
      <c r="AD2312">
        <v>2.8486259999999999</v>
      </c>
      <c r="AE2312">
        <v>-46.744539999999901</v>
      </c>
      <c r="AF2312">
        <v>-24.904706803790599</v>
      </c>
      <c r="AG2312">
        <v>2.8486259999999999</v>
      </c>
      <c r="AH2312">
        <v>52.500703825386999</v>
      </c>
      <c r="AI2312">
        <v>87.193450192827399</v>
      </c>
      <c r="AJ2312">
        <v>115.378213156995</v>
      </c>
      <c r="AK2312">
        <v>58.178028440569001</v>
      </c>
      <c r="AL2312">
        <v>81.269030203128096</v>
      </c>
      <c r="AM2312">
        <v>93.228730245762904</v>
      </c>
      <c r="AN2312">
        <v>0.99999997557493403</v>
      </c>
    </row>
    <row r="2313" spans="1:40" x14ac:dyDescent="0.3">
      <c r="A2313" t="str">
        <f>"20200111150851429"</f>
        <v>20200111150851429</v>
      </c>
      <c r="B2313" t="str">
        <f>"1578726531425532"</f>
        <v>1578726531425532</v>
      </c>
      <c r="C2313" t="s">
        <v>40</v>
      </c>
      <c r="D2313">
        <v>5.9752539999999996</v>
      </c>
      <c r="E2313">
        <v>0.54103129999999999</v>
      </c>
      <c r="F2313" t="s">
        <v>88</v>
      </c>
      <c r="G2313">
        <v>-386.15089999999998</v>
      </c>
      <c r="H2313">
        <v>3.9326140000000001</v>
      </c>
      <c r="I2313">
        <v>2.118671</v>
      </c>
      <c r="J2313">
        <v>-421.20429999999999</v>
      </c>
      <c r="K2313">
        <v>1.11581</v>
      </c>
      <c r="L2313">
        <v>48.147579999999998</v>
      </c>
      <c r="M2313">
        <v>0.20589180000000001</v>
      </c>
      <c r="N2313">
        <v>0</v>
      </c>
      <c r="O2313">
        <v>-0.97845890000000002</v>
      </c>
      <c r="P2313">
        <v>0.25426549999999998</v>
      </c>
      <c r="Q2313">
        <v>0.13566059999999999</v>
      </c>
      <c r="R2313">
        <v>-0.95757289999999995</v>
      </c>
      <c r="S2313">
        <v>1.9602360000000001</v>
      </c>
      <c r="T2313">
        <v>0.15683079999999999</v>
      </c>
      <c r="U2313">
        <v>-2.6023559999999999</v>
      </c>
      <c r="V2313">
        <v>-5.3686320000000003E-2</v>
      </c>
      <c r="W2313">
        <v>0.14981949999999999</v>
      </c>
      <c r="X2313">
        <v>0.98725469999999904</v>
      </c>
      <c r="Y2313">
        <v>-0.4235585</v>
      </c>
      <c r="Z2313">
        <v>-4.9253779999999997E-2</v>
      </c>
      <c r="AA2313">
        <v>0.90452880000000002</v>
      </c>
      <c r="AB2313">
        <v>37</v>
      </c>
      <c r="AC2313">
        <v>35.053400000000003</v>
      </c>
      <c r="AD2313">
        <v>2.8168039999999999</v>
      </c>
      <c r="AE2313">
        <v>-46.028908999999999</v>
      </c>
      <c r="AF2313">
        <v>-24.765449012806201</v>
      </c>
      <c r="AG2313">
        <v>2.8168039999999999</v>
      </c>
      <c r="AH2313">
        <v>52.136947782220602</v>
      </c>
      <c r="AI2313">
        <v>87.206110959399496</v>
      </c>
      <c r="AJ2313">
        <v>115.40807570357001</v>
      </c>
      <c r="AK2313">
        <v>57.788607645679797</v>
      </c>
      <c r="AL2313">
        <v>81.383533298344403</v>
      </c>
      <c r="AM2313">
        <v>93.112644476964405</v>
      </c>
      <c r="AN2313">
        <v>0.99999997310374</v>
      </c>
    </row>
    <row r="2314" spans="1:40" x14ac:dyDescent="0.3">
      <c r="A2314" t="str">
        <f>"20200111150851466"</f>
        <v>20200111150851466</v>
      </c>
      <c r="B2314" t="str">
        <f>"1578726531455789"</f>
        <v>1578726531455789</v>
      </c>
      <c r="C2314" t="s">
        <v>40</v>
      </c>
      <c r="D2314">
        <v>5.1043799999999999</v>
      </c>
      <c r="E2314">
        <v>0.53909580000000001</v>
      </c>
      <c r="F2314" t="s">
        <v>88</v>
      </c>
      <c r="G2314">
        <v>-413.99950000000001</v>
      </c>
      <c r="H2314">
        <v>2.94068</v>
      </c>
      <c r="I2314">
        <v>0.53842159999999994</v>
      </c>
      <c r="J2314">
        <v>-421.06849999999997</v>
      </c>
      <c r="K2314">
        <v>1.1158110000000001</v>
      </c>
      <c r="L2314">
        <v>47.549259999999997</v>
      </c>
      <c r="M2314">
        <v>0.21505369999999999</v>
      </c>
      <c r="N2314">
        <v>0</v>
      </c>
      <c r="O2314">
        <v>-0.97648760000000001</v>
      </c>
      <c r="P2314">
        <v>0.2621095</v>
      </c>
      <c r="Q2314">
        <v>0.13580149999999999</v>
      </c>
      <c r="R2314">
        <v>-0.95543540000000005</v>
      </c>
      <c r="S2314">
        <v>0.45343020000000001</v>
      </c>
      <c r="T2314">
        <v>0.1148453</v>
      </c>
      <c r="U2314">
        <v>-2.9962460000000002</v>
      </c>
      <c r="V2314">
        <v>-5.2535600000000002E-2</v>
      </c>
      <c r="W2314">
        <v>0.14989539999999901</v>
      </c>
      <c r="X2314">
        <v>0.98730510000000005</v>
      </c>
      <c r="Y2314">
        <v>6.6632319999999995E-2</v>
      </c>
      <c r="Z2314">
        <v>-3.6713570000000001E-2</v>
      </c>
      <c r="AA2314">
        <v>0.99710189999999999</v>
      </c>
      <c r="AB2314">
        <v>37</v>
      </c>
      <c r="AC2314">
        <v>7.0689999999999502</v>
      </c>
      <c r="AD2314">
        <v>1.8248690000000001</v>
      </c>
      <c r="AE2314">
        <v>-47.010838399999997</v>
      </c>
      <c r="AF2314">
        <v>3.2027036840205101</v>
      </c>
      <c r="AG2314">
        <v>1.8248690000000001</v>
      </c>
      <c r="AH2314">
        <v>47.361237058631602</v>
      </c>
      <c r="AI2314">
        <v>87.798459077098798</v>
      </c>
      <c r="AJ2314">
        <v>86.131383553300793</v>
      </c>
      <c r="AK2314">
        <v>47.5044654056721</v>
      </c>
      <c r="AL2314">
        <v>81.379135029703207</v>
      </c>
      <c r="AM2314">
        <v>93.045899434902594</v>
      </c>
      <c r="AN2314">
        <v>0.99999999034726506</v>
      </c>
    </row>
    <row r="2315" spans="1:40" x14ac:dyDescent="0.3">
      <c r="A2315" t="str">
        <f>"20200111150851486"</f>
        <v>20200111150851486</v>
      </c>
      <c r="B2315" t="str">
        <f>"1578726531476288"</f>
        <v>1578726531476288</v>
      </c>
      <c r="C2315" t="s">
        <v>40</v>
      </c>
      <c r="D2315">
        <v>8.1110249999999997</v>
      </c>
      <c r="E2315">
        <v>0.52482130000000005</v>
      </c>
      <c r="F2315" t="s">
        <v>88</v>
      </c>
      <c r="G2315">
        <v>-413.30860000000001</v>
      </c>
      <c r="H2315">
        <v>2.8701569999999998</v>
      </c>
      <c r="I2315">
        <v>0.5454483</v>
      </c>
      <c r="J2315">
        <v>-420.99650000000003</v>
      </c>
      <c r="K2315">
        <v>1.115804</v>
      </c>
      <c r="L2315">
        <v>47.241729999999997</v>
      </c>
      <c r="M2315">
        <v>0.2197771</v>
      </c>
      <c r="N2315">
        <v>0</v>
      </c>
      <c r="O2315">
        <v>-0.97543619999999998</v>
      </c>
      <c r="P2315">
        <v>0.26655000000000001</v>
      </c>
      <c r="Q2315">
        <v>0.135827799999999</v>
      </c>
      <c r="R2315">
        <v>-0.95420199999999999</v>
      </c>
      <c r="S2315">
        <v>0.49340820000000002</v>
      </c>
      <c r="T2315">
        <v>0.1115472</v>
      </c>
      <c r="U2315">
        <v>-2.9887079999999999</v>
      </c>
      <c r="V2315">
        <v>-5.2350399999999998E-2</v>
      </c>
      <c r="W2315">
        <v>0.14985770000000001</v>
      </c>
      <c r="X2315">
        <v>0.98732070000000005</v>
      </c>
      <c r="Y2315">
        <v>5.8069660000000002E-2</v>
      </c>
      <c r="Z2315">
        <v>-3.5664999999999898E-2</v>
      </c>
      <c r="AA2315">
        <v>0.99767519999999998</v>
      </c>
      <c r="AB2315">
        <v>37</v>
      </c>
      <c r="AC2315">
        <v>7.6879000000000097</v>
      </c>
      <c r="AD2315">
        <v>1.7543529999999901</v>
      </c>
      <c r="AE2315">
        <v>-46.6962817</v>
      </c>
      <c r="AF2315">
        <v>2.7602314249705602</v>
      </c>
      <c r="AG2315">
        <v>1.7543529999999901</v>
      </c>
      <c r="AH2315">
        <v>47.179283693939901</v>
      </c>
      <c r="AI2315">
        <v>87.874080021178202</v>
      </c>
      <c r="AJ2315">
        <v>86.651718138748095</v>
      </c>
      <c r="AK2315">
        <v>47.292509362913499</v>
      </c>
      <c r="AL2315">
        <v>81.381320098951207</v>
      </c>
      <c r="AM2315">
        <v>93.035134187941196</v>
      </c>
      <c r="AN2315">
        <v>1.00000002963896</v>
      </c>
    </row>
    <row r="2316" spans="1:40" x14ac:dyDescent="0.3">
      <c r="A2316" t="str">
        <f>"20200111150851509"</f>
        <v>20200111150851509</v>
      </c>
      <c r="B2316" t="str">
        <f>"1578726531505565"</f>
        <v>1578726531505565</v>
      </c>
      <c r="C2316" t="s">
        <v>40</v>
      </c>
      <c r="D2316">
        <v>6.3435300000000003</v>
      </c>
      <c r="E2316">
        <v>0.51578000000000002</v>
      </c>
      <c r="F2316" t="s">
        <v>88</v>
      </c>
      <c r="G2316">
        <v>-411.2482</v>
      </c>
      <c r="H2316">
        <v>4.2004099999999998</v>
      </c>
      <c r="I2316">
        <v>0.56640429999999997</v>
      </c>
      <c r="J2316">
        <v>-420.9076</v>
      </c>
      <c r="K2316">
        <v>1.115788</v>
      </c>
      <c r="L2316">
        <v>46.871670000000002</v>
      </c>
      <c r="M2316">
        <v>0.2254708</v>
      </c>
      <c r="N2316">
        <v>0</v>
      </c>
      <c r="O2316">
        <v>-0.97413740000000004</v>
      </c>
      <c r="P2316">
        <v>0.2721614</v>
      </c>
      <c r="Q2316">
        <v>0.1362283</v>
      </c>
      <c r="R2316">
        <v>-0.9525595</v>
      </c>
      <c r="S2316">
        <v>0.6149597</v>
      </c>
      <c r="T2316">
        <v>0.19458890000000001</v>
      </c>
      <c r="U2316">
        <v>-2.9444889999999999</v>
      </c>
      <c r="V2316">
        <v>-5.2413000000000001E-2</v>
      </c>
      <c r="W2316">
        <v>0.15015419999999999</v>
      </c>
      <c r="X2316">
        <v>0.98727229999999999</v>
      </c>
      <c r="Y2316">
        <v>2.197166E-2</v>
      </c>
      <c r="Z2316">
        <v>-6.2735650000000004E-2</v>
      </c>
      <c r="AA2316">
        <v>0.99778829999999996</v>
      </c>
      <c r="AB2316">
        <v>37</v>
      </c>
      <c r="AC2316">
        <v>9.6593999999999998</v>
      </c>
      <c r="AD2316">
        <v>3.0846219999999902</v>
      </c>
      <c r="AE2316">
        <v>-46.3052657</v>
      </c>
      <c r="AF2316">
        <v>1.0266496994890699</v>
      </c>
      <c r="AG2316">
        <v>3.0846219999999902</v>
      </c>
      <c r="AH2316">
        <v>47.090535632864999</v>
      </c>
      <c r="AI2316">
        <v>86.253134900151807</v>
      </c>
      <c r="AJ2316">
        <v>88.751057362030593</v>
      </c>
      <c r="AK2316">
        <v>47.202621205590603</v>
      </c>
      <c r="AL2316">
        <v>81.364137226170399</v>
      </c>
      <c r="AM2316">
        <v>93.038905460757306</v>
      </c>
      <c r="AN2316">
        <v>1.00000000034696</v>
      </c>
    </row>
    <row r="2317" spans="1:40" x14ac:dyDescent="0.3">
      <c r="A2317" t="str">
        <f>"20200111150851531"</f>
        <v>20200111150851531</v>
      </c>
      <c r="B2317" t="str">
        <f>"1578726531526061"</f>
        <v>1578726531526061</v>
      </c>
      <c r="C2317" t="s">
        <v>40</v>
      </c>
      <c r="D2317">
        <v>5.0738669999999999</v>
      </c>
      <c r="E2317">
        <v>0.51809129999999903</v>
      </c>
      <c r="F2317" t="s">
        <v>88</v>
      </c>
      <c r="G2317">
        <v>-410.10079999999999</v>
      </c>
      <c r="H2317">
        <v>3.4191020000000001</v>
      </c>
      <c r="I2317">
        <v>1.8750990000000001</v>
      </c>
      <c r="J2317">
        <v>-420.81950000000001</v>
      </c>
      <c r="K2317">
        <v>1.115769</v>
      </c>
      <c r="L2317">
        <v>46.513399999999997</v>
      </c>
      <c r="M2317">
        <v>0.2309882</v>
      </c>
      <c r="N2317">
        <v>0</v>
      </c>
      <c r="O2317">
        <v>-0.97284570000000004</v>
      </c>
      <c r="P2317">
        <v>0.27741650000000001</v>
      </c>
      <c r="Q2317">
        <v>0.13674720000000001</v>
      </c>
      <c r="R2317">
        <v>-0.95096800000000004</v>
      </c>
      <c r="S2317">
        <v>0.70300289999999999</v>
      </c>
      <c r="T2317">
        <v>0.14983379999999999</v>
      </c>
      <c r="U2317">
        <v>-2.9271240000000001</v>
      </c>
      <c r="V2317">
        <v>-5.2291530000000003E-2</v>
      </c>
      <c r="W2317">
        <v>0.1505639</v>
      </c>
      <c r="X2317">
        <v>0.98721639999999999</v>
      </c>
      <c r="Y2317">
        <v>-2.3043310000000002E-3</v>
      </c>
      <c r="Z2317">
        <v>-4.838137E-2</v>
      </c>
      <c r="AA2317">
        <v>0.99882629999999994</v>
      </c>
      <c r="AB2317">
        <v>37</v>
      </c>
      <c r="AC2317">
        <v>10.7187</v>
      </c>
      <c r="AD2317">
        <v>2.3033329999999901</v>
      </c>
      <c r="AE2317">
        <v>-44.638300999999998</v>
      </c>
      <c r="AF2317">
        <v>-0.11643986977887</v>
      </c>
      <c r="AG2317">
        <v>2.3033329999999901</v>
      </c>
      <c r="AH2317">
        <v>45.791747452524099</v>
      </c>
      <c r="AI2317">
        <v>87.120448342263899</v>
      </c>
      <c r="AJ2317">
        <v>90.145692162834393</v>
      </c>
      <c r="AK2317">
        <v>45.849787741143501</v>
      </c>
      <c r="AL2317">
        <v>81.340393698160199</v>
      </c>
      <c r="AM2317">
        <v>93.032047142041307</v>
      </c>
      <c r="AN2317">
        <v>1.0000000562609499</v>
      </c>
    </row>
    <row r="2318" spans="1:40" x14ac:dyDescent="0.3">
      <c r="A2318" t="str">
        <f>"20200111150851553"</f>
        <v>20200111150851553</v>
      </c>
      <c r="B2318" t="str">
        <f>"1578726531546089"</f>
        <v>1578726531546089</v>
      </c>
      <c r="C2318" t="s">
        <v>40</v>
      </c>
      <c r="D2318">
        <v>5.0585329999999997</v>
      </c>
      <c r="E2318">
        <v>0.52122460000000004</v>
      </c>
      <c r="F2318" t="s">
        <v>88</v>
      </c>
      <c r="G2318">
        <v>-410.0942</v>
      </c>
      <c r="H2318">
        <v>3.128295</v>
      </c>
      <c r="I2318">
        <v>1.7420899999999999</v>
      </c>
      <c r="J2318">
        <v>-420.72840000000002</v>
      </c>
      <c r="K2318">
        <v>1.1157539999999999</v>
      </c>
      <c r="L2318">
        <v>46.15204</v>
      </c>
      <c r="M2318">
        <v>0.23655680000000001</v>
      </c>
      <c r="N2318">
        <v>0</v>
      </c>
      <c r="O2318">
        <v>-0.97150829999999999</v>
      </c>
      <c r="P2318">
        <v>0.28282069999999998</v>
      </c>
      <c r="Q2318">
        <v>0.13661019999999999</v>
      </c>
      <c r="R2318">
        <v>-0.94939450000000003</v>
      </c>
      <c r="S2318">
        <v>0.70211789999999996</v>
      </c>
      <c r="T2318">
        <v>0.13174620000000001</v>
      </c>
      <c r="U2318">
        <v>-2.9309080000000001</v>
      </c>
      <c r="V2318">
        <v>-5.2243150000000002E-2</v>
      </c>
      <c r="W2318">
        <v>0.15031729999999999</v>
      </c>
      <c r="X2318">
        <v>0.98725649999999998</v>
      </c>
      <c r="Y2318">
        <v>3.9366449999999999E-3</v>
      </c>
      <c r="Z2318">
        <v>-4.2413119999999999E-2</v>
      </c>
      <c r="AA2318">
        <v>0.99909239999999999</v>
      </c>
      <c r="AB2318">
        <v>37</v>
      </c>
      <c r="AC2318">
        <v>10.6342</v>
      </c>
      <c r="AD2318">
        <v>2.0125410000000001</v>
      </c>
      <c r="AE2318">
        <v>-44.409950000000002</v>
      </c>
      <c r="AF2318">
        <v>0.173942767104453</v>
      </c>
      <c r="AG2318">
        <v>2.0125410000000001</v>
      </c>
      <c r="AH2318">
        <v>45.576556580786601</v>
      </c>
      <c r="AI2318">
        <v>87.471629786157095</v>
      </c>
      <c r="AJ2318">
        <v>89.781331921671395</v>
      </c>
      <c r="AK2318">
        <v>45.621300804827499</v>
      </c>
      <c r="AL2318">
        <v>81.354685149612195</v>
      </c>
      <c r="AM2318">
        <v>93.029124314658304</v>
      </c>
      <c r="AN2318">
        <v>1.00000001709673</v>
      </c>
    </row>
    <row r="2319" spans="1:40" x14ac:dyDescent="0.3">
      <c r="A2319" t="str">
        <f>"20200111150851575"</f>
        <v>20200111150851575</v>
      </c>
      <c r="B2319" t="str">
        <f>"1578726531565609"</f>
        <v>1578726531565609</v>
      </c>
      <c r="C2319" t="s">
        <v>40</v>
      </c>
      <c r="D2319">
        <v>8.0546729999999993</v>
      </c>
      <c r="E2319">
        <v>0.52149449999999997</v>
      </c>
      <c r="F2319" t="s">
        <v>88</v>
      </c>
      <c r="G2319">
        <v>-409.94080000000002</v>
      </c>
      <c r="H2319">
        <v>2.9687399999999999</v>
      </c>
      <c r="I2319">
        <v>0.57969669999999995</v>
      </c>
      <c r="J2319">
        <v>-420.6395</v>
      </c>
      <c r="K2319">
        <v>1.1157360000000001</v>
      </c>
      <c r="L2319">
        <v>45.80762</v>
      </c>
      <c r="M2319">
        <v>0.24186879999999999</v>
      </c>
      <c r="N2319">
        <v>0</v>
      </c>
      <c r="O2319">
        <v>-0.97020119999999999</v>
      </c>
      <c r="P2319">
        <v>0.28807460000000001</v>
      </c>
      <c r="Q2319">
        <v>0.136238</v>
      </c>
      <c r="R2319">
        <v>-0.94786720000000002</v>
      </c>
      <c r="S2319">
        <v>0.69491579999999997</v>
      </c>
      <c r="T2319">
        <v>0.1193647</v>
      </c>
      <c r="U2319">
        <v>-2.9356990000000001</v>
      </c>
      <c r="V2319">
        <v>-5.2289299999999997E-2</v>
      </c>
      <c r="W2319">
        <v>0.149845899999999</v>
      </c>
      <c r="X2319">
        <v>0.98732569999999997</v>
      </c>
      <c r="Y2319">
        <v>1.2057500000000001E-2</v>
      </c>
      <c r="Z2319">
        <v>-3.8304499999999998E-2</v>
      </c>
      <c r="AA2319">
        <v>0.99919340000000001</v>
      </c>
      <c r="AB2319">
        <v>37</v>
      </c>
      <c r="AC2319">
        <v>10.698699999999899</v>
      </c>
      <c r="AD2319">
        <v>1.8530040000000001</v>
      </c>
      <c r="AE2319">
        <v>-45.227923299999901</v>
      </c>
      <c r="AF2319">
        <v>0.55850264086224199</v>
      </c>
      <c r="AG2319">
        <v>1.8530040000000001</v>
      </c>
      <c r="AH2319">
        <v>46.398969759184602</v>
      </c>
      <c r="AI2319">
        <v>87.713198345308996</v>
      </c>
      <c r="AJ2319">
        <v>89.3103661784004</v>
      </c>
      <c r="AK2319">
        <v>46.439314634666999</v>
      </c>
      <c r="AL2319">
        <v>81.382003663983497</v>
      </c>
      <c r="AM2319">
        <v>93.031583063480198</v>
      </c>
      <c r="AN2319">
        <v>1.0000000012608901</v>
      </c>
    </row>
    <row r="2320" spans="1:40" x14ac:dyDescent="0.3">
      <c r="A2320" t="str">
        <f>"20200111150851597"</f>
        <v>20200111150851597</v>
      </c>
      <c r="B2320" t="str">
        <f>"1578726531586105"</f>
        <v>1578726531586105</v>
      </c>
      <c r="C2320" t="s">
        <v>40</v>
      </c>
      <c r="D2320">
        <v>5.9259690000000003</v>
      </c>
      <c r="E2320">
        <v>0.52330109999999996</v>
      </c>
      <c r="F2320" t="s">
        <v>88</v>
      </c>
      <c r="G2320">
        <v>-409.70499999999998</v>
      </c>
      <c r="H2320">
        <v>2.6644030000000001</v>
      </c>
      <c r="I2320">
        <v>0.58209609999999901</v>
      </c>
      <c r="J2320">
        <v>-420.54739999999998</v>
      </c>
      <c r="K2320">
        <v>1.11572</v>
      </c>
      <c r="L2320">
        <v>45.458500000000001</v>
      </c>
      <c r="M2320">
        <v>0.24725440000000001</v>
      </c>
      <c r="N2320">
        <v>0</v>
      </c>
      <c r="O2320">
        <v>-0.96884400000000004</v>
      </c>
      <c r="P2320">
        <v>0.29386200000000001</v>
      </c>
      <c r="Q2320">
        <v>0.13681579999999999</v>
      </c>
      <c r="R2320">
        <v>-0.94600550000000005</v>
      </c>
      <c r="S2320">
        <v>0.70959469999999902</v>
      </c>
      <c r="T2320">
        <v>0.1004988</v>
      </c>
      <c r="U2320">
        <v>-2.9349059999999998</v>
      </c>
      <c r="V2320">
        <v>-5.2866370000000003E-2</v>
      </c>
      <c r="W2320">
        <v>0.15032390000000001</v>
      </c>
      <c r="X2320">
        <v>0.9872223</v>
      </c>
      <c r="Y2320">
        <v>1.277209E-2</v>
      </c>
      <c r="Z2320">
        <v>-3.2180090000000001E-2</v>
      </c>
      <c r="AA2320">
        <v>0.99940050000000002</v>
      </c>
      <c r="AB2320">
        <v>37</v>
      </c>
      <c r="AC2320">
        <v>10.8423999999999</v>
      </c>
      <c r="AD2320">
        <v>1.548683</v>
      </c>
      <c r="AE2320">
        <v>-44.8764039</v>
      </c>
      <c r="AF2320">
        <v>0.59069053863153198</v>
      </c>
      <c r="AG2320">
        <v>1.548683</v>
      </c>
      <c r="AH2320">
        <v>46.111946345026503</v>
      </c>
      <c r="AI2320">
        <v>88.076585454720302</v>
      </c>
      <c r="AJ2320">
        <v>89.266085547855198</v>
      </c>
      <c r="AK2320">
        <v>46.141726561470598</v>
      </c>
      <c r="AL2320">
        <v>81.354302491885406</v>
      </c>
      <c r="AM2320">
        <v>93.065296885742001</v>
      </c>
      <c r="AN2320">
        <v>0.99999999880273804</v>
      </c>
    </row>
    <row r="2321" spans="1:40" x14ac:dyDescent="0.3">
      <c r="A2321" t="str">
        <f>"20200111150851631"</f>
        <v>20200111150851631</v>
      </c>
      <c r="B2321" t="str">
        <f>"1578726531626124"</f>
        <v>1578726531626124</v>
      </c>
      <c r="C2321" t="s">
        <v>40</v>
      </c>
      <c r="D2321">
        <v>7.2630549999999996</v>
      </c>
      <c r="E2321">
        <v>0.4860351</v>
      </c>
      <c r="F2321" t="s">
        <v>88</v>
      </c>
      <c r="G2321">
        <v>-409.64069999999998</v>
      </c>
      <c r="H2321">
        <v>2.798441</v>
      </c>
      <c r="I2321">
        <v>0.58274649999999995</v>
      </c>
      <c r="J2321">
        <v>-420.4</v>
      </c>
      <c r="K2321">
        <v>1.1157079999999999</v>
      </c>
      <c r="L2321">
        <v>44.91592</v>
      </c>
      <c r="M2321">
        <v>0.2556194</v>
      </c>
      <c r="N2321">
        <v>0</v>
      </c>
      <c r="O2321">
        <v>-0.96667210000000003</v>
      </c>
      <c r="P2321">
        <v>0.30403210000000003</v>
      </c>
      <c r="Q2321">
        <v>0.13729259999999999</v>
      </c>
      <c r="R2321">
        <v>-0.94271709999999997</v>
      </c>
      <c r="S2321">
        <v>0.71304319999999999</v>
      </c>
      <c r="T2321">
        <v>0.11000939999999999</v>
      </c>
      <c r="U2321">
        <v>-2.9338380000000002</v>
      </c>
      <c r="V2321">
        <v>-5.4991119999999998E-2</v>
      </c>
      <c r="W2321">
        <v>0.1506652</v>
      </c>
      <c r="X2321">
        <v>0.98705419999999999</v>
      </c>
      <c r="Y2321">
        <v>2.024604E-2</v>
      </c>
      <c r="Z2321">
        <v>-3.5108460000000001E-2</v>
      </c>
      <c r="AA2321">
        <v>0.99917840000000002</v>
      </c>
      <c r="AB2321">
        <v>37</v>
      </c>
      <c r="AC2321">
        <v>10.7592999999999</v>
      </c>
      <c r="AD2321">
        <v>1.682733</v>
      </c>
      <c r="AE2321">
        <v>-44.333173500000001</v>
      </c>
      <c r="AF2321">
        <v>0.93053298027117004</v>
      </c>
      <c r="AG2321">
        <v>1.682733</v>
      </c>
      <c r="AH2321">
        <v>45.548603419542701</v>
      </c>
      <c r="AI2321">
        <v>87.884686274438806</v>
      </c>
      <c r="AJ2321">
        <v>88.829641459674207</v>
      </c>
      <c r="AK2321">
        <v>45.589173664889302</v>
      </c>
      <c r="AL2321">
        <v>81.334522256455202</v>
      </c>
      <c r="AM2321">
        <v>93.188786693013498</v>
      </c>
      <c r="AN2321">
        <v>1.00000000975376</v>
      </c>
    </row>
    <row r="2322" spans="1:40" x14ac:dyDescent="0.3">
      <c r="A2322" t="str">
        <f>"20200111150851653"</f>
        <v>20200111150851653</v>
      </c>
      <c r="B2322" t="str">
        <f>"1578726531645641"</f>
        <v>1578726531645641</v>
      </c>
      <c r="C2322" t="s">
        <v>40</v>
      </c>
      <c r="D2322">
        <v>4.8612960000000003</v>
      </c>
      <c r="E2322">
        <v>0.48631679999999999</v>
      </c>
      <c r="F2322" t="s">
        <v>88</v>
      </c>
      <c r="G2322">
        <v>-404.22739999999999</v>
      </c>
      <c r="H2322">
        <v>9.3869179999999997</v>
      </c>
      <c r="I2322">
        <v>0.63782499999999998</v>
      </c>
      <c r="J2322">
        <v>-420.30290000000002</v>
      </c>
      <c r="K2322">
        <v>1.1157109999999999</v>
      </c>
      <c r="L2322">
        <v>44.568150000000003</v>
      </c>
      <c r="M2322">
        <v>0.2609784</v>
      </c>
      <c r="N2322">
        <v>0</v>
      </c>
      <c r="O2322">
        <v>-0.96523970000000003</v>
      </c>
      <c r="P2322">
        <v>0.30986459999999999</v>
      </c>
      <c r="Q2322">
        <v>0.1356011</v>
      </c>
      <c r="R2322">
        <v>-0.94106140000000005</v>
      </c>
      <c r="S2322">
        <v>1.015137</v>
      </c>
      <c r="T2322">
        <v>0.51917449999999998</v>
      </c>
      <c r="U2322">
        <v>-2.7792970000000001</v>
      </c>
      <c r="V2322">
        <v>-5.5541060000000003E-2</v>
      </c>
      <c r="W2322">
        <v>0.148926</v>
      </c>
      <c r="X2322">
        <v>0.98728729999999998</v>
      </c>
      <c r="Y2322">
        <v>-8.0932980000000002E-2</v>
      </c>
      <c r="Z2322">
        <v>-0.16876140000000001</v>
      </c>
      <c r="AA2322">
        <v>0.9823286</v>
      </c>
      <c r="AB2322">
        <v>37</v>
      </c>
      <c r="AC2322">
        <v>16.075500000000002</v>
      </c>
      <c r="AD2322">
        <v>8.2712070000000004</v>
      </c>
      <c r="AE2322">
        <v>-43.930325000000003</v>
      </c>
      <c r="AF2322">
        <v>-3.92940988484402</v>
      </c>
      <c r="AG2322">
        <v>8.2712070000000004</v>
      </c>
      <c r="AH2322">
        <v>45.190576084654801</v>
      </c>
      <c r="AI2322">
        <v>79.666134308784194</v>
      </c>
      <c r="AJ2322">
        <v>94.969482228063001</v>
      </c>
      <c r="AK2322">
        <v>46.109015323935701</v>
      </c>
      <c r="AL2322">
        <v>81.435308069208105</v>
      </c>
      <c r="AM2322">
        <v>93.219850641146493</v>
      </c>
      <c r="AN2322">
        <v>0.99999998778160604</v>
      </c>
    </row>
    <row r="2323" spans="1:40" x14ac:dyDescent="0.3">
      <c r="A2323" t="str">
        <f>"20200111150851675"</f>
        <v>20200111150851675</v>
      </c>
      <c r="B2323" t="str">
        <f>"1578726531666137"</f>
        <v>1578726531666137</v>
      </c>
      <c r="C2323" t="s">
        <v>40</v>
      </c>
      <c r="D2323">
        <v>5.107202</v>
      </c>
      <c r="E2323">
        <v>0.49570570000000003</v>
      </c>
      <c r="F2323" t="s">
        <v>88</v>
      </c>
      <c r="G2323">
        <v>-403.98770000000002</v>
      </c>
      <c r="H2323">
        <v>9.6882850000000005</v>
      </c>
      <c r="I2323">
        <v>0.64026260000000002</v>
      </c>
      <c r="J2323">
        <v>-420.20330000000001</v>
      </c>
      <c r="K2323">
        <v>1.1157159999999999</v>
      </c>
      <c r="L2323">
        <v>44.21875</v>
      </c>
      <c r="M2323">
        <v>0.26636179999999998</v>
      </c>
      <c r="N2323">
        <v>0</v>
      </c>
      <c r="O2323">
        <v>-0.96376850000000003</v>
      </c>
      <c r="P2323">
        <v>0.313768099999999</v>
      </c>
      <c r="Q2323">
        <v>0.13438320000000001</v>
      </c>
      <c r="R2323">
        <v>-0.93994219999999895</v>
      </c>
      <c r="S2323">
        <v>1.0292049999999999</v>
      </c>
      <c r="T2323">
        <v>0.54077889999999995</v>
      </c>
      <c r="U2323">
        <v>-2.7710880000000002</v>
      </c>
      <c r="V2323">
        <v>-5.406246E-2</v>
      </c>
      <c r="W2323">
        <v>0.1477009</v>
      </c>
      <c r="X2323">
        <v>0.98755340000000003</v>
      </c>
      <c r="Y2323">
        <v>-8.0266829999999997E-2</v>
      </c>
      <c r="Z2323">
        <v>-0.17549609999999999</v>
      </c>
      <c r="AA2323">
        <v>0.98120249999999998</v>
      </c>
      <c r="AB2323">
        <v>37</v>
      </c>
      <c r="AC2323">
        <v>16.215599999999899</v>
      </c>
      <c r="AD2323">
        <v>8.5725689999999997</v>
      </c>
      <c r="AE2323">
        <v>-43.5784874</v>
      </c>
      <c r="AF2323">
        <v>-3.8886670584157299</v>
      </c>
      <c r="AG2323">
        <v>8.5725689999999997</v>
      </c>
      <c r="AH2323">
        <v>44.800655102693703</v>
      </c>
      <c r="AI2323">
        <v>79.207064928346796</v>
      </c>
      <c r="AJ2323">
        <v>94.960802043131594</v>
      </c>
      <c r="AK2323">
        <v>45.778918383700201</v>
      </c>
      <c r="AL2323">
        <v>81.506286327235998</v>
      </c>
      <c r="AM2323">
        <v>93.133462963354603</v>
      </c>
      <c r="AN2323">
        <v>1.00000001164681</v>
      </c>
    </row>
    <row r="2324" spans="1:40" x14ac:dyDescent="0.3">
      <c r="A2324" t="str">
        <f>"20200111150851698"</f>
        <v>20200111150851698</v>
      </c>
      <c r="B2324" t="str">
        <f>"1578726531696393"</f>
        <v>1578726531696393</v>
      </c>
      <c r="C2324" t="s">
        <v>40</v>
      </c>
      <c r="D2324">
        <v>7.2314009999999902</v>
      </c>
      <c r="E2324">
        <v>0.49718990000000002</v>
      </c>
      <c r="F2324" t="s">
        <v>88</v>
      </c>
      <c r="G2324">
        <v>-405.52539999999999</v>
      </c>
      <c r="H2324">
        <v>8.3193179999999902</v>
      </c>
      <c r="I2324">
        <v>1.9216500000000001</v>
      </c>
      <c r="J2324">
        <v>-420.09800000000001</v>
      </c>
      <c r="K2324">
        <v>1.1157189999999999</v>
      </c>
      <c r="L2324">
        <v>43.857030000000002</v>
      </c>
      <c r="M2324">
        <v>0.2719394</v>
      </c>
      <c r="N2324">
        <v>0</v>
      </c>
      <c r="O2324">
        <v>-0.96220989999999995</v>
      </c>
      <c r="P2324">
        <v>0.31787739999999998</v>
      </c>
      <c r="Q2324">
        <v>0.13432529999999901</v>
      </c>
      <c r="R2324">
        <v>-0.93856839999999997</v>
      </c>
      <c r="S2324">
        <v>0.97140499999999996</v>
      </c>
      <c r="T2324">
        <v>0.47674309999999998</v>
      </c>
      <c r="U2324">
        <v>-2.7992859999999999</v>
      </c>
      <c r="V2324">
        <v>-5.2658190000000001E-2</v>
      </c>
      <c r="W2324">
        <v>0.14763860000000001</v>
      </c>
      <c r="X2324">
        <v>0.98763860000000003</v>
      </c>
      <c r="Y2324">
        <v>-5.4477379999999999E-2</v>
      </c>
      <c r="Z2324">
        <v>-0.15412339999999999</v>
      </c>
      <c r="AA2324">
        <v>0.98654869999999995</v>
      </c>
      <c r="AB2324">
        <v>37</v>
      </c>
      <c r="AC2324">
        <v>14.5726</v>
      </c>
      <c r="AD2324">
        <v>7.2035989999999899</v>
      </c>
      <c r="AE2324">
        <v>-41.935380000000002</v>
      </c>
      <c r="AF2324">
        <v>-2.55111410976258</v>
      </c>
      <c r="AG2324">
        <v>7.2035989999999899</v>
      </c>
      <c r="AH2324">
        <v>43.181064342734402</v>
      </c>
      <c r="AI2324">
        <v>80.545145037805099</v>
      </c>
      <c r="AJ2324">
        <v>93.381073815074402</v>
      </c>
      <c r="AK2324">
        <v>43.852073377723002</v>
      </c>
      <c r="AL2324">
        <v>81.509895516260599</v>
      </c>
      <c r="AM2324">
        <v>93.051964537765201</v>
      </c>
      <c r="AN2324">
        <v>1.0000000226969901</v>
      </c>
    </row>
    <row r="2325" spans="1:40" x14ac:dyDescent="0.3">
      <c r="A2325" t="str">
        <f>"20200111150851720"</f>
        <v>20200111150851720</v>
      </c>
      <c r="B2325" t="str">
        <f>"1578726531715913"</f>
        <v>1578726531715913</v>
      </c>
      <c r="C2325" t="s">
        <v>40</v>
      </c>
      <c r="D2325">
        <v>7.2612860000000001</v>
      </c>
      <c r="E2325">
        <v>0.4974035</v>
      </c>
      <c r="F2325" t="s">
        <v>88</v>
      </c>
      <c r="G2325">
        <v>-405.52760000000001</v>
      </c>
      <c r="H2325">
        <v>8.192615</v>
      </c>
      <c r="I2325">
        <v>1.9216249999999999</v>
      </c>
      <c r="J2325">
        <v>-419.99639999999999</v>
      </c>
      <c r="K2325">
        <v>1.115734</v>
      </c>
      <c r="L2325">
        <v>43.515230000000003</v>
      </c>
      <c r="M2325">
        <v>0.27722390000000002</v>
      </c>
      <c r="N2325">
        <v>0</v>
      </c>
      <c r="O2325">
        <v>-0.96070100000000003</v>
      </c>
      <c r="P2325">
        <v>0.3224649</v>
      </c>
      <c r="Q2325">
        <v>0.1352951</v>
      </c>
      <c r="R2325">
        <v>-0.93686259999999999</v>
      </c>
      <c r="S2325">
        <v>0.97262570000000004</v>
      </c>
      <c r="T2325">
        <v>0.47240769999999999</v>
      </c>
      <c r="U2325">
        <v>-2.799347</v>
      </c>
      <c r="V2325">
        <v>-5.2114260000000003E-2</v>
      </c>
      <c r="W2325">
        <v>0.14859169999999999</v>
      </c>
      <c r="X2325">
        <v>0.98752450000000003</v>
      </c>
      <c r="Y2325">
        <v>-4.9450939999999999E-2</v>
      </c>
      <c r="Z2325">
        <v>-0.1524094</v>
      </c>
      <c r="AA2325">
        <v>0.9870795</v>
      </c>
      <c r="AB2325">
        <v>37</v>
      </c>
      <c r="AC2325">
        <v>14.4687999999999</v>
      </c>
      <c r="AD2325">
        <v>7.0768810000000002</v>
      </c>
      <c r="AE2325">
        <v>-41.593604999999997</v>
      </c>
      <c r="AF2325">
        <v>-2.3100327042531599</v>
      </c>
      <c r="AG2325">
        <v>7.0768810000000002</v>
      </c>
      <c r="AH2325">
        <v>42.867516349389398</v>
      </c>
      <c r="AI2325">
        <v>80.639088358464093</v>
      </c>
      <c r="AJ2325">
        <v>93.084555480750694</v>
      </c>
      <c r="AK2325">
        <v>43.509107710317899</v>
      </c>
      <c r="AL2325">
        <v>81.454677786844996</v>
      </c>
      <c r="AM2325">
        <v>93.020846457090698</v>
      </c>
      <c r="AN2325">
        <v>1.00000001375224</v>
      </c>
    </row>
    <row r="2326" spans="1:40" x14ac:dyDescent="0.3">
      <c r="A2326" t="str">
        <f>"20200111150851743"</f>
        <v>20200111150851743</v>
      </c>
      <c r="B2326" t="str">
        <f>"1578726531736409"</f>
        <v>1578726531736409</v>
      </c>
      <c r="C2326" t="s">
        <v>40</v>
      </c>
      <c r="D2326">
        <v>5.0683230000000004</v>
      </c>
      <c r="E2326">
        <v>0.4974035</v>
      </c>
      <c r="F2326" t="s">
        <v>88</v>
      </c>
      <c r="G2326">
        <v>-405.3449</v>
      </c>
      <c r="H2326">
        <v>8.0569459999999999</v>
      </c>
      <c r="I2326">
        <v>1.9234830000000001</v>
      </c>
      <c r="J2326">
        <v>-419.88780000000003</v>
      </c>
      <c r="K2326">
        <v>1.115748</v>
      </c>
      <c r="L2326">
        <v>43.158140000000003</v>
      </c>
      <c r="M2326">
        <v>0.28277059999999998</v>
      </c>
      <c r="N2326">
        <v>0</v>
      </c>
      <c r="O2326">
        <v>-0.95908340000000003</v>
      </c>
      <c r="P2326">
        <v>0.32757019999999998</v>
      </c>
      <c r="Q2326">
        <v>0.1360952</v>
      </c>
      <c r="R2326">
        <v>-0.93497370000000002</v>
      </c>
      <c r="S2326">
        <v>0.9848633</v>
      </c>
      <c r="T2326">
        <v>0.46658290000000002</v>
      </c>
      <c r="U2326">
        <v>-2.795776</v>
      </c>
      <c r="V2326">
        <v>-5.1842529999999998E-2</v>
      </c>
      <c r="W2326">
        <v>0.14936969999999999</v>
      </c>
      <c r="X2326">
        <v>0.9874214</v>
      </c>
      <c r="Y2326">
        <v>-4.8026399999999997E-2</v>
      </c>
      <c r="Z2326">
        <v>-0.15028179999999999</v>
      </c>
      <c r="AA2326">
        <v>0.98747600000000002</v>
      </c>
      <c r="AB2326">
        <v>37</v>
      </c>
      <c r="AC2326">
        <v>14.542899999999999</v>
      </c>
      <c r="AD2326">
        <v>6.941198</v>
      </c>
      <c r="AE2326">
        <v>-41.234656999999999</v>
      </c>
      <c r="AF2326">
        <v>-2.2318867888769098</v>
      </c>
      <c r="AG2326">
        <v>6.941198</v>
      </c>
      <c r="AH2326">
        <v>42.590786536951903</v>
      </c>
      <c r="AI2326">
        <v>80.756110991790194</v>
      </c>
      <c r="AJ2326">
        <v>92.999729334725103</v>
      </c>
      <c r="AK2326">
        <v>43.2103766027302</v>
      </c>
      <c r="AL2326">
        <v>81.409598369354299</v>
      </c>
      <c r="AM2326">
        <v>93.005437547679705</v>
      </c>
      <c r="AN2326">
        <v>0.99999998818642499</v>
      </c>
    </row>
    <row r="2327" spans="1:40" x14ac:dyDescent="0.3">
      <c r="A2327" t="str">
        <f>"20200111150851764"</f>
        <v>20200111150851764</v>
      </c>
      <c r="B2327" t="str">
        <f>"1578726531755932"</f>
        <v>1578726531755932</v>
      </c>
      <c r="C2327" t="s">
        <v>40</v>
      </c>
      <c r="D2327">
        <v>4.7120449999999998</v>
      </c>
      <c r="E2327">
        <v>0.55357679999999998</v>
      </c>
      <c r="F2327" t="s">
        <v>88</v>
      </c>
      <c r="G2327">
        <v>-405.10890000000001</v>
      </c>
      <c r="H2327">
        <v>8.0468869999999999</v>
      </c>
      <c r="I2327">
        <v>1.9258820000000001</v>
      </c>
      <c r="J2327">
        <v>-419.78089999999997</v>
      </c>
      <c r="K2327">
        <v>1.1157589999999999</v>
      </c>
      <c r="L2327">
        <v>42.813720000000004</v>
      </c>
      <c r="M2327">
        <v>0.28814479999999998</v>
      </c>
      <c r="N2327">
        <v>0</v>
      </c>
      <c r="O2327">
        <v>-0.95748299999999997</v>
      </c>
      <c r="P2327">
        <v>0.33218579999999998</v>
      </c>
      <c r="Q2327">
        <v>0.13637449999999901</v>
      </c>
      <c r="R2327">
        <v>-0.93330340000000001</v>
      </c>
      <c r="S2327">
        <v>1.0000309999999999</v>
      </c>
      <c r="T2327">
        <v>0.46900330000000001</v>
      </c>
      <c r="U2327">
        <v>-2.7900390000000002</v>
      </c>
      <c r="V2327">
        <v>-5.1202909999999997E-2</v>
      </c>
      <c r="W2327">
        <v>0.14963609999999999</v>
      </c>
      <c r="X2327">
        <v>0.98741449999999997</v>
      </c>
      <c r="Y2327">
        <v>-4.7791399999999998E-2</v>
      </c>
      <c r="Z2327">
        <v>-0.15082699999999999</v>
      </c>
      <c r="AA2327">
        <v>0.98740430000000001</v>
      </c>
      <c r="AB2327">
        <v>37</v>
      </c>
      <c r="AC2327">
        <v>14.671999999999899</v>
      </c>
      <c r="AD2327">
        <v>6.9311280000000002</v>
      </c>
      <c r="AE2327">
        <v>-40.887838000000002</v>
      </c>
      <c r="AF2327">
        <v>-2.2105235462955601</v>
      </c>
      <c r="AG2327">
        <v>6.9311280000000002</v>
      </c>
      <c r="AH2327">
        <v>42.304416885195302</v>
      </c>
      <c r="AI2327">
        <v>80.7078202816664</v>
      </c>
      <c r="AJ2327">
        <v>92.991143661657702</v>
      </c>
      <c r="AK2327">
        <v>42.9254078337935</v>
      </c>
      <c r="AL2327">
        <v>81.394161795744296</v>
      </c>
      <c r="AM2327">
        <v>92.968444656927602</v>
      </c>
      <c r="AN2327">
        <v>1.00000004761296</v>
      </c>
    </row>
    <row r="2328" spans="1:40" x14ac:dyDescent="0.3">
      <c r="A2328" t="str">
        <f>"20200111150851809"</f>
        <v>20200111150851809</v>
      </c>
      <c r="B2328" t="str">
        <f>"1578726531805707"</f>
        <v>1578726531805707</v>
      </c>
      <c r="C2328" t="s">
        <v>40</v>
      </c>
      <c r="D2328">
        <v>4.6713430000000002</v>
      </c>
      <c r="E2328">
        <v>0.51935149999999997</v>
      </c>
      <c r="F2328" t="s">
        <v>41</v>
      </c>
      <c r="G2328">
        <v>-419.59469999999999</v>
      </c>
      <c r="H2328">
        <v>0.96196559999999998</v>
      </c>
      <c r="I2328">
        <v>41.905430000000003</v>
      </c>
      <c r="J2328">
        <v>-419.56110000000001</v>
      </c>
      <c r="K2328">
        <v>1.1158030000000001</v>
      </c>
      <c r="L2328">
        <v>42.125979999999998</v>
      </c>
      <c r="M2328">
        <v>0.29899789999999998</v>
      </c>
      <c r="N2328">
        <v>0</v>
      </c>
      <c r="O2328">
        <v>-0.9541501</v>
      </c>
      <c r="P2328">
        <v>0.34179789999999999</v>
      </c>
      <c r="Q2328">
        <v>0.1366772</v>
      </c>
      <c r="R2328">
        <v>-0.92978150000000004</v>
      </c>
      <c r="S2328">
        <v>0.62881469999999995</v>
      </c>
      <c r="T2328">
        <v>-0.51919090000000001</v>
      </c>
      <c r="U2328">
        <v>-3.0664669999999998</v>
      </c>
      <c r="V2328">
        <v>-5.0211119999999998E-2</v>
      </c>
      <c r="W2328">
        <v>0.14990529999999999</v>
      </c>
      <c r="X2328">
        <v>0.98742459999999999</v>
      </c>
      <c r="Y2328">
        <v>0.10373300000000001</v>
      </c>
      <c r="Z2328">
        <v>0.15367259999999999</v>
      </c>
      <c r="AA2328">
        <v>0.98266180000000003</v>
      </c>
      <c r="AB2328">
        <v>37</v>
      </c>
      <c r="AC2328">
        <v>-3.3599999999978501E-2</v>
      </c>
      <c r="AD2328">
        <v>-0.15383740000000001</v>
      </c>
      <c r="AE2328">
        <v>-0.22055000000000199</v>
      </c>
      <c r="AF2328">
        <v>6.6427321508554502E-2</v>
      </c>
      <c r="AG2328">
        <v>-0.15383740000000001</v>
      </c>
      <c r="AH2328">
        <v>0.135826561551942</v>
      </c>
      <c r="AI2328">
        <v>135.49537330443999</v>
      </c>
      <c r="AJ2328">
        <v>63.938598193909201</v>
      </c>
      <c r="AK2328">
        <v>0.21570208507240801</v>
      </c>
      <c r="AL2328">
        <v>81.378561821000503</v>
      </c>
      <c r="AM2328">
        <v>92.911016633047794</v>
      </c>
      <c r="AN2328">
        <v>1.00000004811245</v>
      </c>
    </row>
    <row r="2329" spans="1:40" x14ac:dyDescent="0.3">
      <c r="A2329" t="str">
        <f>"20200111150851833"</f>
        <v>20200111150851833</v>
      </c>
      <c r="B2329" t="str">
        <f>"1578726531826204"</f>
        <v>1578726531826204</v>
      </c>
      <c r="C2329" t="s">
        <v>40</v>
      </c>
      <c r="D2329">
        <v>6.8478369999999904</v>
      </c>
      <c r="E2329">
        <v>0.4508588</v>
      </c>
      <c r="F2329" t="s">
        <v>88</v>
      </c>
      <c r="G2329">
        <v>-406.70549999999997</v>
      </c>
      <c r="H2329">
        <v>4.2598159999999998</v>
      </c>
      <c r="I2329">
        <v>0.61260599999999998</v>
      </c>
      <c r="J2329">
        <v>-419.4425</v>
      </c>
      <c r="K2329">
        <v>1.115845</v>
      </c>
      <c r="L2329">
        <v>41.765900000000002</v>
      </c>
      <c r="M2329">
        <v>0.30477589999999999</v>
      </c>
      <c r="N2329">
        <v>0</v>
      </c>
      <c r="O2329">
        <v>-0.95232079999999997</v>
      </c>
      <c r="P2329">
        <v>0.34706949999999998</v>
      </c>
      <c r="Q2329">
        <v>0.137302799999999</v>
      </c>
      <c r="R2329">
        <v>-0.92773430000000001</v>
      </c>
      <c r="S2329">
        <v>0.88818359999999996</v>
      </c>
      <c r="T2329">
        <v>0.21721589999999999</v>
      </c>
      <c r="U2329">
        <v>-2.868134</v>
      </c>
      <c r="V2329">
        <v>-4.9880319999999999E-2</v>
      </c>
      <c r="W2329">
        <v>0.15049360000000001</v>
      </c>
      <c r="X2329">
        <v>0.9873518</v>
      </c>
      <c r="Y2329">
        <v>1.015931E-2</v>
      </c>
      <c r="Z2329">
        <v>-6.8619089999999994E-2</v>
      </c>
      <c r="AA2329">
        <v>0.99759120000000001</v>
      </c>
      <c r="AB2329">
        <v>37</v>
      </c>
      <c r="AC2329">
        <v>12.737</v>
      </c>
      <c r="AD2329">
        <v>3.1439710000000001</v>
      </c>
      <c r="AE2329">
        <v>-41.153294000000002</v>
      </c>
      <c r="AF2329">
        <v>0.41067545068737599</v>
      </c>
      <c r="AG2329">
        <v>3.1439710000000001</v>
      </c>
      <c r="AH2329">
        <v>42.849082166142303</v>
      </c>
      <c r="AI2329">
        <v>85.803741637076101</v>
      </c>
      <c r="AJ2329">
        <v>89.450880895074405</v>
      </c>
      <c r="AK2329">
        <v>42.9662315133112</v>
      </c>
      <c r="AL2329">
        <v>81.344467293344806</v>
      </c>
      <c r="AM2329">
        <v>92.892083850729193</v>
      </c>
      <c r="AN2329">
        <v>0.99999997346375002</v>
      </c>
    </row>
    <row r="2330" spans="1:40" x14ac:dyDescent="0.3">
      <c r="A2330" t="str">
        <f>"20200111150851855"</f>
        <v>20200111150851855</v>
      </c>
      <c r="B2330" t="str">
        <f>"1578726531846331"</f>
        <v>1578726531846331</v>
      </c>
      <c r="C2330" t="s">
        <v>40</v>
      </c>
      <c r="D2330">
        <v>4.72424</v>
      </c>
      <c r="E2330">
        <v>0.46443129999999999</v>
      </c>
      <c r="F2330" t="s">
        <v>88</v>
      </c>
      <c r="G2330">
        <v>-397.48349999999999</v>
      </c>
      <c r="H2330">
        <v>11.06038</v>
      </c>
      <c r="I2330">
        <v>0.70641709999999902</v>
      </c>
      <c r="J2330">
        <v>-419.3272</v>
      </c>
      <c r="K2330">
        <v>1.11589</v>
      </c>
      <c r="L2330">
        <v>41.422939999999997</v>
      </c>
      <c r="M2330">
        <v>0.3103552</v>
      </c>
      <c r="N2330">
        <v>0</v>
      </c>
      <c r="O2330">
        <v>-0.95051779999999997</v>
      </c>
      <c r="P2330">
        <v>0.3520973</v>
      </c>
      <c r="Q2330">
        <v>0.13809749999999901</v>
      </c>
      <c r="R2330">
        <v>-0.92571959999999998</v>
      </c>
      <c r="S2330">
        <v>1.399292</v>
      </c>
      <c r="T2330">
        <v>0.63369189999999997</v>
      </c>
      <c r="U2330">
        <v>-2.616425</v>
      </c>
      <c r="V2330">
        <v>-4.9511159999999999E-2</v>
      </c>
      <c r="W2330">
        <v>0.1512384</v>
      </c>
      <c r="X2330">
        <v>0.98725660000000004</v>
      </c>
      <c r="Y2330">
        <v>-0.1642005</v>
      </c>
      <c r="Z2330">
        <v>-0.20418620000000001</v>
      </c>
      <c r="AA2330">
        <v>0.9650628</v>
      </c>
      <c r="AB2330">
        <v>37</v>
      </c>
      <c r="AC2330">
        <v>21.843699999999998</v>
      </c>
      <c r="AD2330">
        <v>9.9444900000000001</v>
      </c>
      <c r="AE2330">
        <v>-40.716522900000001</v>
      </c>
      <c r="AF2330">
        <v>-7.7672547326972801</v>
      </c>
      <c r="AG2330">
        <v>9.9444900000000001</v>
      </c>
      <c r="AH2330">
        <v>43.471904805654702</v>
      </c>
      <c r="AI2330">
        <v>77.309230385740904</v>
      </c>
      <c r="AJ2330">
        <v>100.130310162477</v>
      </c>
      <c r="AK2330">
        <v>45.266208532133703</v>
      </c>
      <c r="AL2330">
        <v>81.301299548379205</v>
      </c>
      <c r="AM2330">
        <v>92.870992077456094</v>
      </c>
      <c r="AN2330">
        <v>1.0000000014213299</v>
      </c>
    </row>
    <row r="2331" spans="1:40" x14ac:dyDescent="0.3">
      <c r="A2331" t="str">
        <f>"20200111150851876"</f>
        <v>20200111150851876</v>
      </c>
      <c r="B2331" t="str">
        <f>"1578726531865850"</f>
        <v>1578726531865850</v>
      </c>
      <c r="C2331" t="s">
        <v>40</v>
      </c>
      <c r="D2331">
        <v>7.3199110000000003</v>
      </c>
      <c r="E2331">
        <v>0.46009729999999999</v>
      </c>
      <c r="F2331" t="s">
        <v>88</v>
      </c>
      <c r="G2331">
        <v>-399.1046</v>
      </c>
      <c r="H2331">
        <v>12.291779999999999</v>
      </c>
      <c r="I2331">
        <v>0.68993380000000004</v>
      </c>
      <c r="J2331">
        <v>-419.21339999999998</v>
      </c>
      <c r="K2331">
        <v>1.1159380000000001</v>
      </c>
      <c r="L2331">
        <v>41.090969999999999</v>
      </c>
      <c r="M2331">
        <v>0.315834</v>
      </c>
      <c r="N2331">
        <v>0</v>
      </c>
      <c r="O2331">
        <v>-0.94871240000000001</v>
      </c>
      <c r="P2331">
        <v>0.35753629999999997</v>
      </c>
      <c r="Q2331">
        <v>0.13897880000000001</v>
      </c>
      <c r="R2331">
        <v>-0.92350019999999999</v>
      </c>
      <c r="S2331">
        <v>1.308319</v>
      </c>
      <c r="T2331">
        <v>0.72303079999999997</v>
      </c>
      <c r="U2331">
        <v>-2.6352540000000002</v>
      </c>
      <c r="V2331">
        <v>-4.9697419999999999E-2</v>
      </c>
      <c r="W2331">
        <v>0.1520514</v>
      </c>
      <c r="X2331">
        <v>0.98712239999999996</v>
      </c>
      <c r="Y2331">
        <v>-0.12628149999999999</v>
      </c>
      <c r="Z2331">
        <v>-0.2316175</v>
      </c>
      <c r="AA2331">
        <v>0.96457570000000004</v>
      </c>
      <c r="AB2331">
        <v>37</v>
      </c>
      <c r="AC2331">
        <v>20.108799999999899</v>
      </c>
      <c r="AD2331">
        <v>11.175841999999999</v>
      </c>
      <c r="AE2331">
        <v>-40.4010362</v>
      </c>
      <c r="AF2331">
        <v>-5.9529793027864102</v>
      </c>
      <c r="AG2331">
        <v>11.175841999999999</v>
      </c>
      <c r="AH2331">
        <v>42.102316599646997</v>
      </c>
      <c r="AI2331">
        <v>75.273978379736306</v>
      </c>
      <c r="AJ2331">
        <v>98.047882741252906</v>
      </c>
      <c r="AK2331">
        <v>43.965241612497501</v>
      </c>
      <c r="AL2331">
        <v>81.254173465690798</v>
      </c>
      <c r="AM2331">
        <v>92.882165639505502</v>
      </c>
      <c r="AN2331">
        <v>1.0000000471891799</v>
      </c>
    </row>
    <row r="2332" spans="1:40" x14ac:dyDescent="0.3">
      <c r="A2332" t="str">
        <f>"20200111150851899"</f>
        <v>20200111150851899</v>
      </c>
      <c r="B2332" t="str">
        <f>"1578726531896106"</f>
        <v>1578726531896106</v>
      </c>
      <c r="C2332" t="s">
        <v>40</v>
      </c>
      <c r="D2332">
        <v>5.9654119999999997</v>
      </c>
      <c r="E2332">
        <v>0.54272549999999997</v>
      </c>
      <c r="F2332" t="s">
        <v>88</v>
      </c>
      <c r="G2332">
        <v>-398.26710000000003</v>
      </c>
      <c r="H2332">
        <v>12.291410000000001</v>
      </c>
      <c r="I2332">
        <v>0.69845009999999996</v>
      </c>
      <c r="J2332">
        <v>-419.09059999999999</v>
      </c>
      <c r="K2332">
        <v>1.1159939999999999</v>
      </c>
      <c r="L2332">
        <v>40.739469999999997</v>
      </c>
      <c r="M2332">
        <v>0.32171880000000003</v>
      </c>
      <c r="N2332">
        <v>0</v>
      </c>
      <c r="O2332">
        <v>-0.94673379999999996</v>
      </c>
      <c r="P2332">
        <v>0.36366280000000001</v>
      </c>
      <c r="Q2332">
        <v>0.13908519999999999</v>
      </c>
      <c r="R2332">
        <v>-0.92108889999999999</v>
      </c>
      <c r="S2332">
        <v>1.355896</v>
      </c>
      <c r="T2332">
        <v>0.72340760000000004</v>
      </c>
      <c r="U2332">
        <v>-2.6146850000000001</v>
      </c>
      <c r="V2332">
        <v>-5.0155709999999999E-2</v>
      </c>
      <c r="W2332">
        <v>0.1520736</v>
      </c>
      <c r="X2332">
        <v>0.98709579999999997</v>
      </c>
      <c r="Y2332">
        <v>-0.13706599999999999</v>
      </c>
      <c r="Z2332">
        <v>-0.23155110000000001</v>
      </c>
      <c r="AA2332">
        <v>0.96311840000000004</v>
      </c>
      <c r="AB2332">
        <v>37</v>
      </c>
      <c r="AC2332">
        <v>20.8234999999999</v>
      </c>
      <c r="AD2332">
        <v>11.175416</v>
      </c>
      <c r="AE2332">
        <v>-40.041019899999903</v>
      </c>
      <c r="AF2332">
        <v>-6.4382651134844204</v>
      </c>
      <c r="AG2332">
        <v>11.175416</v>
      </c>
      <c r="AH2332">
        <v>42.034494540387897</v>
      </c>
      <c r="AI2332">
        <v>75.275710863731305</v>
      </c>
      <c r="AJ2332">
        <v>98.708102419667895</v>
      </c>
      <c r="AK2332">
        <v>43.968624173499698</v>
      </c>
      <c r="AL2332">
        <v>81.252886529423293</v>
      </c>
      <c r="AM2332">
        <v>92.908776648346304</v>
      </c>
      <c r="AN2332">
        <v>1.0000000467201</v>
      </c>
    </row>
    <row r="2333" spans="1:40" x14ac:dyDescent="0.3">
      <c r="A2333" t="str">
        <f>"20200111150851922"</f>
        <v>20200111150851922</v>
      </c>
      <c r="B2333" t="str">
        <f>"1578726531915626"</f>
        <v>1578726531915626</v>
      </c>
      <c r="C2333" t="s">
        <v>40</v>
      </c>
      <c r="D2333">
        <v>5.9628589999999999</v>
      </c>
      <c r="E2333">
        <v>0.53535059999999901</v>
      </c>
      <c r="F2333" t="s">
        <v>88</v>
      </c>
      <c r="G2333">
        <v>-408.35509999999999</v>
      </c>
      <c r="H2333">
        <v>9.2782149999999994</v>
      </c>
      <c r="I2333">
        <v>0.59584429999999999</v>
      </c>
      <c r="J2333">
        <v>-418.96539999999999</v>
      </c>
      <c r="K2333">
        <v>1.1160429999999999</v>
      </c>
      <c r="L2333">
        <v>40.389099999999999</v>
      </c>
      <c r="M2333">
        <v>0.32767940000000001</v>
      </c>
      <c r="N2333">
        <v>0</v>
      </c>
      <c r="O2333">
        <v>-0.94468859999999999</v>
      </c>
      <c r="P2333">
        <v>0.37082199999999998</v>
      </c>
      <c r="Q2333">
        <v>0.14015349999999999</v>
      </c>
      <c r="R2333">
        <v>-0.91806779999999999</v>
      </c>
      <c r="S2333">
        <v>0.76654049999999996</v>
      </c>
      <c r="T2333">
        <v>0.5828025</v>
      </c>
      <c r="U2333">
        <v>-2.8663639999999999</v>
      </c>
      <c r="V2333">
        <v>-5.17134E-2</v>
      </c>
      <c r="W2333">
        <v>0.15303259999999999</v>
      </c>
      <c r="X2333">
        <v>0.9868671</v>
      </c>
      <c r="Y2333">
        <v>7.6957629999999999E-2</v>
      </c>
      <c r="Z2333">
        <v>-0.17982490000000001</v>
      </c>
      <c r="AA2333">
        <v>0.98068370000000005</v>
      </c>
      <c r="AB2333">
        <v>37</v>
      </c>
      <c r="AC2333">
        <v>10.610299999999899</v>
      </c>
      <c r="AD2333">
        <v>8.162172</v>
      </c>
      <c r="AE2333">
        <v>-39.793255700000003</v>
      </c>
      <c r="AF2333">
        <v>2.9022866984007099</v>
      </c>
      <c r="AG2333">
        <v>8.162172</v>
      </c>
      <c r="AH2333">
        <v>39.520563294785298</v>
      </c>
      <c r="AI2333">
        <v>78.361269347635698</v>
      </c>
      <c r="AJ2333">
        <v>85.799887602970799</v>
      </c>
      <c r="AK2333">
        <v>40.458858646462403</v>
      </c>
      <c r="AL2333">
        <v>81.197288379696403</v>
      </c>
      <c r="AM2333">
        <v>92.999646052727002</v>
      </c>
      <c r="AN2333">
        <v>0.99999996273236402</v>
      </c>
    </row>
    <row r="2334" spans="1:40" x14ac:dyDescent="0.3">
      <c r="A2334" t="str">
        <f>"20200111150852011"</f>
        <v>20200111150852011</v>
      </c>
      <c r="B2334" t="str">
        <f>"1578726532005861"</f>
        <v>1578726532005861</v>
      </c>
      <c r="C2334" t="s">
        <v>40</v>
      </c>
      <c r="D2334">
        <v>4.7930479999999998</v>
      </c>
      <c r="E2334">
        <v>0.51051499999999905</v>
      </c>
      <c r="F2334" t="s">
        <v>88</v>
      </c>
      <c r="G2334">
        <v>-407.13679999999999</v>
      </c>
      <c r="H2334">
        <v>8.8158220000000007</v>
      </c>
      <c r="I2334">
        <v>0.60823629999999995</v>
      </c>
      <c r="J2334">
        <v>-418.45569999999998</v>
      </c>
      <c r="K2334">
        <v>1.1161669999999999</v>
      </c>
      <c r="L2334">
        <v>39.030270000000002</v>
      </c>
      <c r="M2334">
        <v>0.35134130000000002</v>
      </c>
      <c r="N2334">
        <v>0</v>
      </c>
      <c r="O2334">
        <v>-0.93615040000000005</v>
      </c>
      <c r="P2334">
        <v>0.40143839999999997</v>
      </c>
      <c r="Q2334">
        <v>0.14021689999999901</v>
      </c>
      <c r="R2334">
        <v>-0.90508929999999999</v>
      </c>
      <c r="S2334">
        <v>0.84515379999999996</v>
      </c>
      <c r="T2334">
        <v>0.55014790000000002</v>
      </c>
      <c r="U2334">
        <v>-2.842346</v>
      </c>
      <c r="V2334">
        <v>-6.01077E-2</v>
      </c>
      <c r="W2334">
        <v>0.15265279999999901</v>
      </c>
      <c r="X2334">
        <v>0.9864503</v>
      </c>
      <c r="Y2334">
        <v>7.4314519999999995E-2</v>
      </c>
      <c r="Z2334">
        <v>-0.16855619999999999</v>
      </c>
      <c r="AA2334">
        <v>0.9828867</v>
      </c>
      <c r="AB2334">
        <v>37</v>
      </c>
      <c r="AC2334">
        <v>11.3188999999999</v>
      </c>
      <c r="AD2334">
        <v>7.6996549999999999</v>
      </c>
      <c r="AE2334">
        <v>-38.4220337</v>
      </c>
      <c r="AF2334">
        <v>2.7998579606457801</v>
      </c>
      <c r="AG2334">
        <v>7.6996549999999999</v>
      </c>
      <c r="AH2334">
        <v>38.525630102292297</v>
      </c>
      <c r="AI2334">
        <v>78.726858438284196</v>
      </c>
      <c r="AJ2334">
        <v>85.843325437303804</v>
      </c>
      <c r="AK2334">
        <v>39.387156110811901</v>
      </c>
      <c r="AL2334">
        <v>81.219308399244596</v>
      </c>
      <c r="AM2334">
        <v>93.486911325413899</v>
      </c>
      <c r="AN2334">
        <v>1.0000000036586001</v>
      </c>
    </row>
    <row r="2335" spans="1:40" x14ac:dyDescent="0.3">
      <c r="A2335" t="str">
        <f>"20200111150852033"</f>
        <v>20200111150852033</v>
      </c>
      <c r="B2335" t="str">
        <f>"1578726532026359"</f>
        <v>1578726532026359</v>
      </c>
      <c r="C2335" t="s">
        <v>40</v>
      </c>
      <c r="D2335">
        <v>4.9542020000000004</v>
      </c>
      <c r="E2335">
        <v>0.51684339999999995</v>
      </c>
      <c r="F2335" t="s">
        <v>41</v>
      </c>
      <c r="G2335">
        <v>-418.13479999999998</v>
      </c>
      <c r="H2335">
        <v>1.002837</v>
      </c>
      <c r="I2335">
        <v>38.24532</v>
      </c>
      <c r="J2335">
        <v>-418.3211</v>
      </c>
      <c r="K2335">
        <v>1.1161920000000001</v>
      </c>
      <c r="L2335">
        <v>38.687809999999999</v>
      </c>
      <c r="M2335">
        <v>0.3573789</v>
      </c>
      <c r="N2335">
        <v>0</v>
      </c>
      <c r="O2335">
        <v>-0.93386329999999995</v>
      </c>
      <c r="P2335">
        <v>0.40927150000000001</v>
      </c>
      <c r="Q2335">
        <v>0.14120539999999901</v>
      </c>
      <c r="R2335">
        <v>-0.90142029999999995</v>
      </c>
      <c r="S2335">
        <v>1.169586</v>
      </c>
      <c r="T2335">
        <v>-0.41310950000000002</v>
      </c>
      <c r="U2335">
        <v>-2.8598330000000001</v>
      </c>
      <c r="V2335">
        <v>-6.2374590000000001E-2</v>
      </c>
      <c r="W2335">
        <v>0.15353539999999999</v>
      </c>
      <c r="X2335">
        <v>0.98617259999999995</v>
      </c>
      <c r="Y2335">
        <v>-1.9574000000000001E-2</v>
      </c>
      <c r="Z2335">
        <v>0.124306</v>
      </c>
      <c r="AA2335">
        <v>0.99205080000000001</v>
      </c>
      <c r="AB2335">
        <v>37</v>
      </c>
      <c r="AC2335">
        <v>0.18630000000001601</v>
      </c>
      <c r="AD2335">
        <v>-0.113355</v>
      </c>
      <c r="AE2335">
        <v>-0.442489999999999</v>
      </c>
      <c r="AF2335">
        <v>-1.5007010585741601E-2</v>
      </c>
      <c r="AG2335">
        <v>-0.113355</v>
      </c>
      <c r="AH2335">
        <v>0.45451151866755402</v>
      </c>
      <c r="AI2335">
        <v>103.996535910986</v>
      </c>
      <c r="AJ2335">
        <v>91.891098638402596</v>
      </c>
      <c r="AK2335">
        <v>0.46867396662627497</v>
      </c>
      <c r="AL2335">
        <v>81.168136338674799</v>
      </c>
      <c r="AM2335">
        <v>93.619089143876593</v>
      </c>
      <c r="AN2335">
        <v>1.00000005276079</v>
      </c>
    </row>
    <row r="2336" spans="1:40" x14ac:dyDescent="0.3">
      <c r="A2336" t="str">
        <f>"20200111150852055"</f>
        <v>20200111150852055</v>
      </c>
      <c r="B2336" t="str">
        <f>"1578726532045714"</f>
        <v>1578726532045714</v>
      </c>
      <c r="C2336" t="s">
        <v>40</v>
      </c>
      <c r="D2336">
        <v>4.9160069999999996</v>
      </c>
      <c r="E2336">
        <v>0.51956270000000004</v>
      </c>
      <c r="F2336" t="s">
        <v>41</v>
      </c>
      <c r="G2336">
        <v>-418.02809999999999</v>
      </c>
      <c r="H2336">
        <v>0.97024290000000002</v>
      </c>
      <c r="I2336">
        <v>37.954929999999997</v>
      </c>
      <c r="J2336">
        <v>-418.18979999999999</v>
      </c>
      <c r="K2336">
        <v>1.116214</v>
      </c>
      <c r="L2336">
        <v>38.359920000000002</v>
      </c>
      <c r="M2336">
        <v>0.36316860000000001</v>
      </c>
      <c r="N2336">
        <v>0</v>
      </c>
      <c r="O2336">
        <v>-0.9316276</v>
      </c>
      <c r="P2336">
        <v>0.41753970000000001</v>
      </c>
      <c r="Q2336">
        <v>0.14249319999999999</v>
      </c>
      <c r="R2336">
        <v>-0.8974164</v>
      </c>
      <c r="S2336">
        <v>1.157532</v>
      </c>
      <c r="T2336">
        <v>-0.57669740000000003</v>
      </c>
      <c r="U2336">
        <v>-2.8928829999999999</v>
      </c>
      <c r="V2336">
        <v>-6.5424350000000006E-2</v>
      </c>
      <c r="W2336">
        <v>0.15471179999999901</v>
      </c>
      <c r="X2336">
        <v>0.98579099999999997</v>
      </c>
      <c r="Y2336">
        <v>-3.1174089999999998E-3</v>
      </c>
      <c r="Z2336">
        <v>0.16985699999999901</v>
      </c>
      <c r="AA2336">
        <v>0.9854638</v>
      </c>
      <c r="AB2336">
        <v>37</v>
      </c>
      <c r="AC2336">
        <v>0.16169999999999601</v>
      </c>
      <c r="AD2336">
        <v>-0.14597109999999999</v>
      </c>
      <c r="AE2336">
        <v>-0.40499000000000501</v>
      </c>
      <c r="AF2336">
        <v>-3.2056605641203801E-3</v>
      </c>
      <c r="AG2336">
        <v>-0.14597109999999999</v>
      </c>
      <c r="AH2336">
        <v>0.39212603940167601</v>
      </c>
      <c r="AI2336">
        <v>110.417436768329</v>
      </c>
      <c r="AJ2336">
        <v>90.468386974838296</v>
      </c>
      <c r="AK2336">
        <v>0.41842642014063403</v>
      </c>
      <c r="AL2336">
        <v>81.0999179344456</v>
      </c>
      <c r="AM2336">
        <v>93.797001588361795</v>
      </c>
      <c r="AN2336">
        <v>0.999999991156581</v>
      </c>
    </row>
    <row r="2337" spans="1:40" x14ac:dyDescent="0.3">
      <c r="A2337" t="str">
        <f>"20200111150852077"</f>
        <v>20200111150852077</v>
      </c>
      <c r="B2337" t="str">
        <f>"1578726532066212"</f>
        <v>1578726532066212</v>
      </c>
      <c r="C2337" t="s">
        <v>40</v>
      </c>
      <c r="D2337">
        <v>4.8961189999999997</v>
      </c>
      <c r="E2337">
        <v>0.51894459999999998</v>
      </c>
      <c r="F2337" t="s">
        <v>41</v>
      </c>
      <c r="G2337">
        <v>-417.90649999999999</v>
      </c>
      <c r="H2337">
        <v>0.96461549999999996</v>
      </c>
      <c r="I2337">
        <v>37.656100000000002</v>
      </c>
      <c r="J2337">
        <v>-418.05439999999999</v>
      </c>
      <c r="K2337">
        <v>1.116233</v>
      </c>
      <c r="L2337">
        <v>38.027679999999997</v>
      </c>
      <c r="M2337">
        <v>0.3690407</v>
      </c>
      <c r="N2337">
        <v>0</v>
      </c>
      <c r="O2337">
        <v>-0.92931810000000004</v>
      </c>
      <c r="P2337">
        <v>0.42598799999999998</v>
      </c>
      <c r="Q2337">
        <v>0.1436655</v>
      </c>
      <c r="R2337">
        <v>-0.89324979999999998</v>
      </c>
      <c r="S2337">
        <v>1.166779</v>
      </c>
      <c r="T2337">
        <v>-0.62423969999999995</v>
      </c>
      <c r="U2337">
        <v>-2.8992</v>
      </c>
      <c r="V2337">
        <v>-6.8603170000000005E-2</v>
      </c>
      <c r="W2337">
        <v>0.15577679999999999</v>
      </c>
      <c r="X2337">
        <v>0.98540709999999998</v>
      </c>
      <c r="Y2337">
        <v>2.1303910000000001E-3</v>
      </c>
      <c r="Z2337">
        <v>0.18221200000000001</v>
      </c>
      <c r="AA2337">
        <v>0.98325689999999999</v>
      </c>
      <c r="AB2337">
        <v>37</v>
      </c>
      <c r="AC2337">
        <v>0.14789999999999201</v>
      </c>
      <c r="AD2337">
        <v>-0.15161749999999899</v>
      </c>
      <c r="AE2337">
        <v>-0.37157999999999403</v>
      </c>
      <c r="AF2337">
        <v>-2.7806726126998401E-4</v>
      </c>
      <c r="AG2337">
        <v>-0.15161749999999899</v>
      </c>
      <c r="AH2337">
        <v>0.34967614484825399</v>
      </c>
      <c r="AI2337">
        <v>113.44126197205701</v>
      </c>
      <c r="AJ2337">
        <v>90.045562379269896</v>
      </c>
      <c r="AK2337">
        <v>0.38113167003489601</v>
      </c>
      <c r="AL2337">
        <v>81.038148941337099</v>
      </c>
      <c r="AM2337">
        <v>93.982455661814996</v>
      </c>
      <c r="AN2337">
        <v>0.999999979541349</v>
      </c>
    </row>
    <row r="2338" spans="1:40" x14ac:dyDescent="0.3">
      <c r="A2338" t="str">
        <f>"20200111150852145"</f>
        <v>20200111150852145</v>
      </c>
      <c r="B2338" t="str">
        <f>"1578726532135505"</f>
        <v>1578726532135505</v>
      </c>
      <c r="C2338" t="s">
        <v>40</v>
      </c>
      <c r="D2338">
        <v>5.0253110000000003</v>
      </c>
      <c r="E2338">
        <v>0.32845400000000002</v>
      </c>
      <c r="F2338" t="s">
        <v>90</v>
      </c>
      <c r="G2338">
        <v>-364.4</v>
      </c>
      <c r="H2338">
        <v>11.429169999999999</v>
      </c>
      <c r="I2338">
        <v>-4.9894689999999997</v>
      </c>
      <c r="J2338">
        <v>-417.62630000000001</v>
      </c>
      <c r="K2338">
        <v>1.1162890000000001</v>
      </c>
      <c r="L2338">
        <v>37.015659999999997</v>
      </c>
      <c r="M2338">
        <v>0.3869418</v>
      </c>
      <c r="N2338">
        <v>0</v>
      </c>
      <c r="O2338">
        <v>-0.92200970000000004</v>
      </c>
      <c r="P2338">
        <v>0.44923990000000003</v>
      </c>
      <c r="Q2338">
        <v>0.1443265</v>
      </c>
      <c r="R2338">
        <v>-0.88167669999999998</v>
      </c>
      <c r="S2338">
        <v>2.5591740000000001</v>
      </c>
      <c r="T2338">
        <v>0.49455759999999999</v>
      </c>
      <c r="U2338">
        <v>-2.0299070000000001</v>
      </c>
      <c r="V2338">
        <v>-7.5442229999999999E-2</v>
      </c>
      <c r="W2338">
        <v>0.15622049999999901</v>
      </c>
      <c r="X2338">
        <v>0.98483690000000002</v>
      </c>
      <c r="Y2338">
        <v>-0.47222989999999998</v>
      </c>
      <c r="Z2338">
        <v>-0.1528255</v>
      </c>
      <c r="AA2338">
        <v>0.86812630000000002</v>
      </c>
      <c r="AB2338">
        <v>37</v>
      </c>
      <c r="AC2338">
        <v>53.226300000000002</v>
      </c>
      <c r="AD2338">
        <v>10.312881000000001</v>
      </c>
      <c r="AE2338">
        <v>-42.005128999999997</v>
      </c>
      <c r="AF2338">
        <v>-32.082307417756802</v>
      </c>
      <c r="AG2338">
        <v>10.312881000000001</v>
      </c>
      <c r="AH2338">
        <v>57.988311366625901</v>
      </c>
      <c r="AI2338">
        <v>81.154831897134002</v>
      </c>
      <c r="AJ2338">
        <v>118.953769432475</v>
      </c>
      <c r="AK2338">
        <v>67.069174878780004</v>
      </c>
      <c r="AL2338">
        <v>81.012412321801193</v>
      </c>
      <c r="AM2338">
        <v>94.3805182042599</v>
      </c>
      <c r="AN2338">
        <v>1.00000004714461</v>
      </c>
    </row>
    <row r="2339" spans="1:40" x14ac:dyDescent="0.3">
      <c r="A2339" t="str">
        <f>"20200111150852160"</f>
        <v>20200111150852160</v>
      </c>
      <c r="B2339" t="str">
        <f>"1578726532156002"</f>
        <v>1578726532156002</v>
      </c>
      <c r="C2339" t="s">
        <v>40</v>
      </c>
      <c r="D2339">
        <v>5.1405820000000002</v>
      </c>
      <c r="E2339">
        <v>0.37809520000000002</v>
      </c>
      <c r="F2339" t="s">
        <v>90</v>
      </c>
      <c r="G2339">
        <v>-364.55130000000003</v>
      </c>
      <c r="H2339">
        <v>11.62926</v>
      </c>
      <c r="I2339">
        <v>-4.6917759999999999</v>
      </c>
      <c r="J2339">
        <v>-417.53</v>
      </c>
      <c r="K2339">
        <v>1.1163000000000001</v>
      </c>
      <c r="L2339">
        <v>36.794800000000002</v>
      </c>
      <c r="M2339">
        <v>0.39085449999999999</v>
      </c>
      <c r="N2339">
        <v>0</v>
      </c>
      <c r="O2339">
        <v>-0.92035809999999996</v>
      </c>
      <c r="P2339">
        <v>0.4536521</v>
      </c>
      <c r="Q2339">
        <v>0.14430750000000001</v>
      </c>
      <c r="R2339">
        <v>-0.87941780000000003</v>
      </c>
      <c r="S2339">
        <v>2.5626220000000002</v>
      </c>
      <c r="T2339">
        <v>0.50759889999999996</v>
      </c>
      <c r="U2339">
        <v>-2.013763</v>
      </c>
      <c r="V2339">
        <v>-7.6197860000000006E-2</v>
      </c>
      <c r="W2339">
        <v>0.1561777</v>
      </c>
      <c r="X2339">
        <v>0.98478540000000003</v>
      </c>
      <c r="Y2339">
        <v>-0.471889</v>
      </c>
      <c r="Z2339">
        <v>-0.1570077</v>
      </c>
      <c r="AA2339">
        <v>0.86756520000000004</v>
      </c>
      <c r="AB2339">
        <v>37</v>
      </c>
      <c r="AC2339">
        <v>52.978699999999897</v>
      </c>
      <c r="AD2339">
        <v>10.51296</v>
      </c>
      <c r="AE2339">
        <v>-41.486575999999999</v>
      </c>
      <c r="AF2339">
        <v>-31.771468857794201</v>
      </c>
      <c r="AG2339">
        <v>10.51296</v>
      </c>
      <c r="AH2339">
        <v>57.491264329289599</v>
      </c>
      <c r="AI2339">
        <v>80.907023389877196</v>
      </c>
      <c r="AJ2339">
        <v>118.92641108234</v>
      </c>
      <c r="AK2339">
        <v>66.522131922568704</v>
      </c>
      <c r="AL2339">
        <v>81.014894047761601</v>
      </c>
      <c r="AM2339">
        <v>94.424450621577506</v>
      </c>
      <c r="AN2339">
        <v>0.99999993594951198</v>
      </c>
    </row>
    <row r="2340" spans="1:40" x14ac:dyDescent="0.3">
      <c r="A2340" t="str">
        <f>"20200111150852178"</f>
        <v>20200111150852178</v>
      </c>
      <c r="B2340" t="str">
        <f>"1578726532175522"</f>
        <v>1578726532175522</v>
      </c>
      <c r="C2340" t="s">
        <v>40</v>
      </c>
      <c r="D2340">
        <v>5.1244529999999999</v>
      </c>
      <c r="E2340">
        <v>0.38082569999999999</v>
      </c>
      <c r="F2340" t="s">
        <v>91</v>
      </c>
      <c r="G2340">
        <v>-335.22370000000001</v>
      </c>
      <c r="H2340">
        <v>3.8349679999999999</v>
      </c>
      <c r="I2340">
        <v>-45.338099999999997</v>
      </c>
      <c r="J2340">
        <v>-417.40769999999998</v>
      </c>
      <c r="K2340">
        <v>1.11632</v>
      </c>
      <c r="L2340">
        <v>36.51849</v>
      </c>
      <c r="M2340">
        <v>0.39576539999999999</v>
      </c>
      <c r="N2340">
        <v>0</v>
      </c>
      <c r="O2340">
        <v>-0.91825699999999999</v>
      </c>
      <c r="P2340">
        <v>0.45858480000000001</v>
      </c>
      <c r="Q2340">
        <v>0.14519949999999901</v>
      </c>
      <c r="R2340">
        <v>-0.87670800000000004</v>
      </c>
      <c r="S2340">
        <v>2.2455440000000002</v>
      </c>
      <c r="T2340">
        <v>7.4173089999999997E-2</v>
      </c>
      <c r="U2340">
        <v>-2.2408139999999999</v>
      </c>
      <c r="V2340">
        <v>-7.6547290000000004E-2</v>
      </c>
      <c r="W2340">
        <v>0.15705079999999999</v>
      </c>
      <c r="X2340">
        <v>0.98461949999999998</v>
      </c>
      <c r="Y2340">
        <v>-0.37026490000000001</v>
      </c>
      <c r="Z2340">
        <v>-2.3242680000000002E-2</v>
      </c>
      <c r="AA2340">
        <v>0.9286354</v>
      </c>
      <c r="AB2340">
        <v>37</v>
      </c>
      <c r="AC2340">
        <v>82.183999999999898</v>
      </c>
      <c r="AD2340">
        <v>2.718648</v>
      </c>
      <c r="AE2340">
        <v>-81.856589999999997</v>
      </c>
      <c r="AF2340">
        <v>-43.050122496736797</v>
      </c>
      <c r="AG2340">
        <v>2.718648</v>
      </c>
      <c r="AH2340">
        <v>107.641201279787</v>
      </c>
      <c r="AI2340">
        <v>88.656624771385495</v>
      </c>
      <c r="AJ2340">
        <v>111.798491948407</v>
      </c>
      <c r="AK2340">
        <v>115.962633235399</v>
      </c>
      <c r="AL2340">
        <v>80.964244658141197</v>
      </c>
      <c r="AM2340">
        <v>94.445405144209701</v>
      </c>
      <c r="AN2340">
        <v>1.00000000058361</v>
      </c>
    </row>
    <row r="2341" spans="1:40" x14ac:dyDescent="0.3">
      <c r="A2341" t="str">
        <f>"20200111150852201"</f>
        <v>20200111150852201</v>
      </c>
      <c r="B2341" t="str">
        <f>"1578726532196018"</f>
        <v>1578726532196018</v>
      </c>
      <c r="C2341" t="s">
        <v>40</v>
      </c>
      <c r="D2341">
        <v>5.1249279999999997</v>
      </c>
      <c r="E2341">
        <v>0.41189520000000002</v>
      </c>
      <c r="F2341" t="s">
        <v>91</v>
      </c>
      <c r="G2341">
        <v>-335.22379999999998</v>
      </c>
      <c r="H2341">
        <v>3.6170749999999998</v>
      </c>
      <c r="I2341">
        <v>-45.671039999999998</v>
      </c>
      <c r="J2341">
        <v>-417.25920000000002</v>
      </c>
      <c r="K2341">
        <v>1.116352</v>
      </c>
      <c r="L2341">
        <v>36.188630000000003</v>
      </c>
      <c r="M2341">
        <v>0.4016556</v>
      </c>
      <c r="N2341">
        <v>0</v>
      </c>
      <c r="O2341">
        <v>-0.91569599999999995</v>
      </c>
      <c r="P2341">
        <v>0.4643641</v>
      </c>
      <c r="Q2341">
        <v>0.1462754</v>
      </c>
      <c r="R2341">
        <v>-0.87348130000000002</v>
      </c>
      <c r="S2341">
        <v>2.2391969999999999</v>
      </c>
      <c r="T2341">
        <v>6.8136329999999995E-2</v>
      </c>
      <c r="U2341">
        <v>-2.2393489999999998</v>
      </c>
      <c r="V2341">
        <v>-7.6823840000000004E-2</v>
      </c>
      <c r="W2341">
        <v>0.1581089</v>
      </c>
      <c r="X2341">
        <v>0.98442859999999999</v>
      </c>
      <c r="Y2341">
        <v>-0.3633091</v>
      </c>
      <c r="Z2341">
        <v>-2.1324820000000001E-2</v>
      </c>
      <c r="AA2341">
        <v>0.93142460000000005</v>
      </c>
      <c r="AB2341">
        <v>37</v>
      </c>
      <c r="AC2341">
        <v>82.035399999999996</v>
      </c>
      <c r="AD2341">
        <v>2.5007229999999998</v>
      </c>
      <c r="AE2341">
        <v>-81.859669999999994</v>
      </c>
      <c r="AF2341">
        <v>-42.224099732514901</v>
      </c>
      <c r="AG2341">
        <v>2.5007229999999998</v>
      </c>
      <c r="AH2341">
        <v>107.86769361747</v>
      </c>
      <c r="AI2341">
        <v>88.763278836625801</v>
      </c>
      <c r="AJ2341">
        <v>111.377532497678</v>
      </c>
      <c r="AK2341">
        <v>115.864436045305</v>
      </c>
      <c r="AL2341">
        <v>80.902852950758799</v>
      </c>
      <c r="AM2341">
        <v>94.462262437528395</v>
      </c>
      <c r="AN2341">
        <v>0.99999999757475699</v>
      </c>
    </row>
    <row r="2342" spans="1:40" x14ac:dyDescent="0.3">
      <c r="A2342" t="str">
        <f>"20200111150852213"</f>
        <v>20200111150852213</v>
      </c>
      <c r="B2342" t="str">
        <f>"1578726532205777"</f>
        <v>1578726532205777</v>
      </c>
      <c r="C2342" t="s">
        <v>40</v>
      </c>
      <c r="D2342">
        <v>5.1248940000000003</v>
      </c>
      <c r="E2342">
        <v>0.41327399999999997</v>
      </c>
      <c r="F2342" t="s">
        <v>89</v>
      </c>
      <c r="G2342">
        <v>-407.09269999999998</v>
      </c>
      <c r="H2342" s="1">
        <v>-3.6093100000000002E-6</v>
      </c>
      <c r="I2342">
        <v>24.396000000000001</v>
      </c>
      <c r="J2342">
        <v>-417.1671</v>
      </c>
      <c r="K2342">
        <v>1.116379</v>
      </c>
      <c r="L2342">
        <v>35.986820000000002</v>
      </c>
      <c r="M2342">
        <v>0.40528690000000001</v>
      </c>
      <c r="N2342">
        <v>0</v>
      </c>
      <c r="O2342">
        <v>-0.91409470000000004</v>
      </c>
      <c r="P2342">
        <v>0.46791759999999899</v>
      </c>
      <c r="Q2342">
        <v>0.146675799999999</v>
      </c>
      <c r="R2342">
        <v>-0.87151590000000001</v>
      </c>
      <c r="S2342">
        <v>2.0527039999999999</v>
      </c>
      <c r="T2342">
        <v>-0.22539970000000001</v>
      </c>
      <c r="U2342">
        <v>-2.3810120000000001</v>
      </c>
      <c r="V2342">
        <v>-7.6968220000000004E-2</v>
      </c>
      <c r="W2342">
        <v>0.15849969999999999</v>
      </c>
      <c r="X2342">
        <v>0.98435450000000002</v>
      </c>
      <c r="Y2342">
        <v>-0.28821819999999998</v>
      </c>
      <c r="Z2342">
        <v>6.9666210000000006E-2</v>
      </c>
      <c r="AA2342">
        <v>0.95502719999999997</v>
      </c>
      <c r="AB2342">
        <v>37</v>
      </c>
      <c r="AC2342">
        <v>10.074400000000001</v>
      </c>
      <c r="AD2342">
        <v>-1.11638260931</v>
      </c>
      <c r="AE2342">
        <v>-11.5908199999999</v>
      </c>
      <c r="AF2342">
        <v>-4.4880221941772396</v>
      </c>
      <c r="AG2342">
        <v>-1.11638260931</v>
      </c>
      <c r="AH2342">
        <v>14.6022361434951</v>
      </c>
      <c r="AI2342">
        <v>94.179689641677697</v>
      </c>
      <c r="AJ2342">
        <v>107.084900025027</v>
      </c>
      <c r="AK2342">
        <v>15.3171131005876</v>
      </c>
      <c r="AL2342">
        <v>80.880176031792203</v>
      </c>
      <c r="AM2342">
        <v>94.470949863796605</v>
      </c>
      <c r="AN2342">
        <v>1.0000000217301499</v>
      </c>
    </row>
    <row r="2343" spans="1:40" x14ac:dyDescent="0.3">
      <c r="A2343" t="str">
        <f>"20200111150852227"</f>
        <v>20200111150852227</v>
      </c>
      <c r="B2343" t="str">
        <f>"1578726532215538"</f>
        <v>1578726532215538</v>
      </c>
      <c r="C2343" t="s">
        <v>40</v>
      </c>
      <c r="D2343">
        <v>7.0166789999999901</v>
      </c>
      <c r="E2343">
        <v>0.41327399999999997</v>
      </c>
      <c r="F2343" t="s">
        <v>89</v>
      </c>
      <c r="G2343">
        <v>-407.77910000000003</v>
      </c>
      <c r="H2343" s="1">
        <v>-3.3840289999999999E-6</v>
      </c>
      <c r="I2343">
        <v>25.108409999999999</v>
      </c>
      <c r="J2343">
        <v>-417.0822</v>
      </c>
      <c r="K2343">
        <v>1.1164050000000001</v>
      </c>
      <c r="L2343">
        <v>35.802859999999903</v>
      </c>
      <c r="M2343">
        <v>0.40861009999999998</v>
      </c>
      <c r="N2343">
        <v>0</v>
      </c>
      <c r="O2343">
        <v>-0.91261400000000004</v>
      </c>
      <c r="P2343">
        <v>0.47107260000000001</v>
      </c>
      <c r="Q2343">
        <v>0.14691960000000001</v>
      </c>
      <c r="R2343">
        <v>-0.86977309999999997</v>
      </c>
      <c r="S2343">
        <v>2.0542910000000001</v>
      </c>
      <c r="T2343">
        <v>-0.2442887</v>
      </c>
      <c r="U2343">
        <v>-2.3804319999999999</v>
      </c>
      <c r="V2343">
        <v>-7.6983070000000001E-2</v>
      </c>
      <c r="W2343">
        <v>0.1587374</v>
      </c>
      <c r="X2343">
        <v>0.98431500000000005</v>
      </c>
      <c r="Y2343">
        <v>-0.28492099999999998</v>
      </c>
      <c r="Z2343">
        <v>7.5328129999999993E-2</v>
      </c>
      <c r="AA2343">
        <v>0.95558659999999995</v>
      </c>
      <c r="AB2343">
        <v>37</v>
      </c>
      <c r="AC2343">
        <v>9.3030999999999704</v>
      </c>
      <c r="AD2343">
        <v>-1.11640838402899</v>
      </c>
      <c r="AE2343">
        <v>-10.6944499999999</v>
      </c>
      <c r="AF2343">
        <v>-4.0952323417665504</v>
      </c>
      <c r="AG2343">
        <v>-1.11640838402899</v>
      </c>
      <c r="AH2343">
        <v>13.478808243378399</v>
      </c>
      <c r="AI2343">
        <v>94.531211249875099</v>
      </c>
      <c r="AJ2343">
        <v>106.90022292868299</v>
      </c>
      <c r="AK2343">
        <v>14.1313682025042</v>
      </c>
      <c r="AL2343">
        <v>80.866381876598894</v>
      </c>
      <c r="AM2343">
        <v>94.471987699242703</v>
      </c>
      <c r="AN2343">
        <v>0.99999998722519201</v>
      </c>
    </row>
    <row r="2344" spans="1:40" x14ac:dyDescent="0.3">
      <c r="A2344" t="str">
        <f>"20200111150852245"</f>
        <v>20200111150852245</v>
      </c>
      <c r="B2344" t="str">
        <f>"1578726532236033"</f>
        <v>1578726532236033</v>
      </c>
      <c r="C2344" t="s">
        <v>40</v>
      </c>
      <c r="D2344">
        <v>5.4980539999999998</v>
      </c>
      <c r="E2344">
        <v>0.35510930000000002</v>
      </c>
      <c r="F2344" t="s">
        <v>89</v>
      </c>
      <c r="G2344">
        <v>-407.62610000000001</v>
      </c>
      <c r="H2344" s="1">
        <v>-3.4339919999999999E-6</v>
      </c>
      <c r="I2344">
        <v>24.92578</v>
      </c>
      <c r="J2344">
        <v>-416.95389999999998</v>
      </c>
      <c r="K2344">
        <v>1.1164430000000001</v>
      </c>
      <c r="L2344">
        <v>35.527799999999999</v>
      </c>
      <c r="M2344">
        <v>0.41360849999999999</v>
      </c>
      <c r="N2344">
        <v>0</v>
      </c>
      <c r="O2344">
        <v>-0.91035960000000005</v>
      </c>
      <c r="P2344">
        <v>0.4756609</v>
      </c>
      <c r="Q2344">
        <v>0.14685670000000001</v>
      </c>
      <c r="R2344">
        <v>-0.86728349999999899</v>
      </c>
      <c r="S2344">
        <v>2.0629879999999998</v>
      </c>
      <c r="T2344">
        <v>-0.2435601</v>
      </c>
      <c r="U2344">
        <v>-2.372986</v>
      </c>
      <c r="V2344">
        <v>-7.6794299999999996E-2</v>
      </c>
      <c r="W2344">
        <v>0.15867010000000001</v>
      </c>
      <c r="X2344">
        <v>0.98434060000000001</v>
      </c>
      <c r="Y2344">
        <v>-0.28316200000000002</v>
      </c>
      <c r="Z2344">
        <v>7.4955629999999995E-2</v>
      </c>
      <c r="AA2344">
        <v>0.95613859999999995</v>
      </c>
      <c r="AB2344">
        <v>37</v>
      </c>
      <c r="AC2344">
        <v>9.3277999999999608</v>
      </c>
      <c r="AD2344">
        <v>-1.1164464339919999</v>
      </c>
      <c r="AE2344">
        <v>-10.60202</v>
      </c>
      <c r="AF2344">
        <v>-4.0814111874680403</v>
      </c>
      <c r="AG2344">
        <v>-1.1164464339919999</v>
      </c>
      <c r="AH2344">
        <v>13.4269519476456</v>
      </c>
      <c r="AI2344">
        <v>94.548610811405297</v>
      </c>
      <c r="AJ2344">
        <v>106.90777882186499</v>
      </c>
      <c r="AK2344">
        <v>14.0779049764355</v>
      </c>
      <c r="AL2344">
        <v>80.870287414543199</v>
      </c>
      <c r="AM2344">
        <v>94.460950715462303</v>
      </c>
      <c r="AN2344">
        <v>0.99999999097742998</v>
      </c>
    </row>
    <row r="2345" spans="1:40" x14ac:dyDescent="0.3">
      <c r="A2345" t="str">
        <f>"20200111150852260"</f>
        <v>20200111150852260</v>
      </c>
      <c r="B2345" t="str">
        <f>"1578726532255554"</f>
        <v>1578726532255554</v>
      </c>
      <c r="C2345" t="s">
        <v>40</v>
      </c>
      <c r="D2345">
        <v>5.4329199999999904</v>
      </c>
      <c r="E2345">
        <v>0.36102669999999998</v>
      </c>
      <c r="F2345" t="s">
        <v>90</v>
      </c>
      <c r="G2345">
        <v>-364.55130000000003</v>
      </c>
      <c r="H2345">
        <v>13.03312</v>
      </c>
      <c r="I2345">
        <v>-8.2062600000000003</v>
      </c>
      <c r="J2345">
        <v>-416.8553</v>
      </c>
      <c r="K2345">
        <v>1.116476</v>
      </c>
      <c r="L2345">
        <v>35.318570000000001</v>
      </c>
      <c r="M2345">
        <v>0.41743639999999999</v>
      </c>
      <c r="N2345">
        <v>0</v>
      </c>
      <c r="O2345">
        <v>-0.90861060000000005</v>
      </c>
      <c r="P2345">
        <v>0.47916779999999998</v>
      </c>
      <c r="Q2345">
        <v>0.14668310000000001</v>
      </c>
      <c r="R2345">
        <v>-0.86537980000000003</v>
      </c>
      <c r="S2345">
        <v>2.4333499999999999</v>
      </c>
      <c r="T2345">
        <v>0.55335959999999995</v>
      </c>
      <c r="U2345">
        <v>-2.0308229999999998</v>
      </c>
      <c r="V2345">
        <v>-7.6633160000000006E-2</v>
      </c>
      <c r="W2345">
        <v>0.15849349999999901</v>
      </c>
      <c r="X2345">
        <v>0.98438159999999997</v>
      </c>
      <c r="Y2345">
        <v>-0.41780270000000003</v>
      </c>
      <c r="Z2345">
        <v>-0.172389299999999</v>
      </c>
      <c r="AA2345">
        <v>0.89203299999999996</v>
      </c>
      <c r="AB2345">
        <v>37</v>
      </c>
      <c r="AC2345">
        <v>52.303999999999903</v>
      </c>
      <c r="AD2345">
        <v>11.916644</v>
      </c>
      <c r="AE2345">
        <v>-43.524830000000001</v>
      </c>
      <c r="AF2345">
        <v>-28.484059190295699</v>
      </c>
      <c r="AG2345">
        <v>11.916644</v>
      </c>
      <c r="AH2345">
        <v>59.559351188661303</v>
      </c>
      <c r="AI2345">
        <v>79.768271450014694</v>
      </c>
      <c r="AJ2345">
        <v>115.559301333994</v>
      </c>
      <c r="AK2345">
        <v>67.086990886410305</v>
      </c>
      <c r="AL2345">
        <v>80.880535453411497</v>
      </c>
      <c r="AM2345">
        <v>94.451443153298001</v>
      </c>
      <c r="AN2345">
        <v>0.99999998258619704</v>
      </c>
    </row>
    <row r="2346" spans="1:40" x14ac:dyDescent="0.3">
      <c r="A2346" t="str">
        <f>"20200111150852274"</f>
        <v>20200111150852274</v>
      </c>
      <c r="B2346" t="str">
        <f>"1578726532266290"</f>
        <v>1578726532266290</v>
      </c>
      <c r="C2346" t="s">
        <v>40</v>
      </c>
      <c r="D2346">
        <v>5.1639989999999996</v>
      </c>
      <c r="E2346">
        <v>0.36102669999999998</v>
      </c>
      <c r="F2346" t="s">
        <v>68</v>
      </c>
      <c r="G2346">
        <v>-267.61419999999998</v>
      </c>
      <c r="H2346">
        <v>37.943339999999999</v>
      </c>
      <c r="I2346">
        <v>-91.564989999999995</v>
      </c>
      <c r="J2346">
        <v>-416.75080000000003</v>
      </c>
      <c r="K2346">
        <v>1.116514</v>
      </c>
      <c r="L2346">
        <v>35.100559999999902</v>
      </c>
      <c r="M2346">
        <v>0.42146869999999997</v>
      </c>
      <c r="N2346">
        <v>0</v>
      </c>
      <c r="O2346">
        <v>-0.90674699999999997</v>
      </c>
      <c r="P2346">
        <v>0.48313709999999999</v>
      </c>
      <c r="Q2346">
        <v>0.14647260000000001</v>
      </c>
      <c r="R2346">
        <v>-0.86320560000000002</v>
      </c>
      <c r="S2346">
        <v>2.397888</v>
      </c>
      <c r="T2346">
        <v>0.59170559999999905</v>
      </c>
      <c r="U2346">
        <v>-2.0386660000000001</v>
      </c>
      <c r="V2346">
        <v>-7.6777639999999994E-2</v>
      </c>
      <c r="W2346">
        <v>0.158276</v>
      </c>
      <c r="X2346">
        <v>0.98440530000000004</v>
      </c>
      <c r="Y2346">
        <v>-0.40377010000000002</v>
      </c>
      <c r="Z2346">
        <v>-0.1844433</v>
      </c>
      <c r="AA2346">
        <v>0.89607499999999995</v>
      </c>
      <c r="AB2346">
        <v>37</v>
      </c>
      <c r="AC2346">
        <v>149.13659999999999</v>
      </c>
      <c r="AD2346">
        <v>36.826825999999997</v>
      </c>
      <c r="AE2346">
        <v>-126.66555</v>
      </c>
      <c r="AF2346">
        <v>-79.050487199676894</v>
      </c>
      <c r="AG2346">
        <v>36.826825999999997</v>
      </c>
      <c r="AH2346">
        <v>171.645228032799</v>
      </c>
      <c r="AI2346">
        <v>78.972523144845695</v>
      </c>
      <c r="AJ2346">
        <v>114.728234949886</v>
      </c>
      <c r="AK2346">
        <v>192.52864448224801</v>
      </c>
      <c r="AL2346">
        <v>80.893156264319799</v>
      </c>
      <c r="AM2346">
        <v>94.459694897744299</v>
      </c>
      <c r="AN2346">
        <v>0.99999994642402801</v>
      </c>
    </row>
    <row r="2347" spans="1:40" x14ac:dyDescent="0.3">
      <c r="A2347" t="str">
        <f>"20200111150852287"</f>
        <v>20200111150852287</v>
      </c>
      <c r="B2347" t="str">
        <f>"1578726532276050"</f>
        <v>1578726532276050</v>
      </c>
      <c r="C2347" t="s">
        <v>40</v>
      </c>
      <c r="D2347">
        <v>5.2298429999999998</v>
      </c>
      <c r="E2347">
        <v>0.41772510000000002</v>
      </c>
      <c r="F2347" t="s">
        <v>90</v>
      </c>
      <c r="G2347">
        <v>-364.55130000000003</v>
      </c>
      <c r="H2347">
        <v>13.92385</v>
      </c>
      <c r="I2347">
        <v>-8.8696120000000001</v>
      </c>
      <c r="J2347">
        <v>-416.66050000000001</v>
      </c>
      <c r="K2347">
        <v>1.1165449999999999</v>
      </c>
      <c r="L2347">
        <v>34.913730000000001</v>
      </c>
      <c r="M2347">
        <v>0.42494779999999999</v>
      </c>
      <c r="N2347">
        <v>0</v>
      </c>
      <c r="O2347">
        <v>-0.90512179999999998</v>
      </c>
      <c r="P2347">
        <v>0.48667339999999998</v>
      </c>
      <c r="Q2347">
        <v>0.1465187</v>
      </c>
      <c r="R2347">
        <v>-0.86120929999999996</v>
      </c>
      <c r="S2347">
        <v>2.4073180000000001</v>
      </c>
      <c r="T2347">
        <v>0.59064459999999996</v>
      </c>
      <c r="U2347">
        <v>-2.0278019999999999</v>
      </c>
      <c r="V2347">
        <v>-7.7052229999999999E-2</v>
      </c>
      <c r="W2347">
        <v>0.1583128</v>
      </c>
      <c r="X2347">
        <v>0.98437799999999998</v>
      </c>
      <c r="Y2347">
        <v>-0.40442719999999999</v>
      </c>
      <c r="Z2347">
        <v>-0.18398339999999999</v>
      </c>
      <c r="AA2347">
        <v>0.89587320000000004</v>
      </c>
      <c r="AB2347">
        <v>37</v>
      </c>
      <c r="AC2347">
        <v>52.109199999999902</v>
      </c>
      <c r="AD2347">
        <v>12.807304999999999</v>
      </c>
      <c r="AE2347">
        <v>-43.783341999999998</v>
      </c>
      <c r="AF2347">
        <v>-27.585254149687401</v>
      </c>
      <c r="AG2347">
        <v>12.807304999999999</v>
      </c>
      <c r="AH2347">
        <v>59.665616657187996</v>
      </c>
      <c r="AI2347">
        <v>78.974847816395794</v>
      </c>
      <c r="AJ2347">
        <v>114.81255614164201</v>
      </c>
      <c r="AK2347">
        <v>66.969837381827205</v>
      </c>
      <c r="AL2347">
        <v>80.8910215122512</v>
      </c>
      <c r="AM2347">
        <v>94.475703623745204</v>
      </c>
      <c r="AN2347">
        <v>1.0000000178379</v>
      </c>
    </row>
    <row r="2348" spans="1:40" x14ac:dyDescent="0.3">
      <c r="A2348" t="str">
        <f>"20200111150852302"</f>
        <v>20200111150852302</v>
      </c>
      <c r="B2348" t="str">
        <f>"1578726532296546"</f>
        <v>1578726532296546</v>
      </c>
      <c r="C2348" t="s">
        <v>40</v>
      </c>
      <c r="D2348">
        <v>5.2071350000000001</v>
      </c>
      <c r="E2348">
        <v>0.4190564</v>
      </c>
      <c r="F2348" t="s">
        <v>89</v>
      </c>
      <c r="G2348">
        <v>-407.98570000000001</v>
      </c>
      <c r="H2348" s="1">
        <v>-3.2516579999999998E-6</v>
      </c>
      <c r="I2348">
        <v>25.063199999999998</v>
      </c>
      <c r="J2348">
        <v>-416.56</v>
      </c>
      <c r="K2348">
        <v>1.116579</v>
      </c>
      <c r="L2348">
        <v>34.707700000000003</v>
      </c>
      <c r="M2348">
        <v>0.42880560000000001</v>
      </c>
      <c r="N2348">
        <v>0</v>
      </c>
      <c r="O2348">
        <v>-0.90330049999999995</v>
      </c>
      <c r="P2348">
        <v>0.4911739</v>
      </c>
      <c r="Q2348">
        <v>0.1467106</v>
      </c>
      <c r="R2348">
        <v>-0.85861739999999998</v>
      </c>
      <c r="S2348">
        <v>2.075043</v>
      </c>
      <c r="T2348">
        <v>-0.26708379999999998</v>
      </c>
      <c r="U2348">
        <v>-2.356293</v>
      </c>
      <c r="V2348">
        <v>-7.8038099999999999E-2</v>
      </c>
      <c r="W2348">
        <v>0.15848280000000001</v>
      </c>
      <c r="X2348">
        <v>0.98427299999999995</v>
      </c>
      <c r="Y2348">
        <v>-0.27279340000000002</v>
      </c>
      <c r="Z2348">
        <v>8.1660869999999997E-2</v>
      </c>
      <c r="AA2348">
        <v>0.95860069999999997</v>
      </c>
      <c r="AB2348">
        <v>37</v>
      </c>
      <c r="AC2348">
        <v>8.5742999999999903</v>
      </c>
      <c r="AD2348">
        <v>-1.116582251658</v>
      </c>
      <c r="AE2348">
        <v>-9.6445000000000007</v>
      </c>
      <c r="AF2348">
        <v>-3.5830435992558902</v>
      </c>
      <c r="AG2348">
        <v>-1.116582251658</v>
      </c>
      <c r="AH2348">
        <v>12.297601874688601</v>
      </c>
      <c r="AI2348">
        <v>94.981995694844201</v>
      </c>
      <c r="AJ2348">
        <v>106.24407169646</v>
      </c>
      <c r="AK2348">
        <v>12.8575257817058</v>
      </c>
      <c r="AL2348">
        <v>80.881156900855302</v>
      </c>
      <c r="AM2348">
        <v>94.533213867858606</v>
      </c>
      <c r="AN2348">
        <v>1.0000000407382199</v>
      </c>
    </row>
    <row r="2349" spans="1:40" x14ac:dyDescent="0.3">
      <c r="A2349" t="str">
        <f>"20200111150852315"</f>
        <v>20200111150852315</v>
      </c>
      <c r="B2349" t="str">
        <f>"1578726532306305"</f>
        <v>1578726532306305</v>
      </c>
      <c r="C2349" t="s">
        <v>40</v>
      </c>
      <c r="D2349">
        <v>5.268275</v>
      </c>
      <c r="E2349">
        <v>0.41893989999999998</v>
      </c>
      <c r="F2349" t="s">
        <v>89</v>
      </c>
      <c r="G2349">
        <v>-408.58749999999998</v>
      </c>
      <c r="H2349" s="1">
        <v>-3.0334360000000002E-6</v>
      </c>
      <c r="I2349">
        <v>25.683769999999999</v>
      </c>
      <c r="J2349">
        <v>-416.46370000000002</v>
      </c>
      <c r="K2349">
        <v>1.1166149999999999</v>
      </c>
      <c r="L2349">
        <v>34.512970000000003</v>
      </c>
      <c r="M2349">
        <v>0.4324926</v>
      </c>
      <c r="N2349">
        <v>0</v>
      </c>
      <c r="O2349">
        <v>-0.90154120000000004</v>
      </c>
      <c r="P2349">
        <v>0.49517129999999998</v>
      </c>
      <c r="Q2349">
        <v>0.1467511</v>
      </c>
      <c r="R2349">
        <v>-0.85631199999999996</v>
      </c>
      <c r="S2349">
        <v>2.079742</v>
      </c>
      <c r="T2349">
        <v>-0.29127789999999998</v>
      </c>
      <c r="U2349">
        <v>-2.354034</v>
      </c>
      <c r="V2349">
        <v>-7.8624899999999998E-2</v>
      </c>
      <c r="W2349">
        <v>0.1585086</v>
      </c>
      <c r="X2349">
        <v>0.98422209999999999</v>
      </c>
      <c r="Y2349">
        <v>-0.26994950000000001</v>
      </c>
      <c r="Z2349">
        <v>8.8790729999999998E-2</v>
      </c>
      <c r="AA2349">
        <v>0.95877190000000001</v>
      </c>
      <c r="AB2349">
        <v>37</v>
      </c>
      <c r="AC2349">
        <v>7.8762000000000398</v>
      </c>
      <c r="AD2349">
        <v>-1.1166180334360001</v>
      </c>
      <c r="AE2349">
        <v>-8.8292000000000002</v>
      </c>
      <c r="AF2349">
        <v>-3.2534626331098502</v>
      </c>
      <c r="AG2349">
        <v>-1.1166180334360001</v>
      </c>
      <c r="AH2349">
        <v>11.2669220475118</v>
      </c>
      <c r="AI2349">
        <v>95.439055908080803</v>
      </c>
      <c r="AJ2349">
        <v>106.106725133994</v>
      </c>
      <c r="AK2349">
        <v>11.7802965736158</v>
      </c>
      <c r="AL2349">
        <v>80.879659339741593</v>
      </c>
      <c r="AM2349">
        <v>94.567392455188298</v>
      </c>
      <c r="AN2349">
        <v>0.99999999665118999</v>
      </c>
    </row>
    <row r="2350" spans="1:40" x14ac:dyDescent="0.3">
      <c r="A2350" t="str">
        <f>"20200111150852327"</f>
        <v>20200111150852327</v>
      </c>
      <c r="B2350" t="str">
        <f>"1578726532325826"</f>
        <v>1578726532325826</v>
      </c>
      <c r="C2350" t="s">
        <v>40</v>
      </c>
      <c r="D2350">
        <v>5.2725179999999998</v>
      </c>
      <c r="E2350">
        <v>0.41916360000000003</v>
      </c>
      <c r="F2350" t="s">
        <v>89</v>
      </c>
      <c r="G2350">
        <v>-408.08359999999999</v>
      </c>
      <c r="H2350" s="1">
        <v>-3.2072349999999999E-6</v>
      </c>
      <c r="I2350">
        <v>25.123989999999999</v>
      </c>
      <c r="J2350">
        <v>-416.3723</v>
      </c>
      <c r="K2350">
        <v>1.1166510000000001</v>
      </c>
      <c r="L2350">
        <v>34.329709999999999</v>
      </c>
      <c r="M2350">
        <v>0.43598740000000002</v>
      </c>
      <c r="N2350">
        <v>0</v>
      </c>
      <c r="O2350">
        <v>-0.89985619999999999</v>
      </c>
      <c r="P2350">
        <v>0.49927749999999999</v>
      </c>
      <c r="Q2350">
        <v>0.14655589999999999</v>
      </c>
      <c r="R2350">
        <v>-0.85395750000000004</v>
      </c>
      <c r="S2350">
        <v>2.090576</v>
      </c>
      <c r="T2350">
        <v>-0.27856120000000001</v>
      </c>
      <c r="U2350">
        <v>-2.3422550000000002</v>
      </c>
      <c r="V2350">
        <v>-7.9530130000000004E-2</v>
      </c>
      <c r="W2350">
        <v>0.15829389999999999</v>
      </c>
      <c r="X2350">
        <v>0.9841839</v>
      </c>
      <c r="Y2350">
        <v>-0.27132030000000001</v>
      </c>
      <c r="Z2350">
        <v>8.4906759999999998E-2</v>
      </c>
      <c r="AA2350">
        <v>0.9587367</v>
      </c>
      <c r="AB2350">
        <v>37</v>
      </c>
      <c r="AC2350">
        <v>8.2887000000000004</v>
      </c>
      <c r="AD2350">
        <v>-1.1166542072350001</v>
      </c>
      <c r="AE2350">
        <v>-9.2057199999999995</v>
      </c>
      <c r="AF2350">
        <v>-3.4175882701395301</v>
      </c>
      <c r="AG2350">
        <v>-1.1166542072350001</v>
      </c>
      <c r="AH2350">
        <v>11.8027181987079</v>
      </c>
      <c r="AI2350">
        <v>95.192595379235797</v>
      </c>
      <c r="AJ2350">
        <v>106.14887132735301</v>
      </c>
      <c r="AK2350">
        <v>12.3381920507359</v>
      </c>
      <c r="AL2350">
        <v>80.892117835161599</v>
      </c>
      <c r="AM2350">
        <v>94.619930299634206</v>
      </c>
      <c r="AN2350">
        <v>0.99999997468711799</v>
      </c>
    </row>
    <row r="2351" spans="1:40" x14ac:dyDescent="0.3">
      <c r="A2351" t="str">
        <f>"20200111150852343"</f>
        <v>20200111150852343</v>
      </c>
      <c r="B2351" t="str">
        <f>"1578726532335586"</f>
        <v>1578726532335586</v>
      </c>
      <c r="C2351" t="s">
        <v>40</v>
      </c>
      <c r="D2351">
        <v>5.234229</v>
      </c>
      <c r="E2351">
        <v>0.41943950000000002</v>
      </c>
      <c r="F2351" t="s">
        <v>89</v>
      </c>
      <c r="G2351">
        <v>-407.92149999999998</v>
      </c>
      <c r="H2351" s="1">
        <v>-3.2625110000000002E-6</v>
      </c>
      <c r="I2351">
        <v>24.941040000000001</v>
      </c>
      <c r="J2351">
        <v>-416.26029999999997</v>
      </c>
      <c r="K2351">
        <v>1.116695</v>
      </c>
      <c r="L2351">
        <v>34.107599999999998</v>
      </c>
      <c r="M2351">
        <v>0.44025110000000001</v>
      </c>
      <c r="N2351">
        <v>0</v>
      </c>
      <c r="O2351">
        <v>-0.89777790000000002</v>
      </c>
      <c r="P2351">
        <v>0.50364549999999997</v>
      </c>
      <c r="Q2351">
        <v>0.14668429999999999</v>
      </c>
      <c r="R2351">
        <v>-0.85136659999999997</v>
      </c>
      <c r="S2351">
        <v>2.0998839999999999</v>
      </c>
      <c r="T2351">
        <v>-0.277472</v>
      </c>
      <c r="U2351">
        <v>-2.3329469999999999</v>
      </c>
      <c r="V2351">
        <v>-7.9933610000000002E-2</v>
      </c>
      <c r="W2351">
        <v>0.1584102</v>
      </c>
      <c r="X2351">
        <v>0.98413249999999997</v>
      </c>
      <c r="Y2351">
        <v>-0.2707947</v>
      </c>
      <c r="Z2351">
        <v>8.4454970000000004E-2</v>
      </c>
      <c r="AA2351">
        <v>0.95892520000000003</v>
      </c>
      <c r="AB2351">
        <v>37</v>
      </c>
      <c r="AC2351">
        <v>8.3387999999999902</v>
      </c>
      <c r="AD2351">
        <v>-1.116698262511</v>
      </c>
      <c r="AE2351">
        <v>-9.1665599999999898</v>
      </c>
      <c r="AF2351">
        <v>-3.4233027952245001</v>
      </c>
      <c r="AG2351">
        <v>-1.116698262511</v>
      </c>
      <c r="AH2351">
        <v>11.805864205197301</v>
      </c>
      <c r="AI2351">
        <v>95.190861379299406</v>
      </c>
      <c r="AJ2351">
        <v>106.170378069962</v>
      </c>
      <c r="AK2351">
        <v>12.3427892580586</v>
      </c>
      <c r="AL2351">
        <v>80.8853691938086</v>
      </c>
      <c r="AM2351">
        <v>94.643507801896902</v>
      </c>
      <c r="AN2351">
        <v>0.99999997551396003</v>
      </c>
    </row>
    <row r="2352" spans="1:40" x14ac:dyDescent="0.3">
      <c r="A2352" t="str">
        <f>"20200111150852357"</f>
        <v>20200111150852357</v>
      </c>
      <c r="B2352" t="str">
        <f>"1578726532346359"</f>
        <v>1578726532346359</v>
      </c>
      <c r="C2352" t="s">
        <v>40</v>
      </c>
      <c r="D2352">
        <v>5.1985190000000001</v>
      </c>
      <c r="E2352">
        <v>0.41977629999999999</v>
      </c>
      <c r="F2352" t="s">
        <v>89</v>
      </c>
      <c r="G2352">
        <v>-407.8347</v>
      </c>
      <c r="H2352" s="1">
        <v>-3.2892690000000002E-6</v>
      </c>
      <c r="I2352">
        <v>24.83042</v>
      </c>
      <c r="J2352">
        <v>-416.15530000000001</v>
      </c>
      <c r="K2352">
        <v>1.1167400000000001</v>
      </c>
      <c r="L2352">
        <v>33.901670000000003</v>
      </c>
      <c r="M2352">
        <v>0.44424039999999998</v>
      </c>
      <c r="N2352">
        <v>0</v>
      </c>
      <c r="O2352">
        <v>-0.89581039999999901</v>
      </c>
      <c r="P2352">
        <v>0.50783370000000005</v>
      </c>
      <c r="Q2352">
        <v>0.14703920000000001</v>
      </c>
      <c r="R2352">
        <v>-0.84881369999999901</v>
      </c>
      <c r="S2352">
        <v>2.1102599999999998</v>
      </c>
      <c r="T2352">
        <v>-0.2796863</v>
      </c>
      <c r="U2352">
        <v>-2.323547</v>
      </c>
      <c r="V2352">
        <v>-8.0454739999999997E-2</v>
      </c>
      <c r="W2352">
        <v>0.15875059999999999</v>
      </c>
      <c r="X2352">
        <v>0.9840352</v>
      </c>
      <c r="Y2352">
        <v>-0.27075339999999998</v>
      </c>
      <c r="Z2352">
        <v>8.4998729999999995E-2</v>
      </c>
      <c r="AA2352">
        <v>0.95888879999999999</v>
      </c>
      <c r="AB2352">
        <v>36</v>
      </c>
      <c r="AC2352">
        <v>8.3206000000000095</v>
      </c>
      <c r="AD2352">
        <v>-1.1167432892689999</v>
      </c>
      <c r="AE2352">
        <v>-9.0712499999999991</v>
      </c>
      <c r="AF2352">
        <v>-3.3962093479823801</v>
      </c>
      <c r="AG2352">
        <v>-1.1167432892689999</v>
      </c>
      <c r="AH2352">
        <v>11.726975366621</v>
      </c>
      <c r="AI2352">
        <v>95.226297588348103</v>
      </c>
      <c r="AJ2352">
        <v>106.15136471734201</v>
      </c>
      <c r="AK2352">
        <v>12.259824825779001</v>
      </c>
      <c r="AL2352">
        <v>80.865615944599099</v>
      </c>
      <c r="AM2352">
        <v>94.674107713087295</v>
      </c>
      <c r="AN2352">
        <v>0.99999999651393301</v>
      </c>
    </row>
    <row r="2353" spans="1:40" x14ac:dyDescent="0.3">
      <c r="A2353" t="str">
        <f>"20200111150852371"</f>
        <v>20200111150852371</v>
      </c>
      <c r="B2353" t="str">
        <f>"1578726532365878"</f>
        <v>1578726532365878</v>
      </c>
      <c r="C2353" t="s">
        <v>40</v>
      </c>
      <c r="D2353">
        <v>4.2738969999999998</v>
      </c>
      <c r="E2353">
        <v>0.42010019999999998</v>
      </c>
      <c r="F2353" t="s">
        <v>89</v>
      </c>
      <c r="G2353">
        <v>-407.75470000000001</v>
      </c>
      <c r="H2353" s="1">
        <v>-3.315481E-6</v>
      </c>
      <c r="I2353">
        <v>24.735140000000001</v>
      </c>
      <c r="J2353">
        <v>-416.05059999999997</v>
      </c>
      <c r="K2353">
        <v>1.1167830000000001</v>
      </c>
      <c r="L2353">
        <v>33.699039999999997</v>
      </c>
      <c r="M2353">
        <v>0.44820450000000001</v>
      </c>
      <c r="N2353">
        <v>0</v>
      </c>
      <c r="O2353">
        <v>-0.89383359999999901</v>
      </c>
      <c r="P2353">
        <v>0.51163069999999999</v>
      </c>
      <c r="Q2353">
        <v>0.14717759999999999</v>
      </c>
      <c r="R2353">
        <v>-0.84650619999999999</v>
      </c>
      <c r="S2353">
        <v>2.120911</v>
      </c>
      <c r="T2353">
        <v>-0.28194380000000002</v>
      </c>
      <c r="U2353">
        <v>-2.31427</v>
      </c>
      <c r="V2353">
        <v>-8.0533250000000001E-2</v>
      </c>
      <c r="W2353">
        <v>0.15888289999999999</v>
      </c>
      <c r="X2353">
        <v>0.98400739999999998</v>
      </c>
      <c r="Y2353">
        <v>-0.2707656</v>
      </c>
      <c r="Z2353">
        <v>8.5544220000000004E-2</v>
      </c>
      <c r="AA2353">
        <v>0.95883689999999999</v>
      </c>
      <c r="AB2353">
        <v>36</v>
      </c>
      <c r="AC2353">
        <v>8.2958999999999499</v>
      </c>
      <c r="AD2353">
        <v>-1.116786315481</v>
      </c>
      <c r="AE2353">
        <v>-8.9639000000000006</v>
      </c>
      <c r="AF2353">
        <v>-3.36961709738187</v>
      </c>
      <c r="AG2353">
        <v>-1.116786315481</v>
      </c>
      <c r="AH2353">
        <v>11.6342449380112</v>
      </c>
      <c r="AI2353">
        <v>95.267890386325405</v>
      </c>
      <c r="AJ2353">
        <v>106.152560115257</v>
      </c>
      <c r="AK2353">
        <v>12.1637653025309</v>
      </c>
      <c r="AL2353">
        <v>80.857938040236306</v>
      </c>
      <c r="AM2353">
        <v>94.678780193573203</v>
      </c>
      <c r="AN2353">
        <v>0.99999997176136501</v>
      </c>
    </row>
    <row r="2354" spans="1:40" x14ac:dyDescent="0.3">
      <c r="A2354" t="str">
        <f>"20200111150852441"</f>
        <v>20200111150852441</v>
      </c>
      <c r="B2354" t="str">
        <f>"1578726532436151"</f>
        <v>1578726532436151</v>
      </c>
      <c r="C2354" t="s">
        <v>40</v>
      </c>
      <c r="D2354">
        <v>4.2771129999999999</v>
      </c>
      <c r="E2354">
        <v>0.35751040000000001</v>
      </c>
      <c r="F2354" t="s">
        <v>89</v>
      </c>
      <c r="G2354">
        <v>-407.7088</v>
      </c>
      <c r="H2354" s="1">
        <v>-3.3275349999999998E-6</v>
      </c>
      <c r="I2354">
        <v>24.667290000000001</v>
      </c>
      <c r="J2354">
        <v>-415.52339999999998</v>
      </c>
      <c r="K2354">
        <v>1.116976</v>
      </c>
      <c r="L2354">
        <v>32.709899999999998</v>
      </c>
      <c r="M2354">
        <v>0.46794010000000003</v>
      </c>
      <c r="N2354">
        <v>0</v>
      </c>
      <c r="O2354">
        <v>-0.88366160000000005</v>
      </c>
      <c r="P2354">
        <v>0.53060490000000005</v>
      </c>
      <c r="Q2354">
        <v>0.14723059999999999</v>
      </c>
      <c r="R2354">
        <v>-0.83473469999999905</v>
      </c>
      <c r="S2354">
        <v>2.1300050000000001</v>
      </c>
      <c r="T2354">
        <v>-0.28516219999999998</v>
      </c>
      <c r="U2354">
        <v>-2.3061829999999999</v>
      </c>
      <c r="V2354">
        <v>-8.0977720000000003E-2</v>
      </c>
      <c r="W2354">
        <v>0.158906399999999</v>
      </c>
      <c r="X2354">
        <v>0.98396709999999998</v>
      </c>
      <c r="Y2354">
        <v>-0.25305129999999998</v>
      </c>
      <c r="Z2354">
        <v>8.5440820000000001E-2</v>
      </c>
      <c r="AA2354">
        <v>0.96367259999999999</v>
      </c>
      <c r="AB2354">
        <v>36</v>
      </c>
      <c r="AC2354">
        <v>7.81459999999998</v>
      </c>
      <c r="AD2354">
        <v>-1.116979327535</v>
      </c>
      <c r="AE2354">
        <v>-8.0426099999999998</v>
      </c>
      <c r="AF2354">
        <v>-3.1114061904230099</v>
      </c>
      <c r="AG2354">
        <v>-1.116979327535</v>
      </c>
      <c r="AH2354">
        <v>10.658896042871101</v>
      </c>
      <c r="AI2354">
        <v>95.744340436253395</v>
      </c>
      <c r="AJ2354">
        <v>106.272893523723</v>
      </c>
      <c r="AK2354">
        <v>11.1597740188893</v>
      </c>
      <c r="AL2354">
        <v>80.856574011841005</v>
      </c>
      <c r="AM2354">
        <v>94.7046790136868</v>
      </c>
      <c r="AN2354">
        <v>0.99999994448988205</v>
      </c>
    </row>
    <row r="2355" spans="1:40" x14ac:dyDescent="0.3">
      <c r="A2355" t="str">
        <f>"20200111150852453"</f>
        <v>20200111150852453</v>
      </c>
      <c r="B2355" t="str">
        <f>"1578726532445911"</f>
        <v>1578726532445911</v>
      </c>
      <c r="C2355" t="s">
        <v>40</v>
      </c>
      <c r="D2355">
        <v>4.4806720000000002</v>
      </c>
      <c r="E2355">
        <v>0.36269269999999998</v>
      </c>
      <c r="F2355" t="s">
        <v>90</v>
      </c>
      <c r="G2355">
        <v>-364.4</v>
      </c>
      <c r="H2355">
        <v>7.8409699999999898</v>
      </c>
      <c r="I2355">
        <v>-5.4266319999999997</v>
      </c>
      <c r="J2355">
        <v>-415.41800000000001</v>
      </c>
      <c r="K2355">
        <v>1.1170150000000001</v>
      </c>
      <c r="L2355">
        <v>32.518920000000001</v>
      </c>
      <c r="M2355">
        <v>0.47183639999999999</v>
      </c>
      <c r="N2355">
        <v>0</v>
      </c>
      <c r="O2355">
        <v>-0.88158700000000001</v>
      </c>
      <c r="P2355">
        <v>0.53416529999999995</v>
      </c>
      <c r="Q2355">
        <v>0.14741209999999999</v>
      </c>
      <c r="R2355">
        <v>-0.83242850000000002</v>
      </c>
      <c r="S2355">
        <v>2.5582579999999999</v>
      </c>
      <c r="T2355">
        <v>0.33647470000000002</v>
      </c>
      <c r="U2355">
        <v>-1.9083859999999999</v>
      </c>
      <c r="V2355">
        <v>-8.0870750000000005E-2</v>
      </c>
      <c r="W2355">
        <v>0.15908530000000001</v>
      </c>
      <c r="X2355">
        <v>0.98394700000000002</v>
      </c>
      <c r="Y2355">
        <v>-0.41979909999999998</v>
      </c>
      <c r="Z2355">
        <v>-0.1034269</v>
      </c>
      <c r="AA2355">
        <v>0.90170479999999997</v>
      </c>
      <c r="AB2355">
        <v>36</v>
      </c>
      <c r="AC2355">
        <v>51.018000000000001</v>
      </c>
      <c r="AD2355">
        <v>6.7239550000000001</v>
      </c>
      <c r="AE2355">
        <v>-37.945551999999999</v>
      </c>
      <c r="AF2355">
        <v>-26.7756335743839</v>
      </c>
      <c r="AG2355">
        <v>6.7239550000000001</v>
      </c>
      <c r="AH2355">
        <v>56.893216735722</v>
      </c>
      <c r="AI2355">
        <v>83.896283737177598</v>
      </c>
      <c r="AJ2355">
        <v>115.203065379073</v>
      </c>
      <c r="AK2355">
        <v>63.237522363621501</v>
      </c>
      <c r="AL2355">
        <v>80.846191821440698</v>
      </c>
      <c r="AM2355">
        <v>94.698587617030796</v>
      </c>
      <c r="AN2355">
        <v>0.999999954845325</v>
      </c>
    </row>
    <row r="2356" spans="1:40" x14ac:dyDescent="0.3">
      <c r="A2356" t="str">
        <f>"20200111150852469"</f>
        <v>20200111150852469</v>
      </c>
      <c r="B2356" t="str">
        <f>"1578726532466408"</f>
        <v>1578726532466408</v>
      </c>
      <c r="C2356" t="s">
        <v>40</v>
      </c>
      <c r="D2356">
        <v>6.5786429999999996</v>
      </c>
      <c r="E2356">
        <v>0.3193993</v>
      </c>
      <c r="F2356" t="s">
        <v>90</v>
      </c>
      <c r="G2356">
        <v>-364.55130000000003</v>
      </c>
      <c r="H2356">
        <v>8.1330500000000008</v>
      </c>
      <c r="I2356">
        <v>-6.0331279999999996</v>
      </c>
      <c r="J2356">
        <v>-415.30430000000001</v>
      </c>
      <c r="K2356">
        <v>1.117051</v>
      </c>
      <c r="L2356">
        <v>32.314880000000002</v>
      </c>
      <c r="M2356">
        <v>0.47602329999999998</v>
      </c>
      <c r="N2356">
        <v>0</v>
      </c>
      <c r="O2356">
        <v>-0.87933309999999998</v>
      </c>
      <c r="P2356">
        <v>0.5383637</v>
      </c>
      <c r="Q2356">
        <v>0.14720720000000001</v>
      </c>
      <c r="R2356">
        <v>-0.82975569999999899</v>
      </c>
      <c r="S2356">
        <v>2.5308229999999998</v>
      </c>
      <c r="T2356">
        <v>0.34907630000000001</v>
      </c>
      <c r="U2356">
        <v>-1.918121</v>
      </c>
      <c r="V2356">
        <v>-8.1158359999999999E-2</v>
      </c>
      <c r="W2356">
        <v>0.15887109999999999</v>
      </c>
      <c r="X2356">
        <v>0.98395790000000005</v>
      </c>
      <c r="Y2356">
        <v>-0.40820709999999999</v>
      </c>
      <c r="Z2356">
        <v>-0.10730820000000001</v>
      </c>
      <c r="AA2356">
        <v>0.90656049999999999</v>
      </c>
      <c r="AB2356">
        <v>36</v>
      </c>
      <c r="AC2356">
        <v>50.752999999999901</v>
      </c>
      <c r="AD2356">
        <v>7.0159989999999999</v>
      </c>
      <c r="AE2356">
        <v>-38.348008</v>
      </c>
      <c r="AF2356">
        <v>-26.059546968770501</v>
      </c>
      <c r="AG2356">
        <v>7.0159989999999999</v>
      </c>
      <c r="AH2356">
        <v>57.189649135519197</v>
      </c>
      <c r="AI2356">
        <v>83.630101058073606</v>
      </c>
      <c r="AJ2356">
        <v>114.49728088305601</v>
      </c>
      <c r="AK2356">
        <v>63.2374904501226</v>
      </c>
      <c r="AL2356">
        <v>80.858622419303003</v>
      </c>
      <c r="AM2356">
        <v>94.715170535845303</v>
      </c>
      <c r="AN2356">
        <v>0.99999992739275201</v>
      </c>
    </row>
    <row r="2357" spans="1:40" x14ac:dyDescent="0.3">
      <c r="A2357" t="str">
        <f>"20200111150852482"</f>
        <v>20200111150852482</v>
      </c>
      <c r="B2357" t="str">
        <f>"1578726532476168"</f>
        <v>1578726532476168</v>
      </c>
      <c r="C2357" t="s">
        <v>40</v>
      </c>
      <c r="D2357">
        <v>5.2133560000000001</v>
      </c>
      <c r="E2357">
        <v>0.32688050000000002</v>
      </c>
      <c r="F2357" t="s">
        <v>90</v>
      </c>
      <c r="G2357">
        <v>-362.17660000000001</v>
      </c>
      <c r="H2357">
        <v>10.471209999999999</v>
      </c>
      <c r="I2357">
        <v>0.32025049999999999</v>
      </c>
      <c r="J2357">
        <v>-415.19330000000002</v>
      </c>
      <c r="K2357">
        <v>1.117092</v>
      </c>
      <c r="L2357">
        <v>32.117489999999997</v>
      </c>
      <c r="M2357">
        <v>0.48009570000000001</v>
      </c>
      <c r="N2357">
        <v>0</v>
      </c>
      <c r="O2357">
        <v>-0.87711640000000002</v>
      </c>
      <c r="P2357">
        <v>0.54228379999999998</v>
      </c>
      <c r="Q2357">
        <v>0.14691979999999999</v>
      </c>
      <c r="R2357">
        <v>-0.82725020000000005</v>
      </c>
      <c r="S2357">
        <v>2.8196110000000001</v>
      </c>
      <c r="T2357">
        <v>0.49644700000000003</v>
      </c>
      <c r="U2357">
        <v>-1.698029</v>
      </c>
      <c r="V2357">
        <v>-8.1239640000000002E-2</v>
      </c>
      <c r="W2357">
        <v>0.15857879999999999</v>
      </c>
      <c r="X2357">
        <v>0.98399840000000005</v>
      </c>
      <c r="Y2357">
        <v>-0.49306270000000002</v>
      </c>
      <c r="Z2357">
        <v>-0.1500648</v>
      </c>
      <c r="AA2357">
        <v>0.85695370000000004</v>
      </c>
      <c r="AB2357">
        <v>36</v>
      </c>
      <c r="AC2357">
        <v>53.0167</v>
      </c>
      <c r="AD2357">
        <v>9.3541179999999997</v>
      </c>
      <c r="AE2357">
        <v>-31.7972395</v>
      </c>
      <c r="AF2357">
        <v>-30.5396377398548</v>
      </c>
      <c r="AG2357">
        <v>9.3541179999999997</v>
      </c>
      <c r="AH2357">
        <v>52.153598735011002</v>
      </c>
      <c r="AI2357">
        <v>81.201916941235595</v>
      </c>
      <c r="AJ2357">
        <v>120.35200469437</v>
      </c>
      <c r="AK2357">
        <v>61.156903599283297</v>
      </c>
      <c r="AL2357">
        <v>80.875585526768404</v>
      </c>
      <c r="AM2357">
        <v>94.719678063864606</v>
      </c>
      <c r="AN2357">
        <v>0.99999998305966398</v>
      </c>
    </row>
    <row r="2358" spans="1:40" x14ac:dyDescent="0.3">
      <c r="A2358" t="str">
        <f>"20200111150852496"</f>
        <v>20200111150852496</v>
      </c>
      <c r="B2358" t="str">
        <f>"1578726532485926"</f>
        <v>1578726532485926</v>
      </c>
      <c r="C2358" t="s">
        <v>40</v>
      </c>
      <c r="D2358">
        <v>3.854114</v>
      </c>
      <c r="E2358">
        <v>0.33472170000000001</v>
      </c>
      <c r="F2358" t="s">
        <v>90</v>
      </c>
      <c r="G2358">
        <v>-363.76589999999999</v>
      </c>
      <c r="H2358">
        <v>10.36153</v>
      </c>
      <c r="I2358">
        <v>0.32028579999999901</v>
      </c>
      <c r="J2358">
        <v>-415.07909999999998</v>
      </c>
      <c r="K2358">
        <v>1.117138</v>
      </c>
      <c r="L2358">
        <v>31.916899999999998</v>
      </c>
      <c r="M2358">
        <v>0.48426720000000001</v>
      </c>
      <c r="N2358">
        <v>0</v>
      </c>
      <c r="O2358">
        <v>-0.87482019999999905</v>
      </c>
      <c r="P2358">
        <v>0.54677390000000003</v>
      </c>
      <c r="Q2358">
        <v>0.146533</v>
      </c>
      <c r="R2358">
        <v>-0.82435829999999999</v>
      </c>
      <c r="S2358">
        <v>2.7773129999999999</v>
      </c>
      <c r="T2358">
        <v>0.49924170000000001</v>
      </c>
      <c r="U2358">
        <v>-1.7171940000000001</v>
      </c>
      <c r="V2358">
        <v>-8.1882629999999998E-2</v>
      </c>
      <c r="W2358">
        <v>0.15817619999999999</v>
      </c>
      <c r="X2358">
        <v>0.98400989999999999</v>
      </c>
      <c r="Y2358">
        <v>-0.47863119999999998</v>
      </c>
      <c r="Z2358">
        <v>-0.15124840000000001</v>
      </c>
      <c r="AA2358">
        <v>0.86489079999999996</v>
      </c>
      <c r="AB2358">
        <v>36</v>
      </c>
      <c r="AC2358">
        <v>51.313200000000002</v>
      </c>
      <c r="AD2358">
        <v>9.2443919999999995</v>
      </c>
      <c r="AE2358">
        <v>-31.596614200000001</v>
      </c>
      <c r="AF2358">
        <v>-28.910838928055199</v>
      </c>
      <c r="AG2358">
        <v>9.2443919999999995</v>
      </c>
      <c r="AH2358">
        <v>51.288262247422402</v>
      </c>
      <c r="AI2358">
        <v>81.076503994896299</v>
      </c>
      <c r="AJ2358">
        <v>119.40965549960799</v>
      </c>
      <c r="AK2358">
        <v>59.596822359367302</v>
      </c>
      <c r="AL2358">
        <v>80.898947636007193</v>
      </c>
      <c r="AM2358">
        <v>94.756806965263095</v>
      </c>
      <c r="AN2358">
        <v>0.999999979320083</v>
      </c>
    </row>
    <row r="2359" spans="1:40" x14ac:dyDescent="0.3">
      <c r="A2359" t="str">
        <f>"20200111150852512"</f>
        <v>20200111150852512</v>
      </c>
      <c r="B2359" t="str">
        <f>"1578726532506423"</f>
        <v>1578726532506423</v>
      </c>
      <c r="C2359" t="s">
        <v>40</v>
      </c>
      <c r="D2359">
        <v>4.8498599999999996</v>
      </c>
      <c r="E2359">
        <v>0.3352038</v>
      </c>
      <c r="F2359" t="s">
        <v>90</v>
      </c>
      <c r="G2359">
        <v>-364.55130000000003</v>
      </c>
      <c r="H2359">
        <v>9.6286430000000003</v>
      </c>
      <c r="I2359">
        <v>-0.23280049999999999</v>
      </c>
      <c r="J2359">
        <v>-414.96550000000002</v>
      </c>
      <c r="K2359">
        <v>1.1171799999999901</v>
      </c>
      <c r="L2359">
        <v>31.72</v>
      </c>
      <c r="M2359">
        <v>0.48839769999999999</v>
      </c>
      <c r="N2359">
        <v>0</v>
      </c>
      <c r="O2359">
        <v>-0.87252070000000004</v>
      </c>
      <c r="P2359">
        <v>0.55105369999999998</v>
      </c>
      <c r="Q2359">
        <v>0.14625829999999901</v>
      </c>
      <c r="R2359">
        <v>-0.82155279999999997</v>
      </c>
      <c r="S2359">
        <v>2.7372740000000002</v>
      </c>
      <c r="T2359">
        <v>0.46109990000000001</v>
      </c>
      <c r="U2359">
        <v>-1.7416689999999999</v>
      </c>
      <c r="V2359">
        <v>-8.2337809999999997E-2</v>
      </c>
      <c r="W2359">
        <v>0.1578909</v>
      </c>
      <c r="X2359">
        <v>0.98401780000000005</v>
      </c>
      <c r="Y2359">
        <v>-0.46477429999999997</v>
      </c>
      <c r="Z2359">
        <v>-0.14001269999999999</v>
      </c>
      <c r="AA2359">
        <v>0.87428899999999998</v>
      </c>
      <c r="AB2359">
        <v>36</v>
      </c>
      <c r="AC2359">
        <v>50.414200000000001</v>
      </c>
      <c r="AD2359">
        <v>8.5114629999999991</v>
      </c>
      <c r="AE2359">
        <v>-31.952800499999999</v>
      </c>
      <c r="AF2359">
        <v>-27.8185560364421</v>
      </c>
      <c r="AG2359">
        <v>8.5114629999999991</v>
      </c>
      <c r="AH2359">
        <v>51.459825246162403</v>
      </c>
      <c r="AI2359">
        <v>81.721516779870697</v>
      </c>
      <c r="AJ2359">
        <v>118.39511687415801</v>
      </c>
      <c r="AK2359">
        <v>59.1137097188005</v>
      </c>
      <c r="AL2359">
        <v>80.9155027155536</v>
      </c>
      <c r="AM2359">
        <v>94.783089163395701</v>
      </c>
      <c r="AN2359">
        <v>1.00000004098762</v>
      </c>
    </row>
    <row r="2360" spans="1:40" x14ac:dyDescent="0.3">
      <c r="A2360" t="str">
        <f>"20200111150852541"</f>
        <v>20200111150852541</v>
      </c>
      <c r="B2360" t="str">
        <f>"1578726532535703"</f>
        <v>1578726532535703</v>
      </c>
      <c r="C2360" t="s">
        <v>40</v>
      </c>
      <c r="D2360">
        <v>4.2579399999999996</v>
      </c>
      <c r="E2360">
        <v>0.37552760000000002</v>
      </c>
      <c r="F2360" t="s">
        <v>90</v>
      </c>
      <c r="G2360">
        <v>-364.55130000000003</v>
      </c>
      <c r="H2360">
        <v>9.5591039999999996</v>
      </c>
      <c r="I2360">
        <v>-6.8059919999999996E-2</v>
      </c>
      <c r="J2360">
        <v>-414.7217</v>
      </c>
      <c r="K2360">
        <v>1.117286</v>
      </c>
      <c r="L2360">
        <v>31.303709999999999</v>
      </c>
      <c r="M2360">
        <v>0.49722270000000002</v>
      </c>
      <c r="N2360">
        <v>0</v>
      </c>
      <c r="O2360">
        <v>-0.86752169999999895</v>
      </c>
      <c r="P2360">
        <v>0.56054769999999998</v>
      </c>
      <c r="Q2360">
        <v>0.1457272</v>
      </c>
      <c r="R2360">
        <v>-0.81519929999999996</v>
      </c>
      <c r="S2360">
        <v>2.7433169999999998</v>
      </c>
      <c r="T2360">
        <v>0.45937250000000002</v>
      </c>
      <c r="U2360">
        <v>-1.7297669999999901</v>
      </c>
      <c r="V2360">
        <v>-8.3760459999999995E-2</v>
      </c>
      <c r="W2360">
        <v>0.15733239999999901</v>
      </c>
      <c r="X2360">
        <v>0.98398719999999995</v>
      </c>
      <c r="Y2360">
        <v>-0.45950679999999999</v>
      </c>
      <c r="Z2360">
        <v>-0.138938899999999</v>
      </c>
      <c r="AA2360">
        <v>0.87723969999999996</v>
      </c>
      <c r="AB2360">
        <v>36</v>
      </c>
      <c r="AC2360">
        <v>50.170399999999901</v>
      </c>
      <c r="AD2360">
        <v>8.4418179999999996</v>
      </c>
      <c r="AE2360">
        <v>-31.371769919999998</v>
      </c>
      <c r="AF2360">
        <v>-27.370510832719599</v>
      </c>
      <c r="AG2360">
        <v>8.4418179999999996</v>
      </c>
      <c r="AH2360">
        <v>51.1255308006644</v>
      </c>
      <c r="AI2360">
        <v>81.717573902904704</v>
      </c>
      <c r="AJ2360">
        <v>118.162768802581</v>
      </c>
      <c r="AK2360">
        <v>58.602295637959699</v>
      </c>
      <c r="AL2360">
        <v>80.947907549528097</v>
      </c>
      <c r="AM2360">
        <v>94.865489595774406</v>
      </c>
      <c r="AN2360">
        <v>1.0000000542565</v>
      </c>
    </row>
    <row r="2361" spans="1:40" x14ac:dyDescent="0.3">
      <c r="A2361" t="str">
        <f>"20200111150852556"</f>
        <v>20200111150852556</v>
      </c>
      <c r="B2361" t="str">
        <f>"1578726532545972"</f>
        <v>1578726532545972</v>
      </c>
      <c r="C2361" t="s">
        <v>40</v>
      </c>
      <c r="D2361">
        <v>4.8056599999999996</v>
      </c>
      <c r="E2361">
        <v>0.3794652</v>
      </c>
      <c r="F2361" t="s">
        <v>90</v>
      </c>
      <c r="G2361">
        <v>-364.55130000000003</v>
      </c>
      <c r="H2361">
        <v>5.1577140000000004</v>
      </c>
      <c r="I2361">
        <v>-6.8234149999999998</v>
      </c>
      <c r="J2361">
        <v>-414.59140000000002</v>
      </c>
      <c r="K2361">
        <v>1.117346</v>
      </c>
      <c r="L2361">
        <v>31.085570000000001</v>
      </c>
      <c r="M2361">
        <v>0.50191869999999905</v>
      </c>
      <c r="N2361">
        <v>0</v>
      </c>
      <c r="O2361">
        <v>-0.86481299999999905</v>
      </c>
      <c r="P2361">
        <v>0.56532789999999999</v>
      </c>
      <c r="Q2361">
        <v>0.14589579999999999</v>
      </c>
      <c r="R2361">
        <v>-0.81186139999999996</v>
      </c>
      <c r="S2361">
        <v>2.5172119999999998</v>
      </c>
      <c r="T2361">
        <v>0.2027217</v>
      </c>
      <c r="U2361">
        <v>-1.9129640000000001</v>
      </c>
      <c r="V2361">
        <v>-8.424951E-2</v>
      </c>
      <c r="W2361">
        <v>0.1574921</v>
      </c>
      <c r="X2361">
        <v>0.98391989999999996</v>
      </c>
      <c r="Y2361">
        <v>-0.38317590000000001</v>
      </c>
      <c r="Z2361">
        <v>-6.1764899999999998E-2</v>
      </c>
      <c r="AA2361">
        <v>0.92160799999999998</v>
      </c>
      <c r="AB2361">
        <v>36</v>
      </c>
      <c r="AC2361">
        <v>50.040100000000002</v>
      </c>
      <c r="AD2361">
        <v>4.040368</v>
      </c>
      <c r="AE2361">
        <v>-37.908984999999902</v>
      </c>
      <c r="AF2361">
        <v>-24.1502024202047</v>
      </c>
      <c r="AG2361">
        <v>4.040368</v>
      </c>
      <c r="AH2361">
        <v>57.666481328163101</v>
      </c>
      <c r="AI2361">
        <v>86.302345366323294</v>
      </c>
      <c r="AJ2361">
        <v>112.72349597007</v>
      </c>
      <c r="AK2361">
        <v>62.649660168940002</v>
      </c>
      <c r="AL2361">
        <v>80.938641910855097</v>
      </c>
      <c r="AM2361">
        <v>94.894093145497393</v>
      </c>
      <c r="AN2361">
        <v>1.00000005555682</v>
      </c>
    </row>
    <row r="2362" spans="1:40" x14ac:dyDescent="0.3">
      <c r="A2362" t="str">
        <f>"20200111150852571"</f>
        <v>20200111150852571</v>
      </c>
      <c r="B2362" t="str">
        <f>"1578726532565491"</f>
        <v>1578726532565491</v>
      </c>
      <c r="C2362" t="s">
        <v>40</v>
      </c>
      <c r="D2362">
        <v>4.3430299999999997</v>
      </c>
      <c r="E2362">
        <v>0.3754402</v>
      </c>
      <c r="F2362" t="s">
        <v>90</v>
      </c>
      <c r="G2362">
        <v>-364.4</v>
      </c>
      <c r="H2362">
        <v>4.1163619999999996</v>
      </c>
      <c r="I2362">
        <v>-7.4162030000000003</v>
      </c>
      <c r="J2362">
        <v>-414.47669999999999</v>
      </c>
      <c r="K2362">
        <v>1.1174010000000001</v>
      </c>
      <c r="L2362">
        <v>30.895969999999998</v>
      </c>
      <c r="M2362">
        <v>0.50604259999999901</v>
      </c>
      <c r="N2362">
        <v>0</v>
      </c>
      <c r="O2362">
        <v>-0.86240609999999995</v>
      </c>
      <c r="P2362">
        <v>0.56994899999999904</v>
      </c>
      <c r="Q2362">
        <v>0.14612120000000001</v>
      </c>
      <c r="R2362">
        <v>-0.8085833</v>
      </c>
      <c r="S2362">
        <v>2.506653</v>
      </c>
      <c r="T2362">
        <v>0.14977660000000001</v>
      </c>
      <c r="U2362">
        <v>-1.922852</v>
      </c>
      <c r="V2362">
        <v>-8.521078E-2</v>
      </c>
      <c r="W2362">
        <v>0.157698799999999</v>
      </c>
      <c r="X2362">
        <v>0.98380389999999995</v>
      </c>
      <c r="Y2362">
        <v>-0.37536900000000001</v>
      </c>
      <c r="Z2362">
        <v>-4.5522439999999997E-2</v>
      </c>
      <c r="AA2362">
        <v>0.92575689999999999</v>
      </c>
      <c r="AB2362">
        <v>36</v>
      </c>
      <c r="AC2362">
        <v>50.076700000000002</v>
      </c>
      <c r="AD2362">
        <v>2.998961</v>
      </c>
      <c r="AE2362">
        <v>-38.312173000000001</v>
      </c>
      <c r="AF2362">
        <v>-23.747238337925399</v>
      </c>
      <c r="AG2362">
        <v>2.998961</v>
      </c>
      <c r="AH2362">
        <v>58.254960957931097</v>
      </c>
      <c r="AI2362">
        <v>87.270705579019506</v>
      </c>
      <c r="AJ2362">
        <v>112.177931304864</v>
      </c>
      <c r="AK2362">
        <v>62.980676179029999</v>
      </c>
      <c r="AL2362">
        <v>80.926648051919102</v>
      </c>
      <c r="AM2362">
        <v>94.950238625247806</v>
      </c>
      <c r="AN2362">
        <v>0.99999995110242801</v>
      </c>
    </row>
    <row r="2363" spans="1:40" x14ac:dyDescent="0.3">
      <c r="A2363" t="str">
        <f>"20200111150852615"</f>
        <v>20200111150852615</v>
      </c>
      <c r="B2363" t="str">
        <f>"1578726532606482"</f>
        <v>1578726532606482</v>
      </c>
      <c r="C2363" t="s">
        <v>40</v>
      </c>
      <c r="D2363">
        <v>4.9674319999999996</v>
      </c>
      <c r="E2363">
        <v>0.3754402</v>
      </c>
      <c r="F2363" t="s">
        <v>90</v>
      </c>
      <c r="G2363">
        <v>-364.55130000000003</v>
      </c>
      <c r="H2363">
        <v>4.4929600000000001</v>
      </c>
      <c r="I2363">
        <v>-6.1665700000000001</v>
      </c>
      <c r="J2363">
        <v>-414.0994</v>
      </c>
      <c r="K2363">
        <v>1.117604</v>
      </c>
      <c r="L2363">
        <v>30.285799999999998</v>
      </c>
      <c r="M2363">
        <v>0.51956259999999999</v>
      </c>
      <c r="N2363">
        <v>0</v>
      </c>
      <c r="O2363">
        <v>-0.85432870000000005</v>
      </c>
      <c r="P2363">
        <v>0.58362029999999998</v>
      </c>
      <c r="Q2363">
        <v>0.14592179999999999</v>
      </c>
      <c r="R2363">
        <v>-0.79880819999999997</v>
      </c>
      <c r="S2363">
        <v>2.5421749999999999</v>
      </c>
      <c r="T2363">
        <v>0.1718819</v>
      </c>
      <c r="U2363">
        <v>-1.8872070000000001</v>
      </c>
      <c r="V2363">
        <v>-8.6507689999999998E-2</v>
      </c>
      <c r="W2363">
        <v>0.15747130000000001</v>
      </c>
      <c r="X2363">
        <v>0.98372720000000002</v>
      </c>
      <c r="Y2363">
        <v>-0.3750793</v>
      </c>
      <c r="Z2363">
        <v>-5.1813659999999997E-2</v>
      </c>
      <c r="AA2363">
        <v>0.92554349999999996</v>
      </c>
      <c r="AB2363">
        <v>36</v>
      </c>
      <c r="AC2363">
        <v>49.548099999999899</v>
      </c>
      <c r="AD2363">
        <v>3.3753559999999898</v>
      </c>
      <c r="AE2363">
        <v>-36.452370000000002</v>
      </c>
      <c r="AF2363">
        <v>-23.322922629203799</v>
      </c>
      <c r="AG2363">
        <v>3.3753559999999898</v>
      </c>
      <c r="AH2363">
        <v>56.719901427594401</v>
      </c>
      <c r="AI2363">
        <v>86.849739328663304</v>
      </c>
      <c r="AJ2363">
        <v>112.35220490444701</v>
      </c>
      <c r="AK2363">
        <v>61.420672139358601</v>
      </c>
      <c r="AL2363">
        <v>80.939848190229995</v>
      </c>
      <c r="AM2363">
        <v>95.025588256675107</v>
      </c>
      <c r="AN2363">
        <v>0.99999999738633305</v>
      </c>
    </row>
    <row r="2364" spans="1:40" x14ac:dyDescent="0.3">
      <c r="A2364" t="str">
        <f>"20200111150852627"</f>
        <v>20200111150852627</v>
      </c>
      <c r="B2364" t="str">
        <f>"1578726532616243"</f>
        <v>1578726532616243</v>
      </c>
      <c r="C2364" t="s">
        <v>40</v>
      </c>
      <c r="D2364">
        <v>4.9397909999999996</v>
      </c>
      <c r="E2364">
        <v>0.4125839</v>
      </c>
      <c r="F2364" t="s">
        <v>90</v>
      </c>
      <c r="G2364">
        <v>-364.4</v>
      </c>
      <c r="H2364">
        <v>4.428261</v>
      </c>
      <c r="I2364">
        <v>-5.3125039999999997</v>
      </c>
      <c r="J2364">
        <v>-413.98989999999998</v>
      </c>
      <c r="K2364">
        <v>1.1176710000000001</v>
      </c>
      <c r="L2364">
        <v>30.112950000000001</v>
      </c>
      <c r="M2364">
        <v>0.52348300000000003</v>
      </c>
      <c r="N2364">
        <v>0</v>
      </c>
      <c r="O2364">
        <v>-0.85193169999999996</v>
      </c>
      <c r="P2364">
        <v>0.58761779999999997</v>
      </c>
      <c r="Q2364">
        <v>0.1459617</v>
      </c>
      <c r="R2364">
        <v>-0.79586449999999997</v>
      </c>
      <c r="S2364">
        <v>2.5740050000000001</v>
      </c>
      <c r="T2364">
        <v>0.1714638</v>
      </c>
      <c r="U2364">
        <v>-1.8436889999999999</v>
      </c>
      <c r="V2364">
        <v>-8.6948209999999998E-2</v>
      </c>
      <c r="W2364">
        <v>0.157501</v>
      </c>
      <c r="X2364">
        <v>0.98368359999999999</v>
      </c>
      <c r="Y2364">
        <v>-0.38655390000000001</v>
      </c>
      <c r="Z2364">
        <v>-5.1781319999999999E-2</v>
      </c>
      <c r="AA2364">
        <v>0.92081199999999996</v>
      </c>
      <c r="AB2364">
        <v>36</v>
      </c>
      <c r="AC2364">
        <v>49.5899</v>
      </c>
      <c r="AD2364">
        <v>3.3105899999999999</v>
      </c>
      <c r="AE2364">
        <v>-35.425453999999903</v>
      </c>
      <c r="AF2364">
        <v>-23.634949408798398</v>
      </c>
      <c r="AG2364">
        <v>3.3105899999999999</v>
      </c>
      <c r="AH2364">
        <v>55.979342373951603</v>
      </c>
      <c r="AI2364">
        <v>86.881465722478197</v>
      </c>
      <c r="AJ2364">
        <v>112.889880242882</v>
      </c>
      <c r="AK2364">
        <v>60.8543968199887</v>
      </c>
      <c r="AL2364">
        <v>80.938124939923995</v>
      </c>
      <c r="AM2364">
        <v>95.051270543886702</v>
      </c>
      <c r="AN2364">
        <v>0.99999999056608102</v>
      </c>
    </row>
    <row r="2365" spans="1:40" x14ac:dyDescent="0.3">
      <c r="A2365" t="str">
        <f>"20200111150852641"</f>
        <v>20200111150852641</v>
      </c>
      <c r="B2365" t="str">
        <f>"1578726532635762"</f>
        <v>1578726532635762</v>
      </c>
      <c r="C2365" t="s">
        <v>40</v>
      </c>
      <c r="D2365">
        <v>5.2897499999999997</v>
      </c>
      <c r="E2365">
        <v>0.38661970000000001</v>
      </c>
      <c r="F2365" t="s">
        <v>89</v>
      </c>
      <c r="G2365">
        <v>-403.48899999999998</v>
      </c>
      <c r="H2365" s="1">
        <v>-4.766751E-6</v>
      </c>
      <c r="I2365">
        <v>21.019639999999999</v>
      </c>
      <c r="J2365">
        <v>-413.87130000000002</v>
      </c>
      <c r="K2365">
        <v>1.11774</v>
      </c>
      <c r="L2365">
        <v>29.927309999999999</v>
      </c>
      <c r="M2365">
        <v>0.52772430000000004</v>
      </c>
      <c r="N2365">
        <v>0</v>
      </c>
      <c r="O2365">
        <v>-0.84931119999999904</v>
      </c>
      <c r="P2365">
        <v>0.5917441</v>
      </c>
      <c r="Q2365">
        <v>0.14613280000000001</v>
      </c>
      <c r="R2365">
        <v>-0.79277030000000004</v>
      </c>
      <c r="S2365">
        <v>2.3785400000000001</v>
      </c>
      <c r="T2365">
        <v>-0.25316450000000001</v>
      </c>
      <c r="U2365">
        <v>-2.059723</v>
      </c>
      <c r="V2365">
        <v>-8.7201070000000006E-2</v>
      </c>
      <c r="W2365">
        <v>0.15766440000000001</v>
      </c>
      <c r="X2365">
        <v>0.98363509999999998</v>
      </c>
      <c r="Y2365">
        <v>-0.29417110000000002</v>
      </c>
      <c r="Z2365">
        <v>7.4533890000000005E-2</v>
      </c>
      <c r="AA2365">
        <v>0.95284210000000003</v>
      </c>
      <c r="AB2365">
        <v>36</v>
      </c>
      <c r="AC2365">
        <v>10.382299999999899</v>
      </c>
      <c r="AD2365">
        <v>-1.1177447667510001</v>
      </c>
      <c r="AE2365">
        <v>-8.9076699999999995</v>
      </c>
      <c r="AF2365">
        <v>-4.0900696539307901</v>
      </c>
      <c r="AG2365">
        <v>-1.1177447667510001</v>
      </c>
      <c r="AH2365">
        <v>12.959018600157</v>
      </c>
      <c r="AI2365">
        <v>94.702151626273803</v>
      </c>
      <c r="AJ2365">
        <v>107.516513986612</v>
      </c>
      <c r="AK2365">
        <v>13.635035248096001</v>
      </c>
      <c r="AL2365">
        <v>80.928644898906597</v>
      </c>
      <c r="AM2365">
        <v>95.066132641239506</v>
      </c>
      <c r="AN2365">
        <v>1.0000000497942501</v>
      </c>
    </row>
    <row r="2366" spans="1:40" x14ac:dyDescent="0.3">
      <c r="A2366" t="str">
        <f>"20200111150852654"</f>
        <v>20200111150852654</v>
      </c>
      <c r="B2366" t="str">
        <f>"1578726532645819"</f>
        <v>1578726532645819</v>
      </c>
      <c r="C2366" t="s">
        <v>40</v>
      </c>
      <c r="D2366">
        <v>5.0494690000000002</v>
      </c>
      <c r="E2366">
        <v>0.38661970000000001</v>
      </c>
      <c r="F2366" t="s">
        <v>90</v>
      </c>
      <c r="G2366">
        <v>-364.55130000000003</v>
      </c>
      <c r="H2366">
        <v>1.8944209999999999</v>
      </c>
      <c r="I2366">
        <v>-6.8353759999999903</v>
      </c>
      <c r="J2366">
        <v>-413.75209999999998</v>
      </c>
      <c r="K2366">
        <v>1.1178129999999999</v>
      </c>
      <c r="L2366">
        <v>29.74335</v>
      </c>
      <c r="M2366">
        <v>0.53198669999999904</v>
      </c>
      <c r="N2366">
        <v>0</v>
      </c>
      <c r="O2366">
        <v>-0.84664740000000005</v>
      </c>
      <c r="P2366">
        <v>0.59601359999999903</v>
      </c>
      <c r="Q2366">
        <v>0.14623820000000001</v>
      </c>
      <c r="R2366">
        <v>-0.78954559999999996</v>
      </c>
      <c r="S2366">
        <v>2.5317080000000001</v>
      </c>
      <c r="T2366">
        <v>3.9868830000000001E-2</v>
      </c>
      <c r="U2366">
        <v>-1.8871150000000001</v>
      </c>
      <c r="V2366">
        <v>-8.7605920000000004E-2</v>
      </c>
      <c r="W2366">
        <v>0.15775899999999901</v>
      </c>
      <c r="X2366">
        <v>0.98358389999999996</v>
      </c>
      <c r="Y2366">
        <v>-0.3608498</v>
      </c>
      <c r="Z2366">
        <v>-1.194432E-2</v>
      </c>
      <c r="AA2366">
        <v>0.93254749999999997</v>
      </c>
      <c r="AB2366">
        <v>36</v>
      </c>
      <c r="AC2366">
        <v>49.200799999999902</v>
      </c>
      <c r="AD2366">
        <v>0.77660799999999997</v>
      </c>
      <c r="AE2366">
        <v>-36.578726000000003</v>
      </c>
      <c r="AF2366">
        <v>-22.194751732885301</v>
      </c>
      <c r="AG2366">
        <v>0.77660799999999997</v>
      </c>
      <c r="AH2366">
        <v>57.139381885289403</v>
      </c>
      <c r="AI2366">
        <v>89.274143382739197</v>
      </c>
      <c r="AJ2366">
        <v>111.22775207758001</v>
      </c>
      <c r="AK2366">
        <v>61.303499791635197</v>
      </c>
      <c r="AL2366">
        <v>80.923155513928293</v>
      </c>
      <c r="AM2366">
        <v>95.089793559544702</v>
      </c>
      <c r="AN2366">
        <v>0.99999999381962801</v>
      </c>
    </row>
    <row r="2367" spans="1:40" x14ac:dyDescent="0.3">
      <c r="A2367" t="str">
        <f>"20200111150852670"</f>
        <v>20200111150852670</v>
      </c>
      <c r="B2367" t="str">
        <f>"1578726532666315"</f>
        <v>1578726532666315</v>
      </c>
      <c r="C2367" t="s">
        <v>40</v>
      </c>
      <c r="D2367">
        <v>5.0000410000000004</v>
      </c>
      <c r="E2367">
        <v>0.410966</v>
      </c>
      <c r="F2367" t="s">
        <v>90</v>
      </c>
      <c r="G2367">
        <v>-364.55130000000003</v>
      </c>
      <c r="H2367">
        <v>1.893513</v>
      </c>
      <c r="I2367">
        <v>-6.5182019999999996</v>
      </c>
      <c r="J2367">
        <v>-413.62490000000003</v>
      </c>
      <c r="K2367">
        <v>1.117882</v>
      </c>
      <c r="L2367">
        <v>29.549410000000002</v>
      </c>
      <c r="M2367">
        <v>0.53652849999999996</v>
      </c>
      <c r="N2367">
        <v>0</v>
      </c>
      <c r="O2367">
        <v>-0.84377619999999898</v>
      </c>
      <c r="P2367">
        <v>0.60073989999999999</v>
      </c>
      <c r="Q2367">
        <v>0.1462156</v>
      </c>
      <c r="R2367">
        <v>-0.78595999999999999</v>
      </c>
      <c r="S2367">
        <v>2.5419010000000002</v>
      </c>
      <c r="T2367">
        <v>4.0075659999999999E-2</v>
      </c>
      <c r="U2367">
        <v>-1.873413</v>
      </c>
      <c r="V2367">
        <v>-8.8249430000000004E-2</v>
      </c>
      <c r="W2367">
        <v>0.15772139999999901</v>
      </c>
      <c r="X2367">
        <v>0.98353239999999997</v>
      </c>
      <c r="Y2367">
        <v>-0.36088110000000001</v>
      </c>
      <c r="Z2367">
        <v>-1.1980609999999999E-2</v>
      </c>
      <c r="AA2367">
        <v>0.93253490000000006</v>
      </c>
      <c r="AB2367">
        <v>36</v>
      </c>
      <c r="AC2367">
        <v>49.073599999999999</v>
      </c>
      <c r="AD2367">
        <v>0.77563099999999996</v>
      </c>
      <c r="AE2367">
        <v>-36.067611999999997</v>
      </c>
      <c r="AF2367">
        <v>-22.054229915114298</v>
      </c>
      <c r="AG2367">
        <v>0.77563099999999996</v>
      </c>
      <c r="AH2367">
        <v>56.758249453000602</v>
      </c>
      <c r="AI2367">
        <v>89.270221601054303</v>
      </c>
      <c r="AJ2367">
        <v>111.234349667738</v>
      </c>
      <c r="AK2367">
        <v>60.897368921538202</v>
      </c>
      <c r="AL2367">
        <v>80.925337130160102</v>
      </c>
      <c r="AM2367">
        <v>95.127249172594802</v>
      </c>
      <c r="AN2367">
        <v>0.999999991881522</v>
      </c>
    </row>
    <row r="2368" spans="1:40" x14ac:dyDescent="0.3">
      <c r="A2368" t="str">
        <f>"20200111150852682"</f>
        <v>20200111150852682</v>
      </c>
      <c r="B2368" t="str">
        <f>"1578726532676075"</f>
        <v>1578726532676075</v>
      </c>
      <c r="C2368" t="s">
        <v>40</v>
      </c>
      <c r="D2368">
        <v>4.0001569999999997</v>
      </c>
      <c r="E2368">
        <v>0.410966</v>
      </c>
      <c r="F2368" t="s">
        <v>89</v>
      </c>
      <c r="G2368">
        <v>-402.85379999999998</v>
      </c>
      <c r="H2368" s="1">
        <v>-4.9883969999999997E-6</v>
      </c>
      <c r="I2368">
        <v>20.602460000000001</v>
      </c>
      <c r="J2368">
        <v>-413.50639999999999</v>
      </c>
      <c r="K2368">
        <v>1.11795</v>
      </c>
      <c r="L2368">
        <v>29.37039</v>
      </c>
      <c r="M2368">
        <v>0.54075410000000002</v>
      </c>
      <c r="N2368">
        <v>0</v>
      </c>
      <c r="O2368">
        <v>-0.84107419999999999</v>
      </c>
      <c r="P2368">
        <v>0.60473669999999902</v>
      </c>
      <c r="Q2368">
        <v>0.1464907</v>
      </c>
      <c r="R2368">
        <v>-0.78283719999999901</v>
      </c>
      <c r="S2368">
        <v>2.4224239999999999</v>
      </c>
      <c r="T2368">
        <v>-0.25141380000000002</v>
      </c>
      <c r="U2368">
        <v>-2.0121769999999999</v>
      </c>
      <c r="V2368">
        <v>-8.8388170000000002E-2</v>
      </c>
      <c r="W2368">
        <v>0.15798980000000001</v>
      </c>
      <c r="X2368">
        <v>0.98347689999999999</v>
      </c>
      <c r="Y2368">
        <v>-0.29905690000000001</v>
      </c>
      <c r="Z2368">
        <v>7.3572659999999998E-2</v>
      </c>
      <c r="AA2368">
        <v>0.95139479999999998</v>
      </c>
      <c r="AB2368">
        <v>36</v>
      </c>
      <c r="AC2368">
        <v>10.6526</v>
      </c>
      <c r="AD2368">
        <v>-1.1179549883969999</v>
      </c>
      <c r="AE2368">
        <v>-8.7679299999999998</v>
      </c>
      <c r="AF2368">
        <v>-4.1911925290984504</v>
      </c>
      <c r="AG2368">
        <v>-1.1179549883969999</v>
      </c>
      <c r="AH2368">
        <v>13.0504078904019</v>
      </c>
      <c r="AI2368">
        <v>94.662805523272098</v>
      </c>
      <c r="AJ2368">
        <v>107.80463643678701</v>
      </c>
      <c r="AK2368">
        <v>13.752420306183</v>
      </c>
      <c r="AL2368">
        <v>80.909764027941506</v>
      </c>
      <c r="AM2368">
        <v>95.135555080139198</v>
      </c>
      <c r="AN2368">
        <v>1.0000000291667901</v>
      </c>
    </row>
    <row r="2369" spans="1:40" x14ac:dyDescent="0.3">
      <c r="A2369" t="str">
        <f>"20200111150852695"</f>
        <v>20200111150852695</v>
      </c>
      <c r="B2369" t="str">
        <f>"1578726532685835"</f>
        <v>1578726532685835</v>
      </c>
      <c r="C2369" t="s">
        <v>40</v>
      </c>
      <c r="D2369">
        <v>4.0424290000000003</v>
      </c>
      <c r="E2369">
        <v>0.47531499999999999</v>
      </c>
      <c r="F2369" t="s">
        <v>89</v>
      </c>
      <c r="G2369">
        <v>-402.6454</v>
      </c>
      <c r="H2369" s="1">
        <v>-5.0571180000000003E-6</v>
      </c>
      <c r="I2369">
        <v>20.44313</v>
      </c>
      <c r="J2369">
        <v>-413.39400000000001</v>
      </c>
      <c r="K2369">
        <v>1.118018</v>
      </c>
      <c r="L2369">
        <v>29.20261</v>
      </c>
      <c r="M2369">
        <v>0.54476359999999902</v>
      </c>
      <c r="N2369">
        <v>0</v>
      </c>
      <c r="O2369">
        <v>-0.83848269999999903</v>
      </c>
      <c r="P2369">
        <v>0.60865459999999905</v>
      </c>
      <c r="Q2369">
        <v>0.14662030000000001</v>
      </c>
      <c r="R2369">
        <v>-0.77977079999999999</v>
      </c>
      <c r="S2369">
        <v>2.4328609999999999</v>
      </c>
      <c r="T2369">
        <v>-0.25042049999999999</v>
      </c>
      <c r="U2369">
        <v>-1.999695</v>
      </c>
      <c r="V2369">
        <v>-8.8666389999999998E-2</v>
      </c>
      <c r="W2369">
        <v>0.1581108</v>
      </c>
      <c r="X2369">
        <v>0.98343239999999998</v>
      </c>
      <c r="Y2369">
        <v>-0.29944229999999999</v>
      </c>
      <c r="Z2369">
        <v>7.3133889999999993E-2</v>
      </c>
      <c r="AA2369">
        <v>0.95130740000000003</v>
      </c>
      <c r="AB2369">
        <v>36</v>
      </c>
      <c r="AC2369">
        <v>10.7486</v>
      </c>
      <c r="AD2369">
        <v>-1.1180230571180001</v>
      </c>
      <c r="AE2369">
        <v>-8.7594799999999893</v>
      </c>
      <c r="AF2369">
        <v>-4.2136548036369499</v>
      </c>
      <c r="AG2369">
        <v>-1.1180230571180001</v>
      </c>
      <c r="AH2369">
        <v>13.1160292869959</v>
      </c>
      <c r="AI2369">
        <v>94.639717878486493</v>
      </c>
      <c r="AJ2369">
        <v>107.81013145482299</v>
      </c>
      <c r="AK2369">
        <v>13.821544292075099</v>
      </c>
      <c r="AL2369">
        <v>80.902742903912895</v>
      </c>
      <c r="AM2369">
        <v>95.151865307212901</v>
      </c>
      <c r="AN2369">
        <v>1.0000000195810099</v>
      </c>
    </row>
    <row r="2370" spans="1:40" x14ac:dyDescent="0.3">
      <c r="A2370" t="str">
        <f>"20200111150852708"</f>
        <v>20200111150852708</v>
      </c>
      <c r="B2370" t="str">
        <f>"1578726532706330"</f>
        <v>1578726532706330</v>
      </c>
      <c r="C2370" t="s">
        <v>40</v>
      </c>
      <c r="D2370">
        <v>5.0060789999999997</v>
      </c>
      <c r="E2370">
        <v>0.47531499999999999</v>
      </c>
      <c r="F2370" t="s">
        <v>89</v>
      </c>
      <c r="G2370">
        <v>-404.45030000000003</v>
      </c>
      <c r="H2370" s="1">
        <v>-6.1615539999999996E-6</v>
      </c>
      <c r="I2370">
        <v>19.09722</v>
      </c>
      <c r="J2370">
        <v>-413.28250000000003</v>
      </c>
      <c r="K2370">
        <v>1.11808</v>
      </c>
      <c r="L2370">
        <v>29.038180000000001</v>
      </c>
      <c r="M2370">
        <v>0.54873439999999996</v>
      </c>
      <c r="N2370">
        <v>0</v>
      </c>
      <c r="O2370">
        <v>-0.83588929999999995</v>
      </c>
      <c r="P2370">
        <v>0.61273290000000002</v>
      </c>
      <c r="Q2370">
        <v>0.14671149999999999</v>
      </c>
      <c r="R2370">
        <v>-0.77655280000000004</v>
      </c>
      <c r="S2370">
        <v>2.03891</v>
      </c>
      <c r="T2370">
        <v>-0.25487769999999998</v>
      </c>
      <c r="U2370">
        <v>-2.303741</v>
      </c>
      <c r="V2370">
        <v>-8.9193750000000002E-2</v>
      </c>
      <c r="W2370">
        <v>0.158188</v>
      </c>
      <c r="X2370">
        <v>0.98337229999999998</v>
      </c>
      <c r="Y2370">
        <v>-0.14102529999999999</v>
      </c>
      <c r="Z2370">
        <v>7.2274980000000003E-2</v>
      </c>
      <c r="AA2370">
        <v>0.98736429999999997</v>
      </c>
      <c r="AB2370">
        <v>36</v>
      </c>
      <c r="AC2370">
        <v>8.8322000000000003</v>
      </c>
      <c r="AD2370">
        <v>-1.1180861615540001</v>
      </c>
      <c r="AE2370">
        <v>-9.9409600000000005</v>
      </c>
      <c r="AF2370">
        <v>-1.9144336898979499</v>
      </c>
      <c r="AG2370">
        <v>-1.1180861615540001</v>
      </c>
      <c r="AH2370">
        <v>13.0648925959701</v>
      </c>
      <c r="AI2370">
        <v>94.839986247730096</v>
      </c>
      <c r="AJ2370">
        <v>98.336376074510099</v>
      </c>
      <c r="AK2370">
        <v>13.2516637280723</v>
      </c>
      <c r="AL2370">
        <v>80.8982633390046</v>
      </c>
      <c r="AM2370">
        <v>95.182655635975493</v>
      </c>
      <c r="AN2370">
        <v>1.0000000243951701</v>
      </c>
    </row>
    <row r="2371" spans="1:40" x14ac:dyDescent="0.3">
      <c r="A2371" t="str">
        <f>"20200111150852719"</f>
        <v>20200111150852719</v>
      </c>
      <c r="B2371" t="str">
        <f>"1578726532716091"</f>
        <v>1578726532716091</v>
      </c>
      <c r="C2371" t="s">
        <v>40</v>
      </c>
      <c r="D2371">
        <v>5.0146459999999999</v>
      </c>
      <c r="E2371">
        <v>0.41220950000000001</v>
      </c>
      <c r="F2371" t="s">
        <v>89</v>
      </c>
      <c r="G2371">
        <v>-404.27359999999999</v>
      </c>
      <c r="H2371" s="1">
        <v>-6.2060920000000004E-6</v>
      </c>
      <c r="I2371">
        <v>18.967379999999999</v>
      </c>
      <c r="J2371">
        <v>-413.17410000000001</v>
      </c>
      <c r="K2371">
        <v>1.1181410000000001</v>
      </c>
      <c r="L2371">
        <v>28.879149999999999</v>
      </c>
      <c r="M2371">
        <v>0.55259009999999997</v>
      </c>
      <c r="N2371">
        <v>0</v>
      </c>
      <c r="O2371">
        <v>-0.83334519999999901</v>
      </c>
      <c r="P2371">
        <v>0.61670990000000003</v>
      </c>
      <c r="Q2371">
        <v>0.1472214</v>
      </c>
      <c r="R2371">
        <v>-0.77330159999999903</v>
      </c>
      <c r="S2371">
        <v>2.0511170000000001</v>
      </c>
      <c r="T2371">
        <v>-0.25456119999999999</v>
      </c>
      <c r="U2371">
        <v>-2.2928769999999998</v>
      </c>
      <c r="V2371">
        <v>-8.9786279999999996E-2</v>
      </c>
      <c r="W2371">
        <v>0.158681399999999</v>
      </c>
      <c r="X2371">
        <v>0.98323890000000003</v>
      </c>
      <c r="Y2371">
        <v>-0.14170669999999999</v>
      </c>
      <c r="Z2371">
        <v>7.2014770000000006E-2</v>
      </c>
      <c r="AA2371">
        <v>0.98728570000000004</v>
      </c>
      <c r="AB2371">
        <v>36</v>
      </c>
      <c r="AC2371">
        <v>8.9005000000000205</v>
      </c>
      <c r="AD2371">
        <v>-1.1181472060919999</v>
      </c>
      <c r="AE2371">
        <v>-9.91176999999999</v>
      </c>
      <c r="AF2371">
        <v>-1.9266440018505899</v>
      </c>
      <c r="AG2371">
        <v>-1.1181472060919999</v>
      </c>
      <c r="AH2371">
        <v>13.0872380608785</v>
      </c>
      <c r="AI2371">
        <v>94.8315519670398</v>
      </c>
      <c r="AJ2371">
        <v>98.374671543667802</v>
      </c>
      <c r="AK2371">
        <v>13.275466483196199</v>
      </c>
      <c r="AL2371">
        <v>80.869632195234104</v>
      </c>
      <c r="AM2371">
        <v>95.217599479979697</v>
      </c>
      <c r="AN2371">
        <v>1.0000000486277001</v>
      </c>
    </row>
    <row r="2372" spans="1:40" x14ac:dyDescent="0.3">
      <c r="A2372" t="str">
        <f>"20200111150852732"</f>
        <v>20200111150852732</v>
      </c>
      <c r="B2372" t="str">
        <f>"1578726532725852"</f>
        <v>1578726532725852</v>
      </c>
      <c r="C2372" t="s">
        <v>40</v>
      </c>
      <c r="D2372">
        <v>5.0076359999999998</v>
      </c>
      <c r="E2372">
        <v>0.41178049999999999</v>
      </c>
      <c r="F2372" t="s">
        <v>89</v>
      </c>
      <c r="G2372">
        <v>-402.54020000000003</v>
      </c>
      <c r="H2372" s="1">
        <v>-5.0910269999999997E-6</v>
      </c>
      <c r="I2372">
        <v>20.358450000000001</v>
      </c>
      <c r="J2372">
        <v>-413.05790000000002</v>
      </c>
      <c r="K2372">
        <v>1.1182080000000001</v>
      </c>
      <c r="L2372">
        <v>28.71161</v>
      </c>
      <c r="M2372">
        <v>0.55672149999999998</v>
      </c>
      <c r="N2372">
        <v>0</v>
      </c>
      <c r="O2372">
        <v>-0.83059079999999996</v>
      </c>
      <c r="P2372">
        <v>0.620965199999999</v>
      </c>
      <c r="Q2372">
        <v>0.1469617</v>
      </c>
      <c r="R2372">
        <v>-0.76993789999999995</v>
      </c>
      <c r="S2372">
        <v>2.457306</v>
      </c>
      <c r="T2372">
        <v>-0.25838529999999998</v>
      </c>
      <c r="U2372">
        <v>-1.9689939999999999</v>
      </c>
      <c r="V2372">
        <v>-9.0321009999999993E-2</v>
      </c>
      <c r="W2372">
        <v>0.158407399999999</v>
      </c>
      <c r="X2372">
        <v>0.98323400000000005</v>
      </c>
      <c r="Y2372">
        <v>-0.29749249999999999</v>
      </c>
      <c r="Z2372">
        <v>7.4914629999999996E-2</v>
      </c>
      <c r="AA2372">
        <v>0.95178039999999997</v>
      </c>
      <c r="AB2372">
        <v>36</v>
      </c>
      <c r="AC2372">
        <v>10.5176999999999</v>
      </c>
      <c r="AD2372">
        <v>-1.1182130910270001</v>
      </c>
      <c r="AE2372">
        <v>-8.3531599999999901</v>
      </c>
      <c r="AF2372">
        <v>-4.0577631711100803</v>
      </c>
      <c r="AG2372">
        <v>-1.1182130910270001</v>
      </c>
      <c r="AH2372">
        <v>12.7065658234451</v>
      </c>
      <c r="AI2372">
        <v>94.792010634384496</v>
      </c>
      <c r="AJ2372">
        <v>107.710560644634</v>
      </c>
      <c r="AK2372">
        <v>13.385539118590099</v>
      </c>
      <c r="AL2372">
        <v>80.885531383746098</v>
      </c>
      <c r="AM2372">
        <v>95.248526326454098</v>
      </c>
      <c r="AN2372">
        <v>0.99999994398908798</v>
      </c>
    </row>
    <row r="2373" spans="1:40" x14ac:dyDescent="0.3">
      <c r="A2373" t="str">
        <f>"20200111150852744"</f>
        <v>20200111150852744</v>
      </c>
      <c r="B2373" t="str">
        <f>"1578726532735611"</f>
        <v>1578726532735611</v>
      </c>
      <c r="C2373" t="s">
        <v>40</v>
      </c>
      <c r="D2373">
        <v>4.9648899999999996</v>
      </c>
      <c r="E2373">
        <v>0.41252640000000002</v>
      </c>
      <c r="F2373" t="s">
        <v>89</v>
      </c>
      <c r="G2373">
        <v>-401.85250000000002</v>
      </c>
      <c r="H2373" s="1">
        <v>-5.3218660000000001E-6</v>
      </c>
      <c r="I2373">
        <v>19.855589999999999</v>
      </c>
      <c r="J2373">
        <v>-412.94589999999999</v>
      </c>
      <c r="K2373">
        <v>1.118274</v>
      </c>
      <c r="L2373">
        <v>28.551359999999999</v>
      </c>
      <c r="M2373">
        <v>0.56069519999999995</v>
      </c>
      <c r="N2373">
        <v>0</v>
      </c>
      <c r="O2373">
        <v>-0.82791299999999901</v>
      </c>
      <c r="P2373">
        <v>0.62491459999999999</v>
      </c>
      <c r="Q2373">
        <v>0.14695349999999999</v>
      </c>
      <c r="R2373">
        <v>-0.76673740000000001</v>
      </c>
      <c r="S2373">
        <v>2.4695130000000001</v>
      </c>
      <c r="T2373">
        <v>-0.24643960000000001</v>
      </c>
      <c r="U2373">
        <v>-1.9517519999999999</v>
      </c>
      <c r="V2373">
        <v>-9.0688389999999994E-2</v>
      </c>
      <c r="W2373">
        <v>0.1583881</v>
      </c>
      <c r="X2373">
        <v>0.98320339999999995</v>
      </c>
      <c r="Y2373">
        <v>-0.2995313</v>
      </c>
      <c r="Z2373">
        <v>7.1381769999999997E-2</v>
      </c>
      <c r="AA2373">
        <v>0.95141240000000005</v>
      </c>
      <c r="AB2373">
        <v>36</v>
      </c>
      <c r="AC2373">
        <v>11.0933999999999</v>
      </c>
      <c r="AD2373">
        <v>-1.1182793218660001</v>
      </c>
      <c r="AE2373">
        <v>-8.6957699999999996</v>
      </c>
      <c r="AF2373">
        <v>-4.2821305120459296</v>
      </c>
      <c r="AG2373">
        <v>-1.1182793218660001</v>
      </c>
      <c r="AH2373">
        <v>13.3366269257005</v>
      </c>
      <c r="AI2373">
        <v>94.564579390360294</v>
      </c>
      <c r="AJ2373">
        <v>107.80081027166401</v>
      </c>
      <c r="AK2373">
        <v>14.0517902104759</v>
      </c>
      <c r="AL2373">
        <v>80.886652305944196</v>
      </c>
      <c r="AM2373">
        <v>95.269917801824903</v>
      </c>
      <c r="AN2373">
        <v>1.0000000500369699</v>
      </c>
    </row>
    <row r="2374" spans="1:40" x14ac:dyDescent="0.3">
      <c r="A2374" t="str">
        <f>"20200111150852759"</f>
        <v>20200111150852759</v>
      </c>
      <c r="B2374" t="str">
        <f>"1578726532756189"</f>
        <v>1578726532756189</v>
      </c>
      <c r="C2374" t="s">
        <v>40</v>
      </c>
      <c r="D2374">
        <v>5.1232730000000002</v>
      </c>
      <c r="E2374">
        <v>0.41276010000000002</v>
      </c>
      <c r="F2374" t="s">
        <v>89</v>
      </c>
      <c r="G2374">
        <v>-401.67970000000003</v>
      </c>
      <c r="H2374" s="1">
        <v>-5.3762509999999998E-6</v>
      </c>
      <c r="I2374">
        <v>19.708770000000001</v>
      </c>
      <c r="J2374">
        <v>-412.81319999999999</v>
      </c>
      <c r="K2374">
        <v>1.1183540000000001</v>
      </c>
      <c r="L2374">
        <v>28.363130000000002</v>
      </c>
      <c r="M2374">
        <v>0.56539830000000002</v>
      </c>
      <c r="N2374">
        <v>0</v>
      </c>
      <c r="O2374">
        <v>-0.82470829999999995</v>
      </c>
      <c r="P2374">
        <v>0.62978389999999995</v>
      </c>
      <c r="Q2374">
        <v>0.1462637</v>
      </c>
      <c r="R2374">
        <v>-0.76287569999999905</v>
      </c>
      <c r="S2374">
        <v>2.475006</v>
      </c>
      <c r="T2374">
        <v>-0.24566669999999999</v>
      </c>
      <c r="U2374">
        <v>-1.942566</v>
      </c>
      <c r="V2374">
        <v>-9.1295189999999998E-2</v>
      </c>
      <c r="W2374">
        <v>0.15768180000000001</v>
      </c>
      <c r="X2374">
        <v>0.98326069999999999</v>
      </c>
      <c r="Y2374">
        <v>-0.29733369999999998</v>
      </c>
      <c r="Z2374">
        <v>7.0944939999999998E-2</v>
      </c>
      <c r="AA2374">
        <v>0.95213419999999904</v>
      </c>
      <c r="AB2374">
        <v>36</v>
      </c>
      <c r="AC2374">
        <v>11.1334999999999</v>
      </c>
      <c r="AD2374">
        <v>-1.118359376251</v>
      </c>
      <c r="AE2374">
        <v>-8.6543599999999898</v>
      </c>
      <c r="AF2374">
        <v>-4.2623088535861404</v>
      </c>
      <c r="AG2374">
        <v>-1.118359376251</v>
      </c>
      <c r="AH2374">
        <v>13.3494359770204</v>
      </c>
      <c r="AI2374">
        <v>94.562908330300303</v>
      </c>
      <c r="AJ2374">
        <v>107.707635896973</v>
      </c>
      <c r="AK2374">
        <v>14.057931759770799</v>
      </c>
      <c r="AL2374">
        <v>80.927634712583796</v>
      </c>
      <c r="AM2374">
        <v>95.304671149690094</v>
      </c>
      <c r="AN2374">
        <v>0.999999982966433</v>
      </c>
    </row>
    <row r="2375" spans="1:40" x14ac:dyDescent="0.3">
      <c r="A2375" t="str">
        <f>"20200111150852772"</f>
        <v>20200111150852772</v>
      </c>
      <c r="B2375" t="str">
        <f>"1578726532765948"</f>
        <v>1578726532765948</v>
      </c>
      <c r="C2375" t="s">
        <v>40</v>
      </c>
      <c r="D2375">
        <v>5.0715219999999999</v>
      </c>
      <c r="E2375">
        <v>0.41220220000000002</v>
      </c>
      <c r="F2375" t="s">
        <v>89</v>
      </c>
      <c r="G2375">
        <v>-401.62180000000001</v>
      </c>
      <c r="H2375" s="1">
        <v>-5.3989819999999901E-6</v>
      </c>
      <c r="I2375">
        <v>19.685089999999999</v>
      </c>
      <c r="J2375">
        <v>-412.68759999999997</v>
      </c>
      <c r="K2375">
        <v>1.1184259999999999</v>
      </c>
      <c r="L2375">
        <v>28.188110000000002</v>
      </c>
      <c r="M2375">
        <v>0.56984389999999996</v>
      </c>
      <c r="N2375">
        <v>0</v>
      </c>
      <c r="O2375">
        <v>-0.82164269999999995</v>
      </c>
      <c r="P2375">
        <v>0.63378780000000001</v>
      </c>
      <c r="Q2375">
        <v>0.1458361</v>
      </c>
      <c r="R2375">
        <v>-0.7596347</v>
      </c>
      <c r="S2375">
        <v>2.486084</v>
      </c>
      <c r="T2375">
        <v>-0.24843570000000001</v>
      </c>
      <c r="U2375">
        <v>-1.927765</v>
      </c>
      <c r="V2375">
        <v>-9.1129390000000005E-2</v>
      </c>
      <c r="W2375">
        <v>0.1572547</v>
      </c>
      <c r="X2375">
        <v>0.98334449999999995</v>
      </c>
      <c r="Y2375">
        <v>-0.29772490000000001</v>
      </c>
      <c r="Z2375">
        <v>7.1570919999999996E-2</v>
      </c>
      <c r="AA2375">
        <v>0.95196510000000001</v>
      </c>
      <c r="AB2375">
        <v>36</v>
      </c>
      <c r="AC2375">
        <v>11.0657999999999</v>
      </c>
      <c r="AD2375">
        <v>-1.1184313989819901</v>
      </c>
      <c r="AE2375">
        <v>-8.5030199999999994</v>
      </c>
      <c r="AF2375">
        <v>-4.2200195884298699</v>
      </c>
      <c r="AG2375">
        <v>-1.1184313989819901</v>
      </c>
      <c r="AH2375">
        <v>13.2085894109313</v>
      </c>
      <c r="AI2375">
        <v>94.611380599333302</v>
      </c>
      <c r="AJ2375">
        <v>107.718190087243</v>
      </c>
      <c r="AK2375">
        <v>13.9113726262913</v>
      </c>
      <c r="AL2375">
        <v>80.9524151074625</v>
      </c>
      <c r="AM2375">
        <v>95.294643535429699</v>
      </c>
      <c r="AN2375">
        <v>1.00000000603705</v>
      </c>
    </row>
    <row r="2376" spans="1:40" x14ac:dyDescent="0.3">
      <c r="A2376" t="str">
        <f>"20200111150852785"</f>
        <v>20200111150852785</v>
      </c>
      <c r="B2376" t="str">
        <f>"1578726532775709"</f>
        <v>1578726532775709</v>
      </c>
      <c r="C2376" t="s">
        <v>40</v>
      </c>
      <c r="D2376">
        <v>5.0622749999999996</v>
      </c>
      <c r="E2376">
        <v>0.41204629999999998</v>
      </c>
      <c r="F2376" t="s">
        <v>89</v>
      </c>
      <c r="G2376">
        <v>-401.35919999999999</v>
      </c>
      <c r="H2376" s="1">
        <v>-7.2442830000000004E-6</v>
      </c>
      <c r="I2376">
        <v>19.524190000000001</v>
      </c>
      <c r="J2376">
        <v>-412.57080000000002</v>
      </c>
      <c r="K2376">
        <v>1.118495</v>
      </c>
      <c r="L2376">
        <v>28.026669999999999</v>
      </c>
      <c r="M2376">
        <v>0.57397159999999903</v>
      </c>
      <c r="N2376">
        <v>0</v>
      </c>
      <c r="O2376">
        <v>-0.81876459999999995</v>
      </c>
      <c r="P2376">
        <v>0.63751179999999996</v>
      </c>
      <c r="Q2376">
        <v>0.1454598</v>
      </c>
      <c r="R2376">
        <v>-0.75658459999999905</v>
      </c>
      <c r="S2376">
        <v>2.4992369999999999</v>
      </c>
      <c r="T2376">
        <v>-0.2467453</v>
      </c>
      <c r="U2376">
        <v>-1.9114070000000001</v>
      </c>
      <c r="V2376">
        <v>-9.0989570000000006E-2</v>
      </c>
      <c r="W2376">
        <v>0.1568775</v>
      </c>
      <c r="X2376">
        <v>0.98341769999999995</v>
      </c>
      <c r="Y2376">
        <v>-0.2993094</v>
      </c>
      <c r="Z2376">
        <v>7.0939210000000003E-2</v>
      </c>
      <c r="AA2376">
        <v>0.95151540000000001</v>
      </c>
      <c r="AB2376">
        <v>36</v>
      </c>
      <c r="AC2376">
        <v>11.211600000000001</v>
      </c>
      <c r="AD2376">
        <v>-1.1185022442829999</v>
      </c>
      <c r="AE2376">
        <v>-8.5024800000000003</v>
      </c>
      <c r="AF2376">
        <v>-4.2728697201560797</v>
      </c>
      <c r="AG2376">
        <v>-1.1185022442829999</v>
      </c>
      <c r="AH2376">
        <v>13.313757815306101</v>
      </c>
      <c r="AI2376">
        <v>94.573485307725704</v>
      </c>
      <c r="AJ2376">
        <v>107.793327382163</v>
      </c>
      <c r="AK2376">
        <v>14.0272809225636</v>
      </c>
      <c r="AL2376">
        <v>80.974298749212096</v>
      </c>
      <c r="AM2376">
        <v>95.286174743784002</v>
      </c>
      <c r="AN2376">
        <v>1.0000000122641599</v>
      </c>
    </row>
    <row r="2377" spans="1:40" x14ac:dyDescent="0.3">
      <c r="A2377" t="str">
        <f>"20200111150852796"</f>
        <v>20200111150852796</v>
      </c>
      <c r="B2377" t="str">
        <f>"1578726532786444"</f>
        <v>1578726532786444</v>
      </c>
      <c r="C2377" t="s">
        <v>40</v>
      </c>
      <c r="D2377">
        <v>5.1198399999999999</v>
      </c>
      <c r="E2377">
        <v>0.41198099999999999</v>
      </c>
      <c r="F2377" t="s">
        <v>89</v>
      </c>
      <c r="G2377">
        <v>-401.24930000000001</v>
      </c>
      <c r="H2377" s="1">
        <v>-7.274109E-6</v>
      </c>
      <c r="I2377">
        <v>19.46219</v>
      </c>
      <c r="J2377">
        <v>-412.45710000000003</v>
      </c>
      <c r="K2377">
        <v>1.1185590000000001</v>
      </c>
      <c r="L2377">
        <v>27.87088</v>
      </c>
      <c r="M2377">
        <v>0.57798809999999901</v>
      </c>
      <c r="N2377">
        <v>0</v>
      </c>
      <c r="O2377">
        <v>-0.81593369999999998</v>
      </c>
      <c r="P2377">
        <v>0.64096229999999998</v>
      </c>
      <c r="Q2377">
        <v>0.1454984</v>
      </c>
      <c r="R2377">
        <v>-0.75365599999999999</v>
      </c>
      <c r="S2377">
        <v>2.5094910000000001</v>
      </c>
      <c r="T2377">
        <v>-0.2479237</v>
      </c>
      <c r="U2377">
        <v>-1.8983760000000001</v>
      </c>
      <c r="V2377">
        <v>-9.0681810000000002E-2</v>
      </c>
      <c r="W2377">
        <v>0.15691849999999999</v>
      </c>
      <c r="X2377">
        <v>0.98343959999999997</v>
      </c>
      <c r="Y2377">
        <v>-0.29961880000000002</v>
      </c>
      <c r="Z2377">
        <v>7.1104180000000003E-2</v>
      </c>
      <c r="AA2377">
        <v>0.95140570000000002</v>
      </c>
      <c r="AB2377">
        <v>36</v>
      </c>
      <c r="AC2377">
        <v>11.207800000000001</v>
      </c>
      <c r="AD2377">
        <v>-1.1185662741089999</v>
      </c>
      <c r="AE2377">
        <v>-8.40869</v>
      </c>
      <c r="AF2377">
        <v>-4.2579520801758903</v>
      </c>
      <c r="AG2377">
        <v>-1.1185662741089999</v>
      </c>
      <c r="AH2377">
        <v>13.255641515169501</v>
      </c>
      <c r="AI2377">
        <v>94.593337887135604</v>
      </c>
      <c r="AJ2377">
        <v>107.80795874131699</v>
      </c>
      <c r="AK2377">
        <v>13.9675831268453</v>
      </c>
      <c r="AL2377">
        <v>80.971920293348802</v>
      </c>
      <c r="AM2377">
        <v>95.268279087850402</v>
      </c>
      <c r="AN2377">
        <v>1.0000000265776401</v>
      </c>
    </row>
    <row r="2378" spans="1:40" x14ac:dyDescent="0.3">
      <c r="A2378" t="str">
        <f>"20200111150852809"</f>
        <v>20200111150852809</v>
      </c>
      <c r="B2378" t="str">
        <f>"1578726532805965"</f>
        <v>1578726532805965</v>
      </c>
      <c r="C2378" t="s">
        <v>40</v>
      </c>
      <c r="D2378">
        <v>5.1090229999999996</v>
      </c>
      <c r="E2378">
        <v>0.41204380000000002</v>
      </c>
      <c r="F2378" t="s">
        <v>89</v>
      </c>
      <c r="G2378">
        <v>-401.09410000000003</v>
      </c>
      <c r="H2378" s="1">
        <v>-7.314376E-6</v>
      </c>
      <c r="I2378">
        <v>19.3582</v>
      </c>
      <c r="J2378">
        <v>-412.34109999999998</v>
      </c>
      <c r="K2378">
        <v>1.1186320000000001</v>
      </c>
      <c r="L2378">
        <v>27.71442</v>
      </c>
      <c r="M2378">
        <v>0.58208009999999999</v>
      </c>
      <c r="N2378">
        <v>0</v>
      </c>
      <c r="O2378">
        <v>-0.81301959999999995</v>
      </c>
      <c r="P2378">
        <v>0.64437929999999999</v>
      </c>
      <c r="Q2378">
        <v>0.14571110000000001</v>
      </c>
      <c r="R2378">
        <v>-0.75069600000000003</v>
      </c>
      <c r="S2378">
        <v>2.5183719999999998</v>
      </c>
      <c r="T2378">
        <v>-0.24790670000000001</v>
      </c>
      <c r="U2378">
        <v>-1.8866579999999999</v>
      </c>
      <c r="V2378">
        <v>-9.0263620000000003E-2</v>
      </c>
      <c r="W2378">
        <v>0.15713559999999999</v>
      </c>
      <c r="X2378">
        <v>0.98344339999999997</v>
      </c>
      <c r="Y2378">
        <v>-0.2992803</v>
      </c>
      <c r="Z2378">
        <v>7.0910819999999999E-2</v>
      </c>
      <c r="AA2378">
        <v>0.9515266</v>
      </c>
      <c r="AB2378">
        <v>36</v>
      </c>
      <c r="AC2378">
        <v>11.2469999999999</v>
      </c>
      <c r="AD2378">
        <v>-1.1186393143760001</v>
      </c>
      <c r="AE2378">
        <v>-8.3562200000000004</v>
      </c>
      <c r="AF2378">
        <v>-4.2533206721229799</v>
      </c>
      <c r="AG2378">
        <v>-1.1186393143760001</v>
      </c>
      <c r="AH2378">
        <v>13.257137842587101</v>
      </c>
      <c r="AI2378">
        <v>94.593633559345903</v>
      </c>
      <c r="AJ2378">
        <v>107.787929229369</v>
      </c>
      <c r="AK2378">
        <v>13.9675980194496</v>
      </c>
      <c r="AL2378">
        <v>80.959325063073095</v>
      </c>
      <c r="AM2378">
        <v>95.244099407829907</v>
      </c>
      <c r="AN2378">
        <v>1.0000000194432099</v>
      </c>
    </row>
    <row r="2379" spans="1:40" x14ac:dyDescent="0.3">
      <c r="A2379" t="str">
        <f>"20200111150852822"</f>
        <v>20200111150852822</v>
      </c>
      <c r="B2379" t="str">
        <f>"1578726532815725"</f>
        <v>1578726532815725</v>
      </c>
      <c r="C2379" t="s">
        <v>40</v>
      </c>
      <c r="D2379">
        <v>5.110652</v>
      </c>
      <c r="E2379">
        <v>0.4121959</v>
      </c>
      <c r="F2379" t="s">
        <v>89</v>
      </c>
      <c r="G2379">
        <v>-401.04430000000002</v>
      </c>
      <c r="H2379" s="1">
        <v>-7.3276599999999999E-6</v>
      </c>
      <c r="I2379">
        <v>19.32809</v>
      </c>
      <c r="J2379">
        <v>-412.21199999999999</v>
      </c>
      <c r="K2379">
        <v>1.118714</v>
      </c>
      <c r="L2379">
        <v>27.541440000000001</v>
      </c>
      <c r="M2379">
        <v>0.58663080000000001</v>
      </c>
      <c r="N2379">
        <v>0</v>
      </c>
      <c r="O2379">
        <v>-0.80974190000000001</v>
      </c>
      <c r="P2379">
        <v>0.64796140000000002</v>
      </c>
      <c r="Q2379">
        <v>0.146192299999999</v>
      </c>
      <c r="R2379">
        <v>-0.74751179999999995</v>
      </c>
      <c r="S2379">
        <v>2.5268860000000002</v>
      </c>
      <c r="T2379">
        <v>-0.25021739999999998</v>
      </c>
      <c r="U2379">
        <v>-1.8758539999999999</v>
      </c>
      <c r="V2379">
        <v>-8.9546520000000004E-2</v>
      </c>
      <c r="W2379">
        <v>0.1576272</v>
      </c>
      <c r="X2379">
        <v>0.98343029999999998</v>
      </c>
      <c r="Y2379">
        <v>-0.29805199999999998</v>
      </c>
      <c r="Z2379">
        <v>7.1325509999999995E-2</v>
      </c>
      <c r="AA2379">
        <v>0.95188110000000004</v>
      </c>
      <c r="AB2379">
        <v>36</v>
      </c>
      <c r="AC2379">
        <v>11.1676999999999</v>
      </c>
      <c r="AD2379">
        <v>-1.1187213276600001</v>
      </c>
      <c r="AE2379">
        <v>-8.2133500000000002</v>
      </c>
      <c r="AF2379">
        <v>-4.1977979249337602</v>
      </c>
      <c r="AG2379">
        <v>-1.1187213276600001</v>
      </c>
      <c r="AH2379">
        <v>13.1177856488828</v>
      </c>
      <c r="AI2379">
        <v>94.643666511980896</v>
      </c>
      <c r="AJ2379">
        <v>107.745093653758</v>
      </c>
      <c r="AK2379">
        <v>13.818442211681299</v>
      </c>
      <c r="AL2379">
        <v>80.930803148226204</v>
      </c>
      <c r="AM2379">
        <v>95.202736083538298</v>
      </c>
      <c r="AN2379">
        <v>1.00000003419101</v>
      </c>
    </row>
    <row r="2380" spans="1:40" x14ac:dyDescent="0.3">
      <c r="A2380" t="str">
        <f>"20200111150852834"</f>
        <v>20200111150852834</v>
      </c>
      <c r="B2380" t="str">
        <f>"1578726532826463"</f>
        <v>1578726532826463</v>
      </c>
      <c r="C2380" t="s">
        <v>40</v>
      </c>
      <c r="D2380">
        <v>5.2682659999999997</v>
      </c>
      <c r="E2380">
        <v>0.41241929999999999</v>
      </c>
      <c r="F2380" t="s">
        <v>89</v>
      </c>
      <c r="G2380">
        <v>-400.88330000000002</v>
      </c>
      <c r="H2380" s="1">
        <v>-7.3683049999999998E-6</v>
      </c>
      <c r="I2380">
        <v>19.210439999999998</v>
      </c>
      <c r="J2380">
        <v>-412.09219999999999</v>
      </c>
      <c r="K2380">
        <v>1.1187990000000001</v>
      </c>
      <c r="L2380">
        <v>27.383089999999999</v>
      </c>
      <c r="M2380">
        <v>0.59085259999999995</v>
      </c>
      <c r="N2380">
        <v>0</v>
      </c>
      <c r="O2380">
        <v>-0.806666199999999</v>
      </c>
      <c r="P2380">
        <v>0.65118589999999998</v>
      </c>
      <c r="Q2380">
        <v>0.14631420000000001</v>
      </c>
      <c r="R2380">
        <v>-0.74468089999999998</v>
      </c>
      <c r="S2380">
        <v>2.535431</v>
      </c>
      <c r="T2380">
        <v>-0.25037720000000002</v>
      </c>
      <c r="U2380">
        <v>-1.8645320000000001</v>
      </c>
      <c r="V2380">
        <v>-8.8705149999999997E-2</v>
      </c>
      <c r="W2380">
        <v>0.15776279999999901</v>
      </c>
      <c r="X2380">
        <v>0.98348469999999999</v>
      </c>
      <c r="Y2380">
        <v>-0.29736249999999997</v>
      </c>
      <c r="Z2380">
        <v>7.115784E-2</v>
      </c>
      <c r="AA2380">
        <v>0.95210930000000005</v>
      </c>
      <c r="AB2380">
        <v>36</v>
      </c>
      <c r="AC2380">
        <v>11.2088999999999</v>
      </c>
      <c r="AD2380">
        <v>-1.11880636830499</v>
      </c>
      <c r="AE2380">
        <v>-8.1726500000000009</v>
      </c>
      <c r="AF2380">
        <v>-4.1861643631531198</v>
      </c>
      <c r="AG2380">
        <v>-1.11880636830499</v>
      </c>
      <c r="AH2380">
        <v>13.1312008710093</v>
      </c>
      <c r="AI2380">
        <v>94.640918241775395</v>
      </c>
      <c r="AJ2380">
        <v>107.68203405869799</v>
      </c>
      <c r="AK2380">
        <v>13.827658372981601</v>
      </c>
      <c r="AL2380">
        <v>80.922934443957701</v>
      </c>
      <c r="AM2380">
        <v>95.153832677900894</v>
      </c>
      <c r="AN2380">
        <v>0.99999992991722297</v>
      </c>
    </row>
    <row r="2381" spans="1:40" x14ac:dyDescent="0.3">
      <c r="A2381" t="str">
        <f>"20200111150852848"</f>
        <v>20200111150852848</v>
      </c>
      <c r="B2381" t="str">
        <f>"1578726532845980"</f>
        <v>1578726532845980</v>
      </c>
      <c r="C2381" t="s">
        <v>40</v>
      </c>
      <c r="D2381">
        <v>5.1191909999999998</v>
      </c>
      <c r="E2381">
        <v>0.41257480000000002</v>
      </c>
      <c r="F2381" t="s">
        <v>89</v>
      </c>
      <c r="G2381">
        <v>-400.90210000000002</v>
      </c>
      <c r="H2381" s="1">
        <v>-7.363019E-6</v>
      </c>
      <c r="I2381">
        <v>19.219439999999999</v>
      </c>
      <c r="J2381">
        <v>-411.9615</v>
      </c>
      <c r="K2381">
        <v>1.118886</v>
      </c>
      <c r="L2381">
        <v>27.212589999999999</v>
      </c>
      <c r="M2381">
        <v>0.59545079999999995</v>
      </c>
      <c r="N2381">
        <v>0</v>
      </c>
      <c r="O2381">
        <v>-0.80327769999999898</v>
      </c>
      <c r="P2381">
        <v>0.65457010000000004</v>
      </c>
      <c r="Q2381">
        <v>0.14655750000000001</v>
      </c>
      <c r="R2381">
        <v>-0.74165979999999998</v>
      </c>
      <c r="S2381">
        <v>2.542694</v>
      </c>
      <c r="T2381">
        <v>-0.25422440000000002</v>
      </c>
      <c r="U2381">
        <v>-1.855011</v>
      </c>
      <c r="V2381">
        <v>-8.7631210000000001E-2</v>
      </c>
      <c r="W2381">
        <v>0.1580251</v>
      </c>
      <c r="X2381">
        <v>0.98353889999999999</v>
      </c>
      <c r="Y2381">
        <v>-0.29546630000000002</v>
      </c>
      <c r="Z2381">
        <v>7.1975709999999998E-2</v>
      </c>
      <c r="AA2381">
        <v>0.95263799999999998</v>
      </c>
      <c r="AB2381">
        <v>36</v>
      </c>
      <c r="AC2381">
        <v>11.059399999999901</v>
      </c>
      <c r="AD2381">
        <v>-1.1188933630189899</v>
      </c>
      <c r="AE2381">
        <v>-7.99315</v>
      </c>
      <c r="AF2381">
        <v>-4.0970731308629498</v>
      </c>
      <c r="AG2381">
        <v>-1.1188933630189899</v>
      </c>
      <c r="AH2381">
        <v>12.920369567788599</v>
      </c>
      <c r="AI2381">
        <v>94.718970239823605</v>
      </c>
      <c r="AJ2381">
        <v>107.593917796298</v>
      </c>
      <c r="AK2381">
        <v>13.600510297988301</v>
      </c>
      <c r="AL2381">
        <v>80.907715163522298</v>
      </c>
      <c r="AM2381">
        <v>95.091486872152998</v>
      </c>
      <c r="AN2381">
        <v>0.99999996450464101</v>
      </c>
    </row>
    <row r="2382" spans="1:40" x14ac:dyDescent="0.3">
      <c r="A2382" t="str">
        <f>"20200111150852860"</f>
        <v>20200111150852860</v>
      </c>
      <c r="B2382" t="str">
        <f>"1578726532855741"</f>
        <v>1578726532855741</v>
      </c>
      <c r="C2382" t="s">
        <v>40</v>
      </c>
      <c r="D2382">
        <v>5.1403439999999998</v>
      </c>
      <c r="E2382">
        <v>0.4126261</v>
      </c>
      <c r="F2382" t="s">
        <v>89</v>
      </c>
      <c r="G2382">
        <v>-400.6395</v>
      </c>
      <c r="H2382" s="1">
        <v>-7.4293570000000003E-6</v>
      </c>
      <c r="I2382">
        <v>19.02777</v>
      </c>
      <c r="J2382">
        <v>-411.84789999999998</v>
      </c>
      <c r="K2382">
        <v>1.118959</v>
      </c>
      <c r="L2382">
        <v>27.065339999999999</v>
      </c>
      <c r="M2382">
        <v>0.59944019999999898</v>
      </c>
      <c r="N2382">
        <v>0</v>
      </c>
      <c r="O2382">
        <v>-0.80030500000000004</v>
      </c>
      <c r="P2382">
        <v>0.65810380000000002</v>
      </c>
      <c r="Q2382">
        <v>0.14616399999999999</v>
      </c>
      <c r="R2382">
        <v>-0.73860380000000003</v>
      </c>
      <c r="S2382">
        <v>2.5504760000000002</v>
      </c>
      <c r="T2382">
        <v>-0.25205119999999998</v>
      </c>
      <c r="U2382">
        <v>-1.8437809999999999</v>
      </c>
      <c r="V2382">
        <v>-8.7407410000000005E-2</v>
      </c>
      <c r="W2382">
        <v>0.157633299999999</v>
      </c>
      <c r="X2382">
        <v>0.98362169999999904</v>
      </c>
      <c r="Y2382">
        <v>-0.2949</v>
      </c>
      <c r="Z2382">
        <v>7.1167010000000003E-2</v>
      </c>
      <c r="AA2382">
        <v>0.9528742</v>
      </c>
      <c r="AB2382">
        <v>36</v>
      </c>
      <c r="AC2382">
        <v>11.2083999999999</v>
      </c>
      <c r="AD2382">
        <v>-1.1189664293570001</v>
      </c>
      <c r="AE2382">
        <v>-8.0375700000000005</v>
      </c>
      <c r="AF2382">
        <v>-4.1253240957570201</v>
      </c>
      <c r="AG2382">
        <v>-1.1189664293570001</v>
      </c>
      <c r="AH2382">
        <v>13.066476176120601</v>
      </c>
      <c r="AI2382">
        <v>94.668590783964007</v>
      </c>
      <c r="AJ2382">
        <v>107.52185395646001</v>
      </c>
      <c r="AK2382">
        <v>13.7478429008404</v>
      </c>
      <c r="AL2382">
        <v>80.930448729558094</v>
      </c>
      <c r="AM2382">
        <v>95.0781266175361</v>
      </c>
      <c r="AN2382">
        <v>0.99999998065134299</v>
      </c>
    </row>
    <row r="2383" spans="1:40" x14ac:dyDescent="0.3">
      <c r="A2383" t="str">
        <f>"20200111150852873"</f>
        <v>20200111150852873</v>
      </c>
      <c r="B2383" t="str">
        <f>"1578726532865500"</f>
        <v>1578726532865500</v>
      </c>
      <c r="C2383" t="s">
        <v>40</v>
      </c>
      <c r="D2383">
        <v>5.1460650000000001</v>
      </c>
      <c r="E2383">
        <v>0.41271330000000001</v>
      </c>
      <c r="F2383" t="s">
        <v>89</v>
      </c>
      <c r="G2383">
        <v>-400.52749999999997</v>
      </c>
      <c r="H2383" s="1">
        <v>-7.45948499999999E-6</v>
      </c>
      <c r="I2383">
        <v>18.962319999999998</v>
      </c>
      <c r="J2383">
        <v>-411.72340000000003</v>
      </c>
      <c r="K2383">
        <v>1.119041</v>
      </c>
      <c r="L2383">
        <v>26.906770000000002</v>
      </c>
      <c r="M2383">
        <v>0.60381759999999995</v>
      </c>
      <c r="N2383">
        <v>0</v>
      </c>
      <c r="O2383">
        <v>-0.79700709999999997</v>
      </c>
      <c r="P2383">
        <v>0.66206849999999995</v>
      </c>
      <c r="Q2383">
        <v>0.14613999999999999</v>
      </c>
      <c r="R2383">
        <v>-0.73505690000000001</v>
      </c>
      <c r="S2383">
        <v>2.559021</v>
      </c>
      <c r="T2383">
        <v>-0.25294759999999999</v>
      </c>
      <c r="U2383">
        <v>-1.831726</v>
      </c>
      <c r="V2383">
        <v>-8.7338860000000004E-2</v>
      </c>
      <c r="W2383">
        <v>0.15760650000000001</v>
      </c>
      <c r="X2383">
        <v>0.98363210000000001</v>
      </c>
      <c r="Y2383">
        <v>-0.29412890000000003</v>
      </c>
      <c r="Z2383">
        <v>7.1190329999999996E-2</v>
      </c>
      <c r="AA2383">
        <v>0.95311080000000004</v>
      </c>
      <c r="AB2383">
        <v>36</v>
      </c>
      <c r="AC2383">
        <v>11.1959</v>
      </c>
      <c r="AD2383">
        <v>-1.1190484594850001</v>
      </c>
      <c r="AE2383">
        <v>-7.9444499999999998</v>
      </c>
      <c r="AF2383">
        <v>-4.0993538758904497</v>
      </c>
      <c r="AG2383">
        <v>-1.1190484594850001</v>
      </c>
      <c r="AH2383">
        <v>13.006843002467299</v>
      </c>
      <c r="AI2383">
        <v>94.690977865142003</v>
      </c>
      <c r="AJ2383">
        <v>107.49323651386401</v>
      </c>
      <c r="AK2383">
        <v>13.6833817656779</v>
      </c>
      <c r="AL2383">
        <v>80.932003840779899</v>
      </c>
      <c r="AM2383">
        <v>95.074111483477793</v>
      </c>
      <c r="AN2383">
        <v>0.999999996729379</v>
      </c>
    </row>
    <row r="2384" spans="1:40" x14ac:dyDescent="0.3">
      <c r="A2384" t="str">
        <f>"20200111150852884"</f>
        <v>20200111150852884</v>
      </c>
      <c r="B2384" t="str">
        <f>"1578726532876236"</f>
        <v>1578726532876236</v>
      </c>
      <c r="C2384" t="s">
        <v>40</v>
      </c>
      <c r="D2384">
        <v>5.1739100000000002</v>
      </c>
      <c r="E2384">
        <v>0.41280030000000001</v>
      </c>
      <c r="F2384" t="s">
        <v>89</v>
      </c>
      <c r="G2384">
        <v>-400.28289999999998</v>
      </c>
      <c r="H2384" s="1">
        <v>-7.5240299999999999E-6</v>
      </c>
      <c r="I2384">
        <v>18.80819</v>
      </c>
      <c r="J2384">
        <v>-411.61470000000003</v>
      </c>
      <c r="K2384">
        <v>1.119116</v>
      </c>
      <c r="L2384">
        <v>26.76923</v>
      </c>
      <c r="M2384">
        <v>0.60763619999999996</v>
      </c>
      <c r="N2384">
        <v>0</v>
      </c>
      <c r="O2384">
        <v>-0.79409989999999997</v>
      </c>
      <c r="P2384">
        <v>0.66557379999999999</v>
      </c>
      <c r="Q2384">
        <v>0.14595649999999999</v>
      </c>
      <c r="R2384">
        <v>-0.73192119999999905</v>
      </c>
      <c r="S2384">
        <v>2.5682369999999999</v>
      </c>
      <c r="T2384">
        <v>-0.25121159999999998</v>
      </c>
      <c r="U2384">
        <v>-1.8180240000000001</v>
      </c>
      <c r="V2384">
        <v>-8.7321309999999999E-2</v>
      </c>
      <c r="W2384">
        <v>0.15741910000000001</v>
      </c>
      <c r="X2384">
        <v>0.98366370000000003</v>
      </c>
      <c r="Y2384">
        <v>-0.29458309999999999</v>
      </c>
      <c r="Z2384">
        <v>7.0540469999999994E-2</v>
      </c>
      <c r="AA2384">
        <v>0.95301880000000005</v>
      </c>
      <c r="AB2384">
        <v>36</v>
      </c>
      <c r="AC2384">
        <v>11.331799999999999</v>
      </c>
      <c r="AD2384">
        <v>-1.1191235240299999</v>
      </c>
      <c r="AE2384">
        <v>-7.9610399999999997</v>
      </c>
      <c r="AF2384">
        <v>-4.1345472475387099</v>
      </c>
      <c r="AG2384">
        <v>-1.1191235240299999</v>
      </c>
      <c r="AH2384">
        <v>13.1229881438809</v>
      </c>
      <c r="AI2384">
        <v>94.650096477165803</v>
      </c>
      <c r="AJ2384">
        <v>107.487628584444</v>
      </c>
      <c r="AK2384">
        <v>13.8043375874616</v>
      </c>
      <c r="AL2384">
        <v>80.942877096577206</v>
      </c>
      <c r="AM2384">
        <v>95.072935083260404</v>
      </c>
      <c r="AN2384">
        <v>1.0000000294613001</v>
      </c>
    </row>
    <row r="2385" spans="1:40" x14ac:dyDescent="0.3">
      <c r="A2385" t="str">
        <f>"20200111150852895"</f>
        <v>20200111150852895</v>
      </c>
      <c r="B2385" t="str">
        <f>"1578726532885997"</f>
        <v>1578726532885997</v>
      </c>
      <c r="C2385" t="s">
        <v>40</v>
      </c>
      <c r="D2385">
        <v>3.8078340000000002</v>
      </c>
      <c r="E2385">
        <v>0.41280030000000001</v>
      </c>
      <c r="F2385" t="s">
        <v>89</v>
      </c>
      <c r="G2385">
        <v>-400.15010000000001</v>
      </c>
      <c r="H2385" s="1">
        <v>-7.5601249999999999E-6</v>
      </c>
      <c r="I2385">
        <v>18.733699999999999</v>
      </c>
      <c r="J2385">
        <v>-411.49529999999999</v>
      </c>
      <c r="K2385">
        <v>1.119192</v>
      </c>
      <c r="L2385">
        <v>26.62</v>
      </c>
      <c r="M2385">
        <v>0.61182360000000002</v>
      </c>
      <c r="N2385">
        <v>0</v>
      </c>
      <c r="O2385">
        <v>-0.79087779999999996</v>
      </c>
      <c r="P2385">
        <v>0.66935269999999902</v>
      </c>
      <c r="Q2385">
        <v>0.14594989999999999</v>
      </c>
      <c r="R2385">
        <v>-0.72846860000000002</v>
      </c>
      <c r="S2385">
        <v>2.5765989999999999</v>
      </c>
      <c r="T2385">
        <v>-0.25151669999999998</v>
      </c>
      <c r="U2385">
        <v>-1.805939</v>
      </c>
      <c r="V2385">
        <v>-8.7245459999999997E-2</v>
      </c>
      <c r="W2385">
        <v>0.1574101</v>
      </c>
      <c r="X2385">
        <v>0.98367179999999999</v>
      </c>
      <c r="Y2385">
        <v>-0.29398829999999998</v>
      </c>
      <c r="Z2385">
        <v>7.0406880000000005E-2</v>
      </c>
      <c r="AA2385">
        <v>0.95321230000000001</v>
      </c>
      <c r="AB2385">
        <v>36</v>
      </c>
      <c r="AC2385">
        <v>11.345199999999901</v>
      </c>
      <c r="AD2385">
        <v>-1.119199560125</v>
      </c>
      <c r="AE2385">
        <v>-7.8863000000000003</v>
      </c>
      <c r="AF2385">
        <v>-4.1209852002245198</v>
      </c>
      <c r="AG2385">
        <v>-1.119199560125</v>
      </c>
      <c r="AH2385">
        <v>13.093662543516899</v>
      </c>
      <c r="AI2385">
        <v>94.661219517844799</v>
      </c>
      <c r="AJ2385">
        <v>107.470419649934</v>
      </c>
      <c r="AK2385">
        <v>13.772404491567499</v>
      </c>
      <c r="AL2385">
        <v>80.943398634272995</v>
      </c>
      <c r="AM2385">
        <v>95.068510018296493</v>
      </c>
      <c r="AN2385">
        <v>0.99999995999392999</v>
      </c>
    </row>
    <row r="2386" spans="1:40" x14ac:dyDescent="0.3">
      <c r="A2386" t="str">
        <f>"20200111150852908"</f>
        <v>20200111150852908</v>
      </c>
      <c r="B2386" t="str">
        <f>"1578726532905517"</f>
        <v>1578726532905517</v>
      </c>
      <c r="C2386" t="s">
        <v>40</v>
      </c>
      <c r="D2386">
        <v>5.2771670000000004</v>
      </c>
      <c r="E2386">
        <v>0.4131261</v>
      </c>
      <c r="F2386" t="s">
        <v>89</v>
      </c>
      <c r="G2386">
        <v>-399.97669999999999</v>
      </c>
      <c r="H2386" s="1">
        <v>-7.607201E-6</v>
      </c>
      <c r="I2386">
        <v>18.63627</v>
      </c>
      <c r="J2386">
        <v>-411.37479999999999</v>
      </c>
      <c r="K2386">
        <v>1.1192770000000001</v>
      </c>
      <c r="L2386">
        <v>26.471309999999999</v>
      </c>
      <c r="M2386">
        <v>0.61605339999999997</v>
      </c>
      <c r="N2386">
        <v>0</v>
      </c>
      <c r="O2386">
        <v>-0.78758709999999998</v>
      </c>
      <c r="P2386">
        <v>0.67306709999999903</v>
      </c>
      <c r="Q2386">
        <v>0.145897</v>
      </c>
      <c r="R2386">
        <v>-0.72504820000000003</v>
      </c>
      <c r="S2386">
        <v>2.5860289999999999</v>
      </c>
      <c r="T2386">
        <v>-0.25127050000000001</v>
      </c>
      <c r="U2386">
        <v>-1.79241899999999</v>
      </c>
      <c r="V2386">
        <v>-8.702667E-2</v>
      </c>
      <c r="W2386">
        <v>0.15735829999999901</v>
      </c>
      <c r="X2386">
        <v>0.98369949999999995</v>
      </c>
      <c r="Y2386">
        <v>-0.29387370000000002</v>
      </c>
      <c r="Z2386">
        <v>7.0124300000000001E-2</v>
      </c>
      <c r="AA2386">
        <v>0.95326849999999996</v>
      </c>
      <c r="AB2386">
        <v>36</v>
      </c>
      <c r="AC2386">
        <v>11.398099999999999</v>
      </c>
      <c r="AD2386">
        <v>-1.1192846072010001</v>
      </c>
      <c r="AE2386">
        <v>-7.8350399999999896</v>
      </c>
      <c r="AF2386">
        <v>-4.1235728732981896</v>
      </c>
      <c r="AG2386">
        <v>-1.1192846072010001</v>
      </c>
      <c r="AH2386">
        <v>13.107993194190399</v>
      </c>
      <c r="AI2386">
        <v>94.656692892693499</v>
      </c>
      <c r="AJ2386">
        <v>107.46277282993</v>
      </c>
      <c r="AK2386">
        <v>13.7868102493746</v>
      </c>
      <c r="AL2386">
        <v>80.946404294281294</v>
      </c>
      <c r="AM2386">
        <v>95.055723781055093</v>
      </c>
      <c r="AN2386">
        <v>0.99999999108521398</v>
      </c>
    </row>
    <row r="2387" spans="1:40" x14ac:dyDescent="0.3">
      <c r="A2387" t="str">
        <f>"20200111150852921"</f>
        <v>20200111150852921</v>
      </c>
      <c r="B2387" t="str">
        <f>"1578726532916253"</f>
        <v>1578726532916253</v>
      </c>
      <c r="C2387" t="s">
        <v>40</v>
      </c>
      <c r="D2387">
        <v>5.1105090000000004</v>
      </c>
      <c r="E2387">
        <v>0.41311209999999998</v>
      </c>
      <c r="F2387" t="s">
        <v>43</v>
      </c>
      <c r="G2387">
        <v>-399.40440000000001</v>
      </c>
      <c r="H2387" s="1">
        <v>-5.7555449999999995E-7</v>
      </c>
      <c r="I2387">
        <v>18.253409999999999</v>
      </c>
      <c r="J2387">
        <v>-411.24189999999999</v>
      </c>
      <c r="K2387">
        <v>1.11937</v>
      </c>
      <c r="L2387">
        <v>26.308499999999999</v>
      </c>
      <c r="M2387">
        <v>0.62071290000000001</v>
      </c>
      <c r="N2387">
        <v>0</v>
      </c>
      <c r="O2387">
        <v>-0.7839199</v>
      </c>
      <c r="P2387">
        <v>0.67717320000000003</v>
      </c>
      <c r="Q2387">
        <v>0.1461015</v>
      </c>
      <c r="R2387">
        <v>-0.72117319999999996</v>
      </c>
      <c r="S2387">
        <v>2.5924680000000002</v>
      </c>
      <c r="T2387">
        <v>-0.2424065</v>
      </c>
      <c r="U2387">
        <v>-1.779785</v>
      </c>
      <c r="V2387">
        <v>-8.6846049999999994E-2</v>
      </c>
      <c r="W2387">
        <v>0.15756129999999999</v>
      </c>
      <c r="X2387">
        <v>0.98368299999999997</v>
      </c>
      <c r="Y2387">
        <v>-0.29264889999999999</v>
      </c>
      <c r="Z2387">
        <v>6.7443020000000006E-2</v>
      </c>
      <c r="AA2387">
        <v>0.95383859999999998</v>
      </c>
      <c r="AB2387">
        <v>36</v>
      </c>
      <c r="AC2387">
        <v>11.837499999999901</v>
      </c>
      <c r="AD2387">
        <v>-1.1193705755545</v>
      </c>
      <c r="AE2387">
        <v>-8.0550899999999892</v>
      </c>
      <c r="AF2387">
        <v>-4.2541490476168802</v>
      </c>
      <c r="AG2387">
        <v>-1.1193705755545</v>
      </c>
      <c r="AH2387">
        <v>13.580497208942599</v>
      </c>
      <c r="AI2387">
        <v>94.497395515681603</v>
      </c>
      <c r="AJ2387">
        <v>107.39338896571201</v>
      </c>
      <c r="AK2387">
        <v>14.275177023310601</v>
      </c>
      <c r="AL2387">
        <v>80.934626608725793</v>
      </c>
      <c r="AM2387">
        <v>95.045369254791595</v>
      </c>
      <c r="AN2387">
        <v>1.00000002207364</v>
      </c>
    </row>
    <row r="2388" spans="1:40" x14ac:dyDescent="0.3">
      <c r="A2388" t="str">
        <f>"20200111150852934"</f>
        <v>20200111150852934</v>
      </c>
      <c r="B2388" t="str">
        <f>"1578726532926012"</f>
        <v>1578726532926012</v>
      </c>
      <c r="C2388" t="s">
        <v>40</v>
      </c>
      <c r="D2388">
        <v>5.0599540000000003</v>
      </c>
      <c r="E2388">
        <v>0.41304190000000002</v>
      </c>
      <c r="F2388" t="s">
        <v>43</v>
      </c>
      <c r="G2388">
        <v>-399.05529999999999</v>
      </c>
      <c r="H2388" s="1">
        <v>-7.6445470000000005E-7</v>
      </c>
      <c r="I2388">
        <v>18.0473</v>
      </c>
      <c r="J2388">
        <v>-411.101</v>
      </c>
      <c r="K2388">
        <v>1.119472</v>
      </c>
      <c r="L2388">
        <v>26.138819999999999</v>
      </c>
      <c r="M2388">
        <v>0.62566069999999996</v>
      </c>
      <c r="N2388">
        <v>0</v>
      </c>
      <c r="O2388">
        <v>-0.77997629999999996</v>
      </c>
      <c r="P2388">
        <v>0.68162339999999999</v>
      </c>
      <c r="Q2388">
        <v>0.14570720000000001</v>
      </c>
      <c r="R2388">
        <v>-0.71704909999999999</v>
      </c>
      <c r="S2388">
        <v>2.602722</v>
      </c>
      <c r="T2388">
        <v>-0.2390678</v>
      </c>
      <c r="U2388">
        <v>-1.7643740000000001</v>
      </c>
      <c r="V2388">
        <v>-8.669114E-2</v>
      </c>
      <c r="W2388">
        <v>0.15716669999999999</v>
      </c>
      <c r="X2388">
        <v>0.98375979999999996</v>
      </c>
      <c r="Y2388">
        <v>-0.29228769999999998</v>
      </c>
      <c r="Z2388">
        <v>6.6271129999999998E-2</v>
      </c>
      <c r="AA2388">
        <v>0.95403150000000003</v>
      </c>
      <c r="AB2388">
        <v>36</v>
      </c>
      <c r="AC2388">
        <v>12.0457</v>
      </c>
      <c r="AD2388">
        <v>-1.1194727644547</v>
      </c>
      <c r="AE2388">
        <v>-8.0915199999999992</v>
      </c>
      <c r="AF2388">
        <v>-4.3075801067832398</v>
      </c>
      <c r="AG2388">
        <v>-1.1194727644547</v>
      </c>
      <c r="AH2388">
        <v>13.767065732542999</v>
      </c>
      <c r="AI2388">
        <v>94.437554923580507</v>
      </c>
      <c r="AJ2388">
        <v>107.37439073840901</v>
      </c>
      <c r="AK2388">
        <v>14.468606170978299</v>
      </c>
      <c r="AL2388">
        <v>80.957520884218695</v>
      </c>
      <c r="AM2388">
        <v>95.036024840529905</v>
      </c>
      <c r="AN2388">
        <v>1.00000003471971</v>
      </c>
    </row>
    <row r="2389" spans="1:40" x14ac:dyDescent="0.3">
      <c r="A2389" t="str">
        <f>"20200111150852949"</f>
        <v>20200111150852949</v>
      </c>
      <c r="B2389" t="str">
        <f>"1578726532946040"</f>
        <v>1578726532946040</v>
      </c>
      <c r="C2389" t="s">
        <v>40</v>
      </c>
      <c r="D2389">
        <v>5.0971039999999999</v>
      </c>
      <c r="E2389">
        <v>0.41322629999999999</v>
      </c>
      <c r="F2389" t="s">
        <v>43</v>
      </c>
      <c r="G2389">
        <v>-398.93369999999999</v>
      </c>
      <c r="H2389" s="1">
        <v>-8.2271949999999998E-7</v>
      </c>
      <c r="I2389">
        <v>18.00385</v>
      </c>
      <c r="J2389">
        <v>-410.95159999999998</v>
      </c>
      <c r="K2389">
        <v>1.1195809999999999</v>
      </c>
      <c r="L2389">
        <v>25.96143</v>
      </c>
      <c r="M2389">
        <v>0.63089910000000005</v>
      </c>
      <c r="N2389">
        <v>0</v>
      </c>
      <c r="O2389">
        <v>-0.77574500000000002</v>
      </c>
      <c r="P2389">
        <v>0.68607019999999996</v>
      </c>
      <c r="Q2389">
        <v>0.1455784</v>
      </c>
      <c r="R2389">
        <v>-0.71282190000000001</v>
      </c>
      <c r="S2389">
        <v>2.6140439999999998</v>
      </c>
      <c r="T2389">
        <v>-0.2405108</v>
      </c>
      <c r="U2389">
        <v>-1.7477419999999999</v>
      </c>
      <c r="V2389">
        <v>-8.620825E-2</v>
      </c>
      <c r="W2389">
        <v>0.1570452</v>
      </c>
      <c r="X2389">
        <v>0.98382159999999996</v>
      </c>
      <c r="Y2389">
        <v>-0.29193609999999998</v>
      </c>
      <c r="Z2389">
        <v>6.6395640000000006E-2</v>
      </c>
      <c r="AA2389">
        <v>0.95413049999999999</v>
      </c>
      <c r="AB2389">
        <v>36</v>
      </c>
      <c r="AC2389">
        <v>12.0178999999999</v>
      </c>
      <c r="AD2389">
        <v>-1.1195818227195</v>
      </c>
      <c r="AE2389">
        <v>-7.9575800000000001</v>
      </c>
      <c r="AF2389">
        <v>-4.2769910663823199</v>
      </c>
      <c r="AG2389">
        <v>-1.1195818227195</v>
      </c>
      <c r="AH2389">
        <v>13.673914116918301</v>
      </c>
      <c r="AI2389">
        <v>94.468230439036603</v>
      </c>
      <c r="AJ2389">
        <v>107.368884061438</v>
      </c>
      <c r="AK2389">
        <v>14.3708748278084</v>
      </c>
      <c r="AL2389">
        <v>80.964569530881803</v>
      </c>
      <c r="AM2389">
        <v>95.007803067434494</v>
      </c>
      <c r="AN2389">
        <v>0.99999999891883096</v>
      </c>
    </row>
    <row r="2390" spans="1:40" x14ac:dyDescent="0.3">
      <c r="A2390" t="str">
        <f>"20200111150852961"</f>
        <v>20200111150852961</v>
      </c>
      <c r="B2390" t="str">
        <f>"1578726532955800"</f>
        <v>1578726532955800</v>
      </c>
      <c r="C2390" t="s">
        <v>40</v>
      </c>
      <c r="D2390">
        <v>5.1167720000000001</v>
      </c>
      <c r="E2390">
        <v>0.41329880000000002</v>
      </c>
      <c r="F2390" t="s">
        <v>43</v>
      </c>
      <c r="G2390">
        <v>-398.88170000000002</v>
      </c>
      <c r="H2390" s="1">
        <v>-8.4693069999999902E-7</v>
      </c>
      <c r="I2390">
        <v>17.9879</v>
      </c>
      <c r="J2390">
        <v>-410.82760000000002</v>
      </c>
      <c r="K2390">
        <v>1.1196790000000001</v>
      </c>
      <c r="L2390">
        <v>25.815429999999999</v>
      </c>
      <c r="M2390">
        <v>0.63524099999999994</v>
      </c>
      <c r="N2390">
        <v>0</v>
      </c>
      <c r="O2390">
        <v>-0.77219309999999997</v>
      </c>
      <c r="P2390">
        <v>0.68985280000000004</v>
      </c>
      <c r="Q2390">
        <v>0.145813</v>
      </c>
      <c r="R2390">
        <v>-0.7091132</v>
      </c>
      <c r="S2390">
        <v>2.623596</v>
      </c>
      <c r="T2390">
        <v>-0.24336060000000001</v>
      </c>
      <c r="U2390">
        <v>-1.73318499999999</v>
      </c>
      <c r="V2390">
        <v>-8.5995279999999993E-2</v>
      </c>
      <c r="W2390">
        <v>0.15728110000000001</v>
      </c>
      <c r="X2390">
        <v>0.98380259999999997</v>
      </c>
      <c r="Y2390">
        <v>-0.29180780000000001</v>
      </c>
      <c r="Z2390">
        <v>6.6954029999999998E-2</v>
      </c>
      <c r="AA2390">
        <v>0.9541307</v>
      </c>
      <c r="AB2390">
        <v>36</v>
      </c>
      <c r="AC2390">
        <v>11.9458999999999</v>
      </c>
      <c r="AD2390">
        <v>-1.1196798469306899</v>
      </c>
      <c r="AE2390">
        <v>-7.8275299999999897</v>
      </c>
      <c r="AF2390">
        <v>-4.2265927786819297</v>
      </c>
      <c r="AG2390">
        <v>-1.1196798469306899</v>
      </c>
      <c r="AH2390">
        <v>13.5508755689329</v>
      </c>
      <c r="AI2390">
        <v>94.510151089919106</v>
      </c>
      <c r="AJ2390">
        <v>107.32298811499101</v>
      </c>
      <c r="AK2390">
        <v>14.238820111270901</v>
      </c>
      <c r="AL2390">
        <v>80.950883786859393</v>
      </c>
      <c r="AM2390">
        <v>94.995590390701494</v>
      </c>
      <c r="AN2390">
        <v>1.0000000441831201</v>
      </c>
    </row>
    <row r="2391" spans="1:40" x14ac:dyDescent="0.3">
      <c r="A2391" t="str">
        <f>"20200111150852973"</f>
        <v>20200111150852973</v>
      </c>
      <c r="B2391" t="str">
        <f>"1578726532965560"</f>
        <v>1578726532965560</v>
      </c>
      <c r="C2391" t="s">
        <v>40</v>
      </c>
      <c r="D2391">
        <v>5.1462839999999996</v>
      </c>
      <c r="E2391">
        <v>0.41338960000000002</v>
      </c>
      <c r="F2391" t="s">
        <v>43</v>
      </c>
      <c r="G2391">
        <v>-398.75779999999997</v>
      </c>
      <c r="H2391" s="1">
        <v>-9.0938859999999997E-7</v>
      </c>
      <c r="I2391">
        <v>17.932020000000001</v>
      </c>
      <c r="J2391">
        <v>-410.7013</v>
      </c>
      <c r="K2391">
        <v>1.119772</v>
      </c>
      <c r="L2391">
        <v>25.66919</v>
      </c>
      <c r="M2391">
        <v>0.63966750000000006</v>
      </c>
      <c r="N2391">
        <v>0</v>
      </c>
      <c r="O2391">
        <v>-0.76853009999999999</v>
      </c>
      <c r="P2391">
        <v>0.69368439999999998</v>
      </c>
      <c r="Q2391">
        <v>0.14606129999999901</v>
      </c>
      <c r="R2391">
        <v>-0.70531449999999996</v>
      </c>
      <c r="S2391">
        <v>2.6327820000000002</v>
      </c>
      <c r="T2391">
        <v>-0.24423520000000001</v>
      </c>
      <c r="U2391">
        <v>-1.7196039999999999</v>
      </c>
      <c r="V2391">
        <v>-8.5747409999999996E-2</v>
      </c>
      <c r="W2391">
        <v>0.15753120000000001</v>
      </c>
      <c r="X2391">
        <v>0.9837842</v>
      </c>
      <c r="Y2391">
        <v>-0.2912805</v>
      </c>
      <c r="Z2391">
        <v>6.6942799999999997E-2</v>
      </c>
      <c r="AA2391">
        <v>0.95429260000000005</v>
      </c>
      <c r="AB2391">
        <v>36</v>
      </c>
      <c r="AC2391">
        <v>11.9435</v>
      </c>
      <c r="AD2391">
        <v>-1.1197729093886</v>
      </c>
      <c r="AE2391">
        <v>-7.7371699999999901</v>
      </c>
      <c r="AF2391">
        <v>-4.2040880037419797</v>
      </c>
      <c r="AG2391">
        <v>-1.1197729093886</v>
      </c>
      <c r="AH2391">
        <v>13.503775531494099</v>
      </c>
      <c r="AI2391">
        <v>94.526932363998696</v>
      </c>
      <c r="AJ2391">
        <v>107.292768179932</v>
      </c>
      <c r="AK2391">
        <v>14.1873253616313</v>
      </c>
      <c r="AL2391">
        <v>80.936373045836007</v>
      </c>
      <c r="AM2391">
        <v>94.981356511744593</v>
      </c>
      <c r="AN2391">
        <v>1.0000000247323899</v>
      </c>
    </row>
    <row r="2392" spans="1:40" x14ac:dyDescent="0.3">
      <c r="A2392" t="str">
        <f>"20200111150852986"</f>
        <v>20200111150852986</v>
      </c>
      <c r="B2392" t="str">
        <f>"1578726532976296"</f>
        <v>1578726532976296</v>
      </c>
      <c r="C2392" t="s">
        <v>40</v>
      </c>
      <c r="D2392">
        <v>5.2101389999999999</v>
      </c>
      <c r="E2392">
        <v>0.41361930000000002</v>
      </c>
      <c r="F2392" t="s">
        <v>43</v>
      </c>
      <c r="G2392">
        <v>-398.42110000000002</v>
      </c>
      <c r="H2392" s="1">
        <v>-1.0894150000000001E-6</v>
      </c>
      <c r="I2392">
        <v>17.741440000000001</v>
      </c>
      <c r="J2392">
        <v>-410.57319999999999</v>
      </c>
      <c r="K2392">
        <v>1.119869</v>
      </c>
      <c r="L2392">
        <v>25.522310000000001</v>
      </c>
      <c r="M2392">
        <v>0.64415140000000004</v>
      </c>
      <c r="N2392">
        <v>0</v>
      </c>
      <c r="O2392">
        <v>-0.764775599999999</v>
      </c>
      <c r="P2392">
        <v>0.69767480000000004</v>
      </c>
      <c r="Q2392">
        <v>0.1457898</v>
      </c>
      <c r="R2392">
        <v>-0.70142360000000004</v>
      </c>
      <c r="S2392">
        <v>2.6415410000000001</v>
      </c>
      <c r="T2392">
        <v>-0.2408679</v>
      </c>
      <c r="U2392">
        <v>-1.70529199999999</v>
      </c>
      <c r="V2392">
        <v>-8.5569129999999993E-2</v>
      </c>
      <c r="W2392">
        <v>0.15726129999999999</v>
      </c>
      <c r="X2392">
        <v>0.98384280000000002</v>
      </c>
      <c r="Y2392">
        <v>-0.29085179999999999</v>
      </c>
      <c r="Z2392">
        <v>6.5786559999999994E-2</v>
      </c>
      <c r="AA2392">
        <v>0.95450369999999995</v>
      </c>
      <c r="AB2392">
        <v>36</v>
      </c>
      <c r="AC2392">
        <v>12.1520999999999</v>
      </c>
      <c r="AD2392">
        <v>-1.119870089415</v>
      </c>
      <c r="AE2392">
        <v>-7.7808699999999904</v>
      </c>
      <c r="AF2392">
        <v>-4.2563357286135304</v>
      </c>
      <c r="AG2392">
        <v>-1.119870089415</v>
      </c>
      <c r="AH2392">
        <v>13.6972019354042</v>
      </c>
      <c r="AI2392">
        <v>94.464384528104802</v>
      </c>
      <c r="AJ2392">
        <v>107.262366012065</v>
      </c>
      <c r="AK2392">
        <v>14.3869330891291</v>
      </c>
      <c r="AL2392">
        <v>80.952031440568405</v>
      </c>
      <c r="AM2392">
        <v>94.970756970451006</v>
      </c>
      <c r="AN2392">
        <v>0.99999992379923996</v>
      </c>
    </row>
    <row r="2393" spans="1:40" x14ac:dyDescent="0.3">
      <c r="A2393" t="str">
        <f>"20200111150852997"</f>
        <v>20200111150852997</v>
      </c>
      <c r="B2393" t="str">
        <f>"1578726532995816"</f>
        <v>1578726532995816</v>
      </c>
      <c r="C2393" t="s">
        <v>40</v>
      </c>
      <c r="D2393">
        <v>5.1794890000000002</v>
      </c>
      <c r="E2393">
        <v>0.4138907</v>
      </c>
      <c r="F2393" t="s">
        <v>43</v>
      </c>
      <c r="G2393">
        <v>-398.18759999999997</v>
      </c>
      <c r="H2393" s="1">
        <v>-1.2118270000000001E-6</v>
      </c>
      <c r="I2393">
        <v>17.618289999999998</v>
      </c>
      <c r="J2393">
        <v>-410.44139999999999</v>
      </c>
      <c r="K2393">
        <v>1.11996299999999</v>
      </c>
      <c r="L2393">
        <v>25.37274</v>
      </c>
      <c r="M2393">
        <v>0.64875399999999905</v>
      </c>
      <c r="N2393">
        <v>0</v>
      </c>
      <c r="O2393">
        <v>-0.76087490000000002</v>
      </c>
      <c r="P2393">
        <v>0.70179740000000002</v>
      </c>
      <c r="Q2393">
        <v>0.14610799999999999</v>
      </c>
      <c r="R2393">
        <v>-0.69723269999999904</v>
      </c>
      <c r="S2393">
        <v>2.649902</v>
      </c>
      <c r="T2393">
        <v>-0.239597</v>
      </c>
      <c r="U2393">
        <v>-1.691071</v>
      </c>
      <c r="V2393">
        <v>-8.5522089999999995E-2</v>
      </c>
      <c r="W2393">
        <v>0.15757639999999901</v>
      </c>
      <c r="X2393">
        <v>0.98379649999999996</v>
      </c>
      <c r="Y2393">
        <v>-0.29011920000000002</v>
      </c>
      <c r="Z2393">
        <v>6.5190919999999999E-2</v>
      </c>
      <c r="AA2393">
        <v>0.95476749999999999</v>
      </c>
      <c r="AB2393">
        <v>36</v>
      </c>
      <c r="AC2393">
        <v>12.2538</v>
      </c>
      <c r="AD2393">
        <v>-1.1199642118269999</v>
      </c>
      <c r="AE2393">
        <v>-7.7544500000000003</v>
      </c>
      <c r="AF2393">
        <v>-4.2678244910060501</v>
      </c>
      <c r="AG2393">
        <v>-1.1199642118269999</v>
      </c>
      <c r="AH2393">
        <v>13.769038157611201</v>
      </c>
      <c r="AI2393">
        <v>94.442543486924194</v>
      </c>
      <c r="AJ2393">
        <v>107.22124437542701</v>
      </c>
      <c r="AK2393">
        <v>14.458736373125999</v>
      </c>
      <c r="AL2393">
        <v>80.933749853452895</v>
      </c>
      <c r="AM2393">
        <v>94.968270709438201</v>
      </c>
      <c r="AN2393">
        <v>0.99999995156358701</v>
      </c>
    </row>
    <row r="2394" spans="1:40" x14ac:dyDescent="0.3">
      <c r="A2394" t="str">
        <f>"20200111150853010"</f>
        <v>20200111150853010</v>
      </c>
      <c r="B2394" t="str">
        <f>"1578726533006552"</f>
        <v>1578726533006552</v>
      </c>
      <c r="C2394" t="s">
        <v>40</v>
      </c>
      <c r="D2394">
        <v>5.2084010000000003</v>
      </c>
      <c r="E2394">
        <v>0.41402689999999998</v>
      </c>
      <c r="F2394" t="s">
        <v>43</v>
      </c>
      <c r="G2394">
        <v>-398.06400000000002</v>
      </c>
      <c r="H2394" s="1">
        <v>-1.2735529999999999E-6</v>
      </c>
      <c r="I2394">
        <v>17.564689999999999</v>
      </c>
      <c r="J2394">
        <v>-410.31549999999999</v>
      </c>
      <c r="K2394">
        <v>1.120053</v>
      </c>
      <c r="L2394">
        <v>25.232389999999999</v>
      </c>
      <c r="M2394">
        <v>0.6531517</v>
      </c>
      <c r="N2394">
        <v>0</v>
      </c>
      <c r="O2394">
        <v>-0.75710259999999996</v>
      </c>
      <c r="P2394">
        <v>0.70576629999999996</v>
      </c>
      <c r="Q2394">
        <v>0.1462251</v>
      </c>
      <c r="R2394">
        <v>-0.69318979999999997</v>
      </c>
      <c r="S2394">
        <v>2.6585999999999999</v>
      </c>
      <c r="T2394">
        <v>-0.24056179999999999</v>
      </c>
      <c r="U2394">
        <v>-1.6771240000000001</v>
      </c>
      <c r="V2394">
        <v>-8.5493739999999999E-2</v>
      </c>
      <c r="W2394">
        <v>0.1576931</v>
      </c>
      <c r="X2394">
        <v>0.98378030000000005</v>
      </c>
      <c r="Y2394">
        <v>-0.28955829999999999</v>
      </c>
      <c r="Z2394">
        <v>6.5202300000000005E-2</v>
      </c>
      <c r="AA2394">
        <v>0.95493700000000004</v>
      </c>
      <c r="AB2394">
        <v>36</v>
      </c>
      <c r="AC2394">
        <v>12.251499999999901</v>
      </c>
      <c r="AD2394">
        <v>-1.1200542735529999</v>
      </c>
      <c r="AE2394">
        <v>-7.6677</v>
      </c>
      <c r="AF2394">
        <v>-4.2423954818278897</v>
      </c>
      <c r="AG2394">
        <v>-1.1200542735529999</v>
      </c>
      <c r="AH2394">
        <v>13.726191594613301</v>
      </c>
      <c r="AI2394">
        <v>94.457821882750594</v>
      </c>
      <c r="AJ2394">
        <v>107.174967996623</v>
      </c>
      <c r="AK2394">
        <v>14.410439850746</v>
      </c>
      <c r="AL2394">
        <v>80.926979095451898</v>
      </c>
      <c r="AM2394">
        <v>94.966713377084901</v>
      </c>
      <c r="AN2394">
        <v>0.999999986017443</v>
      </c>
    </row>
    <row r="2395" spans="1:40" x14ac:dyDescent="0.3">
      <c r="A2395" t="str">
        <f>"20200111150853023"</f>
        <v>20200111150853023</v>
      </c>
      <c r="B2395" t="str">
        <f>"1578726533016312"</f>
        <v>1578726533016312</v>
      </c>
      <c r="C2395" t="s">
        <v>40</v>
      </c>
      <c r="D2395">
        <v>5.1983769999999998</v>
      </c>
      <c r="E2395">
        <v>0.41417599999999999</v>
      </c>
      <c r="F2395" t="s">
        <v>43</v>
      </c>
      <c r="G2395">
        <v>-397.92129999999997</v>
      </c>
      <c r="H2395" s="1">
        <v>-1.3439040000000001E-6</v>
      </c>
      <c r="I2395">
        <v>17.506270000000001</v>
      </c>
      <c r="J2395">
        <v>-410.17829999999998</v>
      </c>
      <c r="K2395">
        <v>1.1201540000000001</v>
      </c>
      <c r="L2395">
        <v>25.080690000000001</v>
      </c>
      <c r="M2395">
        <v>0.65792779999999995</v>
      </c>
      <c r="N2395">
        <v>0</v>
      </c>
      <c r="O2395">
        <v>-0.75295540000000005</v>
      </c>
      <c r="P2395">
        <v>0.71019009999999905</v>
      </c>
      <c r="Q2395">
        <v>0.1458527</v>
      </c>
      <c r="R2395">
        <v>-0.68873580000000001</v>
      </c>
      <c r="S2395">
        <v>2.6674799999999999</v>
      </c>
      <c r="T2395">
        <v>-0.24105740000000001</v>
      </c>
      <c r="U2395">
        <v>-1.662811</v>
      </c>
      <c r="V2395">
        <v>-8.5547670000000006E-2</v>
      </c>
      <c r="W2395">
        <v>0.15731970000000001</v>
      </c>
      <c r="X2395">
        <v>0.98383540000000003</v>
      </c>
      <c r="Y2395">
        <v>-0.28862339999999997</v>
      </c>
      <c r="Z2395">
        <v>6.5049919999999997E-2</v>
      </c>
      <c r="AA2395">
        <v>0.95523040000000004</v>
      </c>
      <c r="AB2395">
        <v>36</v>
      </c>
      <c r="AC2395">
        <v>12.257</v>
      </c>
      <c r="AD2395">
        <v>-1.120155343904</v>
      </c>
      <c r="AE2395">
        <v>-7.5744199999999999</v>
      </c>
      <c r="AF2395">
        <v>-4.2204465534488804</v>
      </c>
      <c r="AG2395">
        <v>-1.120155343904</v>
      </c>
      <c r="AH2395">
        <v>13.6860071228593</v>
      </c>
      <c r="AI2395">
        <v>94.4721336269494</v>
      </c>
      <c r="AJ2395">
        <v>107.138546703033</v>
      </c>
      <c r="AK2395">
        <v>14.3657129329508</v>
      </c>
      <c r="AL2395">
        <v>80.948643823413093</v>
      </c>
      <c r="AM2395">
        <v>94.969553782403395</v>
      </c>
      <c r="AN2395">
        <v>0.99999999307183896</v>
      </c>
    </row>
    <row r="2396" spans="1:40" x14ac:dyDescent="0.3">
      <c r="A2396" t="str">
        <f>"20200111150853034"</f>
        <v>20200111150853034</v>
      </c>
      <c r="B2396" t="str">
        <f>"1578726533026072"</f>
        <v>1578726533026072</v>
      </c>
      <c r="C2396" t="s">
        <v>40</v>
      </c>
      <c r="D2396">
        <v>5.1678850000000001</v>
      </c>
      <c r="E2396">
        <v>0.41437410000000002</v>
      </c>
      <c r="F2396" t="s">
        <v>43</v>
      </c>
      <c r="G2396">
        <v>-397.85039999999998</v>
      </c>
      <c r="H2396" s="1">
        <v>-1.3735949999999999E-6</v>
      </c>
      <c r="I2396">
        <v>17.496960000000001</v>
      </c>
      <c r="J2396">
        <v>-410.04079999999999</v>
      </c>
      <c r="K2396">
        <v>1.1202510000000001</v>
      </c>
      <c r="L2396">
        <v>24.930689999999998</v>
      </c>
      <c r="M2396">
        <v>0.66271329999999995</v>
      </c>
      <c r="N2396">
        <v>0</v>
      </c>
      <c r="O2396">
        <v>-0.74874669999999999</v>
      </c>
      <c r="P2396">
        <v>0.71445899999999996</v>
      </c>
      <c r="Q2396">
        <v>0.14587420000000001</v>
      </c>
      <c r="R2396">
        <v>-0.68430179999999996</v>
      </c>
      <c r="S2396">
        <v>2.6770320000000001</v>
      </c>
      <c r="T2396">
        <v>-0.24324370000000001</v>
      </c>
      <c r="U2396">
        <v>-1.64682</v>
      </c>
      <c r="V2396">
        <v>-8.5437540000000006E-2</v>
      </c>
      <c r="W2396">
        <v>0.15734509999999999</v>
      </c>
      <c r="X2396">
        <v>0.98384090000000002</v>
      </c>
      <c r="Y2396">
        <v>-0.28815079999999998</v>
      </c>
      <c r="Z2396">
        <v>6.5360749999999995E-2</v>
      </c>
      <c r="AA2396">
        <v>0.95535179999999997</v>
      </c>
      <c r="AB2396">
        <v>36</v>
      </c>
      <c r="AC2396">
        <v>12.1904</v>
      </c>
      <c r="AD2396">
        <v>-1.1202523735950001</v>
      </c>
      <c r="AE2396">
        <v>-7.43372999999999</v>
      </c>
      <c r="AF2396">
        <v>-4.1757826574969199</v>
      </c>
      <c r="AG2396">
        <v>-1.1202523735950001</v>
      </c>
      <c r="AH2396">
        <v>13.5625251923948</v>
      </c>
      <c r="AI2396">
        <v>94.513686788329196</v>
      </c>
      <c r="AJ2396">
        <v>107.11314043679501</v>
      </c>
      <c r="AK2396">
        <v>14.234964551327201</v>
      </c>
      <c r="AL2396">
        <v>80.947170084570899</v>
      </c>
      <c r="AM2396">
        <v>94.963160584128602</v>
      </c>
      <c r="AN2396">
        <v>0.99999998512403498</v>
      </c>
    </row>
    <row r="2397" spans="1:40" x14ac:dyDescent="0.3">
      <c r="A2397" t="str">
        <f>"20200111150853050"</f>
        <v>20200111150853050</v>
      </c>
      <c r="B2397" t="str">
        <f>"1578726533046099"</f>
        <v>1578726533046099</v>
      </c>
      <c r="C2397" t="s">
        <v>40</v>
      </c>
      <c r="D2397">
        <v>5.1822290000000004</v>
      </c>
      <c r="E2397">
        <v>0.41482750000000002</v>
      </c>
      <c r="F2397" t="s">
        <v>43</v>
      </c>
      <c r="G2397">
        <v>-397.72199999999998</v>
      </c>
      <c r="H2397" s="1">
        <v>-1.44139E-6</v>
      </c>
      <c r="I2397">
        <v>17.45083</v>
      </c>
      <c r="J2397">
        <v>-409.8938</v>
      </c>
      <c r="K2397">
        <v>1.1203590000000001</v>
      </c>
      <c r="L2397">
        <v>24.772919999999999</v>
      </c>
      <c r="M2397">
        <v>0.66781269999999904</v>
      </c>
      <c r="N2397">
        <v>0</v>
      </c>
      <c r="O2397">
        <v>-0.74420169999999997</v>
      </c>
      <c r="P2397">
        <v>0.71829809999999905</v>
      </c>
      <c r="Q2397">
        <v>0.14556640000000001</v>
      </c>
      <c r="R2397">
        <v>-0.68033699999999997</v>
      </c>
      <c r="S2397">
        <v>2.686493</v>
      </c>
      <c r="T2397">
        <v>-0.2443072</v>
      </c>
      <c r="U2397">
        <v>-1.6312260000000001</v>
      </c>
      <c r="V2397">
        <v>-8.4239270000000005E-2</v>
      </c>
      <c r="W2397">
        <v>0.1570725</v>
      </c>
      <c r="X2397">
        <v>0.98398779999999997</v>
      </c>
      <c r="Y2397">
        <v>-0.28714659999999997</v>
      </c>
      <c r="Z2397">
        <v>6.5325149999999998E-2</v>
      </c>
      <c r="AA2397">
        <v>0.95565659999999997</v>
      </c>
      <c r="AB2397">
        <v>36</v>
      </c>
      <c r="AC2397">
        <v>12.171799999999999</v>
      </c>
      <c r="AD2397">
        <v>-1.1203604413899999</v>
      </c>
      <c r="AE2397">
        <v>-7.3220900000000002</v>
      </c>
      <c r="AF2397">
        <v>-4.1431109145435396</v>
      </c>
      <c r="AG2397">
        <v>-1.1203604413899999</v>
      </c>
      <c r="AH2397">
        <v>13.4949311843401</v>
      </c>
      <c r="AI2397">
        <v>94.537752212219999</v>
      </c>
      <c r="AJ2397">
        <v>107.067134334754</v>
      </c>
      <c r="AK2397">
        <v>14.160993723567501</v>
      </c>
      <c r="AL2397">
        <v>80.962985779646999</v>
      </c>
      <c r="AM2397">
        <v>94.893165151717199</v>
      </c>
      <c r="AN2397">
        <v>1.0000000077076101</v>
      </c>
    </row>
    <row r="2398" spans="1:40" x14ac:dyDescent="0.3">
      <c r="A2398" t="str">
        <f>"20200111150853062"</f>
        <v>20200111150853062</v>
      </c>
      <c r="B2398" t="str">
        <f>"1578726533055860"</f>
        <v>1578726533055860</v>
      </c>
      <c r="C2398" t="s">
        <v>40</v>
      </c>
      <c r="D2398">
        <v>5.204548</v>
      </c>
      <c r="E2398">
        <v>0.41509230000000003</v>
      </c>
      <c r="F2398" t="s">
        <v>43</v>
      </c>
      <c r="G2398">
        <v>-397.70780000000002</v>
      </c>
      <c r="H2398" s="1">
        <v>-1.447257E-6</v>
      </c>
      <c r="I2398">
        <v>17.45571</v>
      </c>
      <c r="J2398">
        <v>-409.75740000000002</v>
      </c>
      <c r="K2398">
        <v>1.12046</v>
      </c>
      <c r="L2398">
        <v>24.62781</v>
      </c>
      <c r="M2398">
        <v>0.67253019999999997</v>
      </c>
      <c r="N2398">
        <v>0</v>
      </c>
      <c r="O2398">
        <v>-0.73994069999999901</v>
      </c>
      <c r="P2398">
        <v>0.72182800000000003</v>
      </c>
      <c r="Q2398">
        <v>0.1456586</v>
      </c>
      <c r="R2398">
        <v>-0.67657080000000003</v>
      </c>
      <c r="S2398">
        <v>2.694366</v>
      </c>
      <c r="T2398">
        <v>-0.2477152</v>
      </c>
      <c r="U2398">
        <v>-1.6178589999999999</v>
      </c>
      <c r="V2398">
        <v>-8.3154160000000005E-2</v>
      </c>
      <c r="W2398">
        <v>0.1571968</v>
      </c>
      <c r="X2398">
        <v>0.98406020000000005</v>
      </c>
      <c r="Y2398">
        <v>-0.28572059999999999</v>
      </c>
      <c r="Z2398">
        <v>6.5915639999999998E-2</v>
      </c>
      <c r="AA2398">
        <v>0.95604339999999999</v>
      </c>
      <c r="AB2398">
        <v>36</v>
      </c>
      <c r="AC2398">
        <v>12.0495999999999</v>
      </c>
      <c r="AD2398">
        <v>-1.120461447257</v>
      </c>
      <c r="AE2398">
        <v>-7.1721000000000004</v>
      </c>
      <c r="AF2398">
        <v>-4.0669599961434502</v>
      </c>
      <c r="AG2398">
        <v>-1.120461447257</v>
      </c>
      <c r="AH2398">
        <v>13.3268409924141</v>
      </c>
      <c r="AI2398">
        <v>94.597514439963206</v>
      </c>
      <c r="AJ2398">
        <v>106.970647962454</v>
      </c>
      <c r="AK2398">
        <v>13.9785653163016</v>
      </c>
      <c r="AL2398">
        <v>80.955773917681299</v>
      </c>
      <c r="AM2398">
        <v>94.8300813647799</v>
      </c>
      <c r="AN2398">
        <v>0.99999996273979197</v>
      </c>
    </row>
    <row r="2399" spans="1:40" x14ac:dyDescent="0.3">
      <c r="A2399" t="str">
        <f>"20200111150853074"</f>
        <v>20200111150853074</v>
      </c>
      <c r="B2399" t="str">
        <f>"1578726533066595"</f>
        <v>1578726533066595</v>
      </c>
      <c r="C2399" t="s">
        <v>40</v>
      </c>
      <c r="D2399">
        <v>5.1947219999999996</v>
      </c>
      <c r="E2399">
        <v>0.41531400000000002</v>
      </c>
      <c r="F2399" t="s">
        <v>43</v>
      </c>
      <c r="G2399">
        <v>-397.55680000000001</v>
      </c>
      <c r="H2399" s="1">
        <v>-1.5318709999999999E-6</v>
      </c>
      <c r="I2399">
        <v>17.381260000000001</v>
      </c>
      <c r="J2399">
        <v>-409.62060000000002</v>
      </c>
      <c r="K2399">
        <v>1.1205529999999999</v>
      </c>
      <c r="L2399">
        <v>24.4848</v>
      </c>
      <c r="M2399">
        <v>0.67724700000000004</v>
      </c>
      <c r="N2399">
        <v>0</v>
      </c>
      <c r="O2399">
        <v>-0.73562539999999998</v>
      </c>
      <c r="P2399">
        <v>0.72550769999999998</v>
      </c>
      <c r="Q2399">
        <v>0.14611209999999999</v>
      </c>
      <c r="R2399">
        <v>-0.67252480000000003</v>
      </c>
      <c r="S2399">
        <v>2.701965</v>
      </c>
      <c r="T2399">
        <v>-0.24813859999999999</v>
      </c>
      <c r="U2399">
        <v>-1.6048279999999999</v>
      </c>
      <c r="V2399">
        <v>-8.23435E-2</v>
      </c>
      <c r="W2399">
        <v>0.15767519999999999</v>
      </c>
      <c r="X2399">
        <v>0.98405189999999998</v>
      </c>
      <c r="Y2399">
        <v>-0.28418860000000001</v>
      </c>
      <c r="Z2399">
        <v>6.5702410000000003E-2</v>
      </c>
      <c r="AA2399">
        <v>0.95651450000000005</v>
      </c>
      <c r="AB2399">
        <v>36</v>
      </c>
      <c r="AC2399">
        <v>12.063800000000001</v>
      </c>
      <c r="AD2399">
        <v>-1.120554531871</v>
      </c>
      <c r="AE2399">
        <v>-7.10353999999999</v>
      </c>
      <c r="AF2399">
        <v>-4.0381061783463403</v>
      </c>
      <c r="AG2399">
        <v>-1.120554531871</v>
      </c>
      <c r="AH2399">
        <v>13.311720129446201</v>
      </c>
      <c r="AI2399">
        <v>94.605419808042996</v>
      </c>
      <c r="AJ2399">
        <v>106.875157753126</v>
      </c>
      <c r="AK2399">
        <v>13.9557814819235</v>
      </c>
      <c r="AL2399">
        <v>80.928018097250003</v>
      </c>
      <c r="AM2399">
        <v>94.783253178742001</v>
      </c>
      <c r="AN2399">
        <v>1.00000003129044</v>
      </c>
    </row>
    <row r="2400" spans="1:40" x14ac:dyDescent="0.3">
      <c r="A2400" t="str">
        <f>"20200111150853086"</f>
        <v>20200111150853086</v>
      </c>
      <c r="B2400" t="str">
        <f>"1578726533076355"</f>
        <v>1578726533076355</v>
      </c>
      <c r="C2400" t="s">
        <v>40</v>
      </c>
      <c r="D2400">
        <v>5.2092619999999998</v>
      </c>
      <c r="E2400">
        <v>0.41551870000000002</v>
      </c>
      <c r="F2400" t="s">
        <v>43</v>
      </c>
      <c r="G2400">
        <v>-397.34469999999999</v>
      </c>
      <c r="H2400" s="1">
        <v>-1.650465E-6</v>
      </c>
      <c r="I2400">
        <v>17.277719999999999</v>
      </c>
      <c r="J2400">
        <v>-409.49279999999999</v>
      </c>
      <c r="K2400">
        <v>1.1206389999999999</v>
      </c>
      <c r="L2400">
        <v>24.35275</v>
      </c>
      <c r="M2400">
        <v>0.68163680000000004</v>
      </c>
      <c r="N2400">
        <v>0</v>
      </c>
      <c r="O2400">
        <v>-0.73155959999999998</v>
      </c>
      <c r="P2400">
        <v>0.72911389999999998</v>
      </c>
      <c r="Q2400">
        <v>0.14629589999999901</v>
      </c>
      <c r="R2400">
        <v>-0.66857349999999904</v>
      </c>
      <c r="S2400">
        <v>2.7100219999999999</v>
      </c>
      <c r="T2400">
        <v>-0.2473736</v>
      </c>
      <c r="U2400">
        <v>-1.5910340000000001</v>
      </c>
      <c r="V2400">
        <v>-8.1811990000000001E-2</v>
      </c>
      <c r="W2400">
        <v>0.15787679999999901</v>
      </c>
      <c r="X2400">
        <v>0.98406389999999999</v>
      </c>
      <c r="Y2400">
        <v>-0.28334189999999998</v>
      </c>
      <c r="Z2400">
        <v>6.5209459999999997E-2</v>
      </c>
      <c r="AA2400">
        <v>0.95679939999999997</v>
      </c>
      <c r="AB2400">
        <v>36</v>
      </c>
      <c r="AC2400">
        <v>12.148099999999999</v>
      </c>
      <c r="AD2400">
        <v>-1.1206406504649999</v>
      </c>
      <c r="AE2400">
        <v>-7.0750299999999902</v>
      </c>
      <c r="AF2400">
        <v>-4.03918167398046</v>
      </c>
      <c r="AG2400">
        <v>-1.1206406504649999</v>
      </c>
      <c r="AH2400">
        <v>13.372713359388101</v>
      </c>
      <c r="AI2400">
        <v>94.586504956861504</v>
      </c>
      <c r="AJ2400">
        <v>106.806759293214</v>
      </c>
      <c r="AK2400">
        <v>14.014288660337</v>
      </c>
      <c r="AL2400">
        <v>80.916320677774394</v>
      </c>
      <c r="AM2400">
        <v>94.752462474386306</v>
      </c>
      <c r="AN2400">
        <v>1.0000000224846</v>
      </c>
    </row>
    <row r="2401" spans="1:40" x14ac:dyDescent="0.3">
      <c r="A2401" t="str">
        <f>"20200111150853097"</f>
        <v>20200111150853097</v>
      </c>
      <c r="B2401" t="str">
        <f>"1578726533086116"</f>
        <v>1578726533086116</v>
      </c>
      <c r="C2401" t="s">
        <v>40</v>
      </c>
      <c r="D2401">
        <v>5.1882190000000001</v>
      </c>
      <c r="E2401">
        <v>0.41569440000000002</v>
      </c>
      <c r="F2401" t="s">
        <v>43</v>
      </c>
      <c r="G2401">
        <v>-397.20650000000001</v>
      </c>
      <c r="H2401" s="1">
        <v>-1.726426E-6</v>
      </c>
      <c r="I2401">
        <v>17.217890000000001</v>
      </c>
      <c r="J2401">
        <v>-409.36239999999998</v>
      </c>
      <c r="K2401">
        <v>1.1207180000000001</v>
      </c>
      <c r="L2401">
        <v>24.219239999999999</v>
      </c>
      <c r="M2401">
        <v>0.68609830000000005</v>
      </c>
      <c r="N2401">
        <v>0</v>
      </c>
      <c r="O2401">
        <v>-0.72737629999999998</v>
      </c>
      <c r="P2401">
        <v>0.73269289999999998</v>
      </c>
      <c r="Q2401">
        <v>0.146152</v>
      </c>
      <c r="R2401">
        <v>-0.66468079999999996</v>
      </c>
      <c r="S2401">
        <v>2.717346</v>
      </c>
      <c r="T2401">
        <v>-0.24784980000000001</v>
      </c>
      <c r="U2401">
        <v>-1.578003</v>
      </c>
      <c r="V2401">
        <v>-8.1082959999999996E-2</v>
      </c>
      <c r="W2401">
        <v>0.1577577</v>
      </c>
      <c r="X2401">
        <v>0.98414330000000005</v>
      </c>
      <c r="Y2401">
        <v>-0.28203129999999998</v>
      </c>
      <c r="Z2401">
        <v>6.5023999999999998E-2</v>
      </c>
      <c r="AA2401">
        <v>0.95719920000000003</v>
      </c>
      <c r="AB2401">
        <v>36</v>
      </c>
      <c r="AC2401">
        <v>12.1558999999999</v>
      </c>
      <c r="AD2401">
        <v>-1.120719726426</v>
      </c>
      <c r="AE2401">
        <v>-7.0013499999999897</v>
      </c>
      <c r="AF2401">
        <v>-4.0130745285323997</v>
      </c>
      <c r="AG2401">
        <v>-1.120719726426</v>
      </c>
      <c r="AH2401">
        <v>13.3488524280906</v>
      </c>
      <c r="AI2401">
        <v>94.596780948930999</v>
      </c>
      <c r="AJ2401">
        <v>106.73238991705701</v>
      </c>
      <c r="AK2401">
        <v>13.984013766572801</v>
      </c>
      <c r="AL2401">
        <v>80.923230877112104</v>
      </c>
      <c r="AM2401">
        <v>94.709926177867601</v>
      </c>
      <c r="AN2401">
        <v>0.99999998662327005</v>
      </c>
    </row>
    <row r="2402" spans="1:40" x14ac:dyDescent="0.3">
      <c r="A2402" t="str">
        <f>"20200111150853109"</f>
        <v>20200111150853109</v>
      </c>
      <c r="B2402" t="str">
        <f>"1578726533106613"</f>
        <v>1578726533106613</v>
      </c>
      <c r="C2402" t="s">
        <v>40</v>
      </c>
      <c r="D2402">
        <v>5.1926550000000002</v>
      </c>
      <c r="E2402">
        <v>0.41611870000000001</v>
      </c>
      <c r="F2402" t="s">
        <v>43</v>
      </c>
      <c r="G2402">
        <v>-397.12709999999998</v>
      </c>
      <c r="H2402" s="1">
        <v>-1.7681690000000001E-6</v>
      </c>
      <c r="I2402">
        <v>17.19407</v>
      </c>
      <c r="J2402">
        <v>-409.23489999999998</v>
      </c>
      <c r="K2402">
        <v>1.1207959999999999</v>
      </c>
      <c r="L2402">
        <v>24.09103</v>
      </c>
      <c r="M2402">
        <v>0.69044510000000003</v>
      </c>
      <c r="N2402">
        <v>0</v>
      </c>
      <c r="O2402">
        <v>-0.72325130000000004</v>
      </c>
      <c r="P2402">
        <v>0.73645090000000002</v>
      </c>
      <c r="Q2402">
        <v>0.14595169999999999</v>
      </c>
      <c r="R2402">
        <v>-0.66055949999999997</v>
      </c>
      <c r="S2402">
        <v>2.7249150000000002</v>
      </c>
      <c r="T2402">
        <v>-0.2495955</v>
      </c>
      <c r="U2402">
        <v>-1.564575</v>
      </c>
      <c r="V2402">
        <v>-8.0761570000000005E-2</v>
      </c>
      <c r="W2402">
        <v>0.15757070000000001</v>
      </c>
      <c r="X2402">
        <v>0.98419970000000001</v>
      </c>
      <c r="Y2402">
        <v>-0.28095589999999998</v>
      </c>
      <c r="Z2402">
        <v>6.5175239999999995E-2</v>
      </c>
      <c r="AA2402">
        <v>0.9575051</v>
      </c>
      <c r="AB2402">
        <v>36</v>
      </c>
      <c r="AC2402">
        <v>12.1077999999999</v>
      </c>
      <c r="AD2402">
        <v>-1.120797768169</v>
      </c>
      <c r="AE2402">
        <v>-6.89696</v>
      </c>
      <c r="AF2402">
        <v>-3.9697130987345699</v>
      </c>
      <c r="AG2402">
        <v>-1.120797768169</v>
      </c>
      <c r="AH2402">
        <v>13.2634857143854</v>
      </c>
      <c r="AI2402">
        <v>94.628251400132697</v>
      </c>
      <c r="AJ2402">
        <v>106.662250694069</v>
      </c>
      <c r="AK2402">
        <v>13.890099460374699</v>
      </c>
      <c r="AL2402">
        <v>80.934081041997402</v>
      </c>
      <c r="AM2402">
        <v>94.691073211307298</v>
      </c>
      <c r="AN2402">
        <v>1.0000000030837199</v>
      </c>
    </row>
    <row r="2403" spans="1:40" x14ac:dyDescent="0.3">
      <c r="A2403" t="str">
        <f>"20200111150853124"</f>
        <v>20200111150853124</v>
      </c>
      <c r="B2403" t="str">
        <f>"1578726533116371"</f>
        <v>1578726533116371</v>
      </c>
      <c r="C2403" t="s">
        <v>40</v>
      </c>
      <c r="D2403">
        <v>5.2820410000000004</v>
      </c>
      <c r="E2403">
        <v>0.41621979999999997</v>
      </c>
      <c r="F2403" t="s">
        <v>43</v>
      </c>
      <c r="G2403">
        <v>-397.10390000000001</v>
      </c>
      <c r="H2403" s="1">
        <v>-1.7783E-6</v>
      </c>
      <c r="I2403">
        <v>17.19876</v>
      </c>
      <c r="J2403">
        <v>-409.06720000000001</v>
      </c>
      <c r="K2403">
        <v>1.1208959999999999</v>
      </c>
      <c r="L2403">
        <v>23.924160000000001</v>
      </c>
      <c r="M2403">
        <v>0.69612949999999996</v>
      </c>
      <c r="N2403">
        <v>0</v>
      </c>
      <c r="O2403">
        <v>-0.71778120000000001</v>
      </c>
      <c r="P2403">
        <v>0.74119789999999997</v>
      </c>
      <c r="Q2403">
        <v>0.14601839999999999</v>
      </c>
      <c r="R2403">
        <v>-0.65521319999999905</v>
      </c>
      <c r="S2403">
        <v>2.731598</v>
      </c>
      <c r="T2403">
        <v>-0.2523763</v>
      </c>
      <c r="U2403">
        <v>-1.551971</v>
      </c>
      <c r="V2403">
        <v>-8.014984E-2</v>
      </c>
      <c r="W2403">
        <v>0.1576592</v>
      </c>
      <c r="X2403">
        <v>0.98423550000000004</v>
      </c>
      <c r="Y2403">
        <v>-0.2776942</v>
      </c>
      <c r="Z2403">
        <v>6.543831E-2</v>
      </c>
      <c r="AA2403">
        <v>0.95843820000000002</v>
      </c>
      <c r="AB2403">
        <v>36</v>
      </c>
      <c r="AC2403">
        <v>11.9633</v>
      </c>
      <c r="AD2403">
        <v>-1.12089777829999</v>
      </c>
      <c r="AE2403">
        <v>-6.7253999999999996</v>
      </c>
      <c r="AF2403">
        <v>-3.8797807594215699</v>
      </c>
      <c r="AG2403">
        <v>-1.12089777829999</v>
      </c>
      <c r="AH2403">
        <v>13.0694663555073</v>
      </c>
      <c r="AI2403">
        <v>94.700192829236201</v>
      </c>
      <c r="AJ2403">
        <v>106.53396332958199</v>
      </c>
      <c r="AK2403">
        <v>13.6791835059083</v>
      </c>
      <c r="AL2403">
        <v>80.928945878903903</v>
      </c>
      <c r="AM2403">
        <v>94.655528785552704</v>
      </c>
      <c r="AN2403">
        <v>0.99999996982845696</v>
      </c>
    </row>
    <row r="2404" spans="1:40" x14ac:dyDescent="0.3">
      <c r="A2404" t="str">
        <f>"20200111150853136"</f>
        <v>20200111150853136</v>
      </c>
      <c r="B2404" t="str">
        <f>"1578726533126132"</f>
        <v>1578726533126132</v>
      </c>
      <c r="C2404" t="s">
        <v>40</v>
      </c>
      <c r="D2404">
        <v>5.2754349999999999</v>
      </c>
      <c r="E2404">
        <v>0.4163386</v>
      </c>
      <c r="F2404" t="s">
        <v>43</v>
      </c>
      <c r="G2404">
        <v>-396.89800000000002</v>
      </c>
      <c r="H2404" s="1">
        <v>-1.88899E-6</v>
      </c>
      <c r="I2404">
        <v>17.123439999999999</v>
      </c>
      <c r="J2404">
        <v>-408.9194</v>
      </c>
      <c r="K2404">
        <v>1.1209830000000001</v>
      </c>
      <c r="L2404">
        <v>23.779140000000002</v>
      </c>
      <c r="M2404">
        <v>0.70111230000000002</v>
      </c>
      <c r="N2404">
        <v>0</v>
      </c>
      <c r="O2404">
        <v>-0.71291439999999995</v>
      </c>
      <c r="P2404">
        <v>0.74508269999999999</v>
      </c>
      <c r="Q2404">
        <v>0.14597209999999999</v>
      </c>
      <c r="R2404">
        <v>-0.65080269999999996</v>
      </c>
      <c r="S2404">
        <v>2.7424620000000002</v>
      </c>
      <c r="T2404">
        <v>-0.25260759999999999</v>
      </c>
      <c r="U2404">
        <v>-1.5326229999999901</v>
      </c>
      <c r="V2404">
        <v>-7.9173339999999995E-2</v>
      </c>
      <c r="W2404">
        <v>0.15764510000000001</v>
      </c>
      <c r="X2404">
        <v>0.98431679999999999</v>
      </c>
      <c r="Y2404">
        <v>-0.27778190000000003</v>
      </c>
      <c r="Z2404">
        <v>6.5168279999999995E-2</v>
      </c>
      <c r="AA2404">
        <v>0.95843120000000004</v>
      </c>
      <c r="AB2404">
        <v>36</v>
      </c>
      <c r="AC2404">
        <v>12.0213999999999</v>
      </c>
      <c r="AD2404">
        <v>-1.12098488898999</v>
      </c>
      <c r="AE2404">
        <v>-6.6557000000000004</v>
      </c>
      <c r="AF2404">
        <v>-3.8784039110748698</v>
      </c>
      <c r="AG2404">
        <v>-1.12098488898999</v>
      </c>
      <c r="AH2404">
        <v>13.087476375577401</v>
      </c>
      <c r="AI2404">
        <v>94.694771349825899</v>
      </c>
      <c r="AJ2404">
        <v>106.506909446015</v>
      </c>
      <c r="AK2404">
        <v>13.6960089770736</v>
      </c>
      <c r="AL2404">
        <v>80.929764064282395</v>
      </c>
      <c r="AM2404">
        <v>94.598675054285295</v>
      </c>
      <c r="AN2404">
        <v>0.99999997904150195</v>
      </c>
    </row>
    <row r="2405" spans="1:40" x14ac:dyDescent="0.3">
      <c r="A2405" t="str">
        <f>"20200111150853150"</f>
        <v>20200111150853150</v>
      </c>
      <c r="B2405" t="str">
        <f>"1578726533145651"</f>
        <v>1578726533145651</v>
      </c>
      <c r="C2405" t="s">
        <v>40</v>
      </c>
      <c r="D2405">
        <v>5.2657020000000001</v>
      </c>
      <c r="E2405">
        <v>0.41673919999999998</v>
      </c>
      <c r="F2405" t="s">
        <v>43</v>
      </c>
      <c r="G2405">
        <v>-396.74329999999998</v>
      </c>
      <c r="H2405" s="1">
        <v>-1.9721120000000001E-6</v>
      </c>
      <c r="I2405">
        <v>17.06719</v>
      </c>
      <c r="J2405">
        <v>-408.7713</v>
      </c>
      <c r="K2405">
        <v>1.121067</v>
      </c>
      <c r="L2405">
        <v>23.63654</v>
      </c>
      <c r="M2405">
        <v>0.70607189999999997</v>
      </c>
      <c r="N2405">
        <v>0</v>
      </c>
      <c r="O2405">
        <v>-0.70800249999999998</v>
      </c>
      <c r="P2405">
        <v>0.74851509999999999</v>
      </c>
      <c r="Q2405">
        <v>0.14619979999999999</v>
      </c>
      <c r="R2405">
        <v>-0.6468005</v>
      </c>
      <c r="S2405">
        <v>2.751312</v>
      </c>
      <c r="T2405">
        <v>-0.25329760000000001</v>
      </c>
      <c r="U2405">
        <v>-1.516632</v>
      </c>
      <c r="V2405">
        <v>-7.7581440000000002E-2</v>
      </c>
      <c r="W2405">
        <v>0.15792200000000001</v>
      </c>
      <c r="X2405">
        <v>0.98439920000000003</v>
      </c>
      <c r="Y2405">
        <v>-0.27665479999999998</v>
      </c>
      <c r="Z2405">
        <v>6.4974050000000005E-2</v>
      </c>
      <c r="AA2405">
        <v>0.95877029999999996</v>
      </c>
      <c r="AB2405">
        <v>36</v>
      </c>
      <c r="AC2405">
        <v>12.028</v>
      </c>
      <c r="AD2405">
        <v>-1.121068972112</v>
      </c>
      <c r="AE2405">
        <v>-6.56935</v>
      </c>
      <c r="AF2405">
        <v>-3.8520240800980701</v>
      </c>
      <c r="AG2405">
        <v>-1.121068972112</v>
      </c>
      <c r="AH2405">
        <v>13.057659349917399</v>
      </c>
      <c r="AI2405">
        <v>94.707506780553999</v>
      </c>
      <c r="AJ2405">
        <v>106.43611804571501</v>
      </c>
      <c r="AK2405">
        <v>13.6600641598923</v>
      </c>
      <c r="AL2405">
        <v>80.913697906520994</v>
      </c>
      <c r="AM2405">
        <v>94.506220813096604</v>
      </c>
      <c r="AN2405">
        <v>1.0000000114385501</v>
      </c>
    </row>
    <row r="2406" spans="1:40" x14ac:dyDescent="0.3">
      <c r="A2406" t="str">
        <f>"20200111150853164"</f>
        <v>20200111150853164</v>
      </c>
      <c r="B2406" t="str">
        <f>"1578726533156388"</f>
        <v>1578726533156388</v>
      </c>
      <c r="C2406" t="s">
        <v>40</v>
      </c>
      <c r="D2406">
        <v>5.5400090000000004</v>
      </c>
      <c r="E2406">
        <v>0.4168578</v>
      </c>
      <c r="F2406" t="s">
        <v>43</v>
      </c>
      <c r="G2406">
        <v>-396.62209999999999</v>
      </c>
      <c r="H2406" s="1">
        <v>-2.03905E-6</v>
      </c>
      <c r="I2406">
        <v>17.01276</v>
      </c>
      <c r="J2406">
        <v>-408.62099999999998</v>
      </c>
      <c r="K2406">
        <v>1.1211439999999999</v>
      </c>
      <c r="L2406">
        <v>23.493259999999999</v>
      </c>
      <c r="M2406">
        <v>0.71107290000000001</v>
      </c>
      <c r="N2406">
        <v>0</v>
      </c>
      <c r="O2406">
        <v>-0.70297929999999997</v>
      </c>
      <c r="P2406">
        <v>0.75279469999999904</v>
      </c>
      <c r="Q2406">
        <v>0.14656669999999999</v>
      </c>
      <c r="R2406">
        <v>-0.64173089999999999</v>
      </c>
      <c r="S2406">
        <v>2.7582089999999999</v>
      </c>
      <c r="T2406">
        <v>-0.25451430000000003</v>
      </c>
      <c r="U2406">
        <v>-1.503784</v>
      </c>
      <c r="V2406">
        <v>-7.7242930000000001E-2</v>
      </c>
      <c r="W2406">
        <v>0.1583029</v>
      </c>
      <c r="X2406">
        <v>0.98436460000000003</v>
      </c>
      <c r="Y2406">
        <v>-0.27428750000000002</v>
      </c>
      <c r="Z2406">
        <v>6.4866859999999998E-2</v>
      </c>
      <c r="AA2406">
        <v>0.95945749999999996</v>
      </c>
      <c r="AB2406">
        <v>36</v>
      </c>
      <c r="AC2406">
        <v>11.9988999999999</v>
      </c>
      <c r="AD2406">
        <v>-1.1211460390500001</v>
      </c>
      <c r="AE2406">
        <v>-6.4804999999999904</v>
      </c>
      <c r="AF2406">
        <v>-3.8015498488002901</v>
      </c>
      <c r="AG2406">
        <v>-1.1211460390500001</v>
      </c>
      <c r="AH2406">
        <v>13.001154678922299</v>
      </c>
      <c r="AI2406">
        <v>94.731507336672095</v>
      </c>
      <c r="AJ2406">
        <v>106.29896946484899</v>
      </c>
      <c r="AK2406">
        <v>13.591864209116199</v>
      </c>
      <c r="AL2406">
        <v>80.891595564140005</v>
      </c>
      <c r="AM2406">
        <v>94.486796396363303</v>
      </c>
      <c r="AN2406">
        <v>0.99999997205827695</v>
      </c>
    </row>
    <row r="2407" spans="1:40" x14ac:dyDescent="0.3">
      <c r="A2407" t="str">
        <f>"20200111150853178"</f>
        <v>20200111150853178</v>
      </c>
      <c r="B2407" t="str">
        <f>"1578726533175908"</f>
        <v>1578726533175908</v>
      </c>
      <c r="C2407" t="s">
        <v>40</v>
      </c>
      <c r="D2407">
        <v>5.5231079999999997</v>
      </c>
      <c r="E2407">
        <v>0.4171821</v>
      </c>
      <c r="F2407" t="s">
        <v>43</v>
      </c>
      <c r="G2407">
        <v>-396.46480000000003</v>
      </c>
      <c r="H2407" s="1">
        <v>-2.1216449999999999E-6</v>
      </c>
      <c r="I2407">
        <v>16.966179999999898</v>
      </c>
      <c r="J2407">
        <v>-408.44920000000002</v>
      </c>
      <c r="K2407">
        <v>1.1212299999999999</v>
      </c>
      <c r="L2407">
        <v>23.331910000000001</v>
      </c>
      <c r="M2407">
        <v>0.71674930000000003</v>
      </c>
      <c r="N2407">
        <v>0</v>
      </c>
      <c r="O2407">
        <v>-0.69719019999999898</v>
      </c>
      <c r="P2407">
        <v>0.75750240000000002</v>
      </c>
      <c r="Q2407">
        <v>0.14687420000000001</v>
      </c>
      <c r="R2407">
        <v>-0.63609609999999905</v>
      </c>
      <c r="S2407">
        <v>2.7678829999999999</v>
      </c>
      <c r="T2407">
        <v>-0.25527850000000002</v>
      </c>
      <c r="U2407">
        <v>-1.4861759999999999</v>
      </c>
      <c r="V2407">
        <v>-7.6607469999999997E-2</v>
      </c>
      <c r="W2407">
        <v>0.15863379999999999</v>
      </c>
      <c r="X2407">
        <v>0.98436100000000004</v>
      </c>
      <c r="Y2407">
        <v>-0.27263179999999998</v>
      </c>
      <c r="Z2407">
        <v>6.4602930000000003E-2</v>
      </c>
      <c r="AA2407">
        <v>0.95994699999999999</v>
      </c>
      <c r="AB2407">
        <v>36</v>
      </c>
      <c r="AC2407">
        <v>11.9843999999999</v>
      </c>
      <c r="AD2407">
        <v>-1.1212321216450001</v>
      </c>
      <c r="AE2407">
        <v>-6.3657300000000001</v>
      </c>
      <c r="AF2407">
        <v>-3.7674261409378</v>
      </c>
      <c r="AG2407">
        <v>-1.1212321216450001</v>
      </c>
      <c r="AH2407">
        <v>12.9408676010273</v>
      </c>
      <c r="AI2407">
        <v>94.7554344451855</v>
      </c>
      <c r="AJ2407">
        <v>106.231664045009</v>
      </c>
      <c r="AK2407">
        <v>13.524670623174099</v>
      </c>
      <c r="AL2407">
        <v>80.872393854557103</v>
      </c>
      <c r="AM2407">
        <v>94.450049626777997</v>
      </c>
      <c r="AN2407">
        <v>0.99999998264162004</v>
      </c>
    </row>
    <row r="2408" spans="1:40" x14ac:dyDescent="0.3">
      <c r="A2408" t="str">
        <f>"20200111150853192"</f>
        <v>20200111150853192</v>
      </c>
      <c r="B2408" t="str">
        <f>"1578726533185667"</f>
        <v>1578726533185667</v>
      </c>
      <c r="C2408" t="s">
        <v>40</v>
      </c>
      <c r="D2408">
        <v>5.2079599999999999</v>
      </c>
      <c r="E2408">
        <v>0.41737400000000002</v>
      </c>
      <c r="F2408" t="s">
        <v>43</v>
      </c>
      <c r="G2408">
        <v>-396.3492</v>
      </c>
      <c r="H2408" s="1">
        <v>-2.1810209999999999E-6</v>
      </c>
      <c r="I2408">
        <v>16.939589999999999</v>
      </c>
      <c r="J2408">
        <v>-408.28680000000003</v>
      </c>
      <c r="K2408">
        <v>1.121308</v>
      </c>
      <c r="L2408">
        <v>23.182559999999999</v>
      </c>
      <c r="M2408">
        <v>0.72206669999999995</v>
      </c>
      <c r="N2408">
        <v>0</v>
      </c>
      <c r="O2408">
        <v>-0.69168109999999905</v>
      </c>
      <c r="P2408">
        <v>0.76231539999999998</v>
      </c>
      <c r="Q2408">
        <v>0.1467841</v>
      </c>
      <c r="R2408">
        <v>-0.63034060000000003</v>
      </c>
      <c r="S2408">
        <v>2.7779240000000001</v>
      </c>
      <c r="T2408">
        <v>-0.25741449999999999</v>
      </c>
      <c r="U2408">
        <v>-1.46756</v>
      </c>
      <c r="V2408">
        <v>-7.6565800000000003E-2</v>
      </c>
      <c r="W2408">
        <v>0.15855050000000001</v>
      </c>
      <c r="X2408">
        <v>0.98437770000000002</v>
      </c>
      <c r="Y2408">
        <v>-0.27170349999999999</v>
      </c>
      <c r="Z2408">
        <v>6.4720550000000002E-2</v>
      </c>
      <c r="AA2408">
        <v>0.96020229999999995</v>
      </c>
      <c r="AB2408">
        <v>36</v>
      </c>
      <c r="AC2408">
        <v>11.9376</v>
      </c>
      <c r="AD2408">
        <v>-1.121310181021</v>
      </c>
      <c r="AE2408">
        <v>-6.2429699999999997</v>
      </c>
      <c r="AF2408">
        <v>-3.7237419518506401</v>
      </c>
      <c r="AG2408">
        <v>-1.121310181021</v>
      </c>
      <c r="AH2408">
        <v>12.850133653628101</v>
      </c>
      <c r="AI2408">
        <v>94.790904732348906</v>
      </c>
      <c r="AJ2408">
        <v>106.160655422188</v>
      </c>
      <c r="AK2408">
        <v>13.425703913096701</v>
      </c>
      <c r="AL2408">
        <v>80.877228109535693</v>
      </c>
      <c r="AM2408">
        <v>94.447563622272398</v>
      </c>
      <c r="AN2408">
        <v>1.0000000195185801</v>
      </c>
    </row>
    <row r="2409" spans="1:40" x14ac:dyDescent="0.3">
      <c r="A2409" t="str">
        <f>"20200111150853207"</f>
        <v>20200111150853207</v>
      </c>
      <c r="B2409" t="str">
        <f>"1578726533196404"</f>
        <v>1578726533196404</v>
      </c>
      <c r="C2409" t="s">
        <v>40</v>
      </c>
      <c r="D2409">
        <v>5.1846519999999998</v>
      </c>
      <c r="E2409">
        <v>0.41737400000000002</v>
      </c>
      <c r="F2409" t="s">
        <v>43</v>
      </c>
      <c r="G2409">
        <v>-396.20710000000003</v>
      </c>
      <c r="H2409" s="1">
        <v>-2.253397E-6</v>
      </c>
      <c r="I2409">
        <v>16.910270000000001</v>
      </c>
      <c r="J2409">
        <v>-408.11610000000002</v>
      </c>
      <c r="K2409">
        <v>1.1213799999999901</v>
      </c>
      <c r="L2409">
        <v>23.027619999999999</v>
      </c>
      <c r="M2409">
        <v>0.72760859999999905</v>
      </c>
      <c r="N2409">
        <v>0</v>
      </c>
      <c r="O2409">
        <v>-0.68584860000000003</v>
      </c>
      <c r="P2409">
        <v>0.76676299999999997</v>
      </c>
      <c r="Q2409">
        <v>0.14620810000000001</v>
      </c>
      <c r="R2409">
        <v>-0.62505790000000006</v>
      </c>
      <c r="S2409">
        <v>2.7881469999999999</v>
      </c>
      <c r="T2409">
        <v>-0.25881279999999901</v>
      </c>
      <c r="U2409">
        <v>-1.4477230000000001</v>
      </c>
      <c r="V2409">
        <v>-7.5536909999999999E-2</v>
      </c>
      <c r="W2409">
        <v>0.15801099999999901</v>
      </c>
      <c r="X2409">
        <v>0.98454390000000003</v>
      </c>
      <c r="Y2409">
        <v>-0.27077220000000002</v>
      </c>
      <c r="Z2409">
        <v>6.4628569999999996E-2</v>
      </c>
      <c r="AA2409">
        <v>0.96047150000000003</v>
      </c>
      <c r="AB2409">
        <v>36</v>
      </c>
      <c r="AC2409">
        <v>11.908999999999899</v>
      </c>
      <c r="AD2409">
        <v>-1.1213822533969999</v>
      </c>
      <c r="AE2409">
        <v>-6.1173500000000001</v>
      </c>
      <c r="AF2409">
        <v>-3.6912058730970601</v>
      </c>
      <c r="AG2409">
        <v>-1.1213822533969999</v>
      </c>
      <c r="AH2409">
        <v>12.7723324163161</v>
      </c>
      <c r="AI2409">
        <v>94.821261439449898</v>
      </c>
      <c r="AJ2409">
        <v>106.11930135164199</v>
      </c>
      <c r="AK2409">
        <v>13.342225238268901</v>
      </c>
      <c r="AL2409">
        <v>80.908533601493403</v>
      </c>
      <c r="AM2409">
        <v>94.387294491698995</v>
      </c>
      <c r="AN2409">
        <v>0.999999995960279</v>
      </c>
    </row>
    <row r="2410" spans="1:40" x14ac:dyDescent="0.3">
      <c r="A2410" t="str">
        <f>"20200111150853221"</f>
        <v>20200111150853221</v>
      </c>
      <c r="B2410" t="str">
        <f>"1578726533215924"</f>
        <v>1578726533215924</v>
      </c>
      <c r="C2410" t="s">
        <v>40</v>
      </c>
      <c r="D2410">
        <v>5.6079670000000004</v>
      </c>
      <c r="E2410">
        <v>0.4174911</v>
      </c>
      <c r="F2410" t="s">
        <v>43</v>
      </c>
      <c r="G2410">
        <v>-396.05869999999999</v>
      </c>
      <c r="H2410" s="1">
        <v>-2.3299029999999998E-6</v>
      </c>
      <c r="I2410">
        <v>16.874489999999899</v>
      </c>
      <c r="J2410">
        <v>-407.9504</v>
      </c>
      <c r="K2410">
        <v>1.1214519999999999</v>
      </c>
      <c r="L2410">
        <v>22.879239999999999</v>
      </c>
      <c r="M2410">
        <v>0.73293909999999995</v>
      </c>
      <c r="N2410">
        <v>0</v>
      </c>
      <c r="O2410">
        <v>-0.6801488</v>
      </c>
      <c r="P2410">
        <v>0.77142180000000005</v>
      </c>
      <c r="Q2410">
        <v>0.14581160000000001</v>
      </c>
      <c r="R2410">
        <v>-0.61939279999999997</v>
      </c>
      <c r="S2410">
        <v>2.7981569999999998</v>
      </c>
      <c r="T2410">
        <v>-0.26023770000000002</v>
      </c>
      <c r="U2410">
        <v>-1.427948</v>
      </c>
      <c r="V2410">
        <v>-7.5174379999999999E-2</v>
      </c>
      <c r="W2410">
        <v>0.15763139999999901</v>
      </c>
      <c r="X2410">
        <v>0.98463250000000002</v>
      </c>
      <c r="Y2410">
        <v>-0.27002619999999999</v>
      </c>
      <c r="Z2410">
        <v>6.4552460000000006E-2</v>
      </c>
      <c r="AA2410">
        <v>0.96068659999999995</v>
      </c>
      <c r="AB2410">
        <v>36</v>
      </c>
      <c r="AC2410">
        <v>11.8917</v>
      </c>
      <c r="AD2410">
        <v>-1.121454329903</v>
      </c>
      <c r="AE2410">
        <v>-6.0047499999999996</v>
      </c>
      <c r="AF2410">
        <v>-3.66142712745072</v>
      </c>
      <c r="AG2410">
        <v>-1.121454329903</v>
      </c>
      <c r="AH2410">
        <v>12.7112025582583</v>
      </c>
      <c r="AI2410">
        <v>94.845871202505805</v>
      </c>
      <c r="AJ2410">
        <v>106.068901155284</v>
      </c>
      <c r="AK2410">
        <v>13.2754803642189</v>
      </c>
      <c r="AL2410">
        <v>80.930559172946801</v>
      </c>
      <c r="AM2410">
        <v>94.365928465890804</v>
      </c>
      <c r="AN2410">
        <v>1.00000000286529</v>
      </c>
    </row>
    <row r="2411" spans="1:40" x14ac:dyDescent="0.3">
      <c r="A2411" t="str">
        <f>"20200111150853234"</f>
        <v>20200111150853234</v>
      </c>
      <c r="B2411" t="str">
        <f>"1578726533225684"</f>
        <v>1578726533225684</v>
      </c>
      <c r="C2411" t="s">
        <v>40</v>
      </c>
      <c r="D2411">
        <v>5.1230969999999996</v>
      </c>
      <c r="E2411">
        <v>0.41776999999999997</v>
      </c>
      <c r="F2411" t="s">
        <v>43</v>
      </c>
      <c r="G2411">
        <v>-395.5659</v>
      </c>
      <c r="H2411" s="1">
        <v>-2.598471E-6</v>
      </c>
      <c r="I2411">
        <v>16.673649999999999</v>
      </c>
      <c r="J2411">
        <v>-407.78649999999999</v>
      </c>
      <c r="K2411">
        <v>1.1215189999999999</v>
      </c>
      <c r="L2411">
        <v>22.73535</v>
      </c>
      <c r="M2411">
        <v>0.73816059999999994</v>
      </c>
      <c r="N2411">
        <v>0</v>
      </c>
      <c r="O2411">
        <v>-0.67447809999999997</v>
      </c>
      <c r="P2411">
        <v>0.77584699999999995</v>
      </c>
      <c r="Q2411">
        <v>0.1454714</v>
      </c>
      <c r="R2411">
        <v>-0.61392159999999996</v>
      </c>
      <c r="S2411">
        <v>2.8074949999999999</v>
      </c>
      <c r="T2411">
        <v>-0.25422699999999998</v>
      </c>
      <c r="U2411">
        <v>-1.4067689999999999</v>
      </c>
      <c r="V2411">
        <v>-7.4606809999999996E-2</v>
      </c>
      <c r="W2411">
        <v>0.1573136</v>
      </c>
      <c r="X2411">
        <v>0.98472649999999995</v>
      </c>
      <c r="Y2411">
        <v>-0.26981189999999999</v>
      </c>
      <c r="Z2411">
        <v>6.2686599999999995E-2</v>
      </c>
      <c r="AA2411">
        <v>0.96087040000000001</v>
      </c>
      <c r="AB2411">
        <v>36</v>
      </c>
      <c r="AC2411">
        <v>12.2205999999999</v>
      </c>
      <c r="AD2411">
        <v>-1.1215215984710001</v>
      </c>
      <c r="AE2411">
        <v>-6.0617000000000001</v>
      </c>
      <c r="AF2411">
        <v>-3.74309196548547</v>
      </c>
      <c r="AG2411">
        <v>-1.1215215984710001</v>
      </c>
      <c r="AH2411">
        <v>13.0225262539575</v>
      </c>
      <c r="AI2411">
        <v>94.731607670544307</v>
      </c>
      <c r="AJ2411">
        <v>106.03634945367099</v>
      </c>
      <c r="AK2411">
        <v>13.596129529867399</v>
      </c>
      <c r="AL2411">
        <v>80.948997910200703</v>
      </c>
      <c r="AM2411">
        <v>94.332679470137506</v>
      </c>
      <c r="AN2411">
        <v>1.0000000123227899</v>
      </c>
    </row>
    <row r="2412" spans="1:40" x14ac:dyDescent="0.3">
      <c r="A2412" t="str">
        <f>"20200111150853247"</f>
        <v>20200111150853247</v>
      </c>
      <c r="B2412" t="str">
        <f>"1578726533236420"</f>
        <v>1578726533236420</v>
      </c>
      <c r="C2412" t="s">
        <v>40</v>
      </c>
      <c r="D2412">
        <v>5.1522170000000003</v>
      </c>
      <c r="E2412">
        <v>0.41788760000000003</v>
      </c>
      <c r="F2412" t="s">
        <v>43</v>
      </c>
      <c r="G2412">
        <v>-395.42039999999997</v>
      </c>
      <c r="H2412" s="1">
        <v>-2.6731919999999999E-6</v>
      </c>
      <c r="I2412">
        <v>16.640090000000001</v>
      </c>
      <c r="J2412">
        <v>-407.65050000000002</v>
      </c>
      <c r="K2412">
        <v>1.121567</v>
      </c>
      <c r="L2412">
        <v>22.61749</v>
      </c>
      <c r="M2412">
        <v>0.74245660000000002</v>
      </c>
      <c r="N2412">
        <v>0</v>
      </c>
      <c r="O2412">
        <v>-0.66974590000000001</v>
      </c>
      <c r="P2412">
        <v>0.7794664</v>
      </c>
      <c r="Q2412">
        <v>0.14556759999999999</v>
      </c>
      <c r="R2412">
        <v>-0.60929659999999997</v>
      </c>
      <c r="S2412">
        <v>2.8162229999999999</v>
      </c>
      <c r="T2412">
        <v>-0.25541340000000001</v>
      </c>
      <c r="U2412">
        <v>-1.388123</v>
      </c>
      <c r="V2412">
        <v>-7.4180040000000003E-2</v>
      </c>
      <c r="W2412">
        <v>0.1574266</v>
      </c>
      <c r="X2412">
        <v>0.98474070000000002</v>
      </c>
      <c r="Y2412">
        <v>-0.26994580000000001</v>
      </c>
      <c r="Z2412">
        <v>6.2656249999999997E-2</v>
      </c>
      <c r="AA2412">
        <v>0.96083479999999999</v>
      </c>
      <c r="AB2412">
        <v>36</v>
      </c>
      <c r="AC2412">
        <v>12.2301</v>
      </c>
      <c r="AD2412">
        <v>-1.121569673192</v>
      </c>
      <c r="AE2412">
        <v>-5.9773999999999896</v>
      </c>
      <c r="AF2412">
        <v>-3.72816384385749</v>
      </c>
      <c r="AG2412">
        <v>-1.121569673192</v>
      </c>
      <c r="AH2412">
        <v>12.996730428470601</v>
      </c>
      <c r="AI2412">
        <v>94.741882294222606</v>
      </c>
      <c r="AJ2412">
        <v>106.005749077893</v>
      </c>
      <c r="AK2412">
        <v>13.5673183057229</v>
      </c>
      <c r="AL2412">
        <v>80.942441952722405</v>
      </c>
      <c r="AM2412">
        <v>94.307927119269493</v>
      </c>
      <c r="AN2412">
        <v>1.00000002947922</v>
      </c>
    </row>
    <row r="2413" spans="1:40" x14ac:dyDescent="0.3">
      <c r="A2413" t="str">
        <f>"20200111150853258"</f>
        <v>20200111150853258</v>
      </c>
      <c r="B2413" t="str">
        <f>"1578726533255940"</f>
        <v>1578726533255940</v>
      </c>
      <c r="C2413" t="s">
        <v>40</v>
      </c>
      <c r="D2413">
        <v>5.1686969999999999</v>
      </c>
      <c r="E2413">
        <v>0.41824610000000001</v>
      </c>
      <c r="F2413" t="s">
        <v>43</v>
      </c>
      <c r="G2413">
        <v>-395.08</v>
      </c>
      <c r="H2413" s="1">
        <v>-2.8569600000000001E-6</v>
      </c>
      <c r="I2413">
        <v>16.511329999999901</v>
      </c>
      <c r="J2413">
        <v>-407.49329999999998</v>
      </c>
      <c r="K2413">
        <v>1.121623</v>
      </c>
      <c r="L2413">
        <v>22.482759999999999</v>
      </c>
      <c r="M2413">
        <v>0.74737189999999998</v>
      </c>
      <c r="N2413">
        <v>0</v>
      </c>
      <c r="O2413">
        <v>-0.66425610000000002</v>
      </c>
      <c r="P2413">
        <v>0.78400689999999995</v>
      </c>
      <c r="Q2413">
        <v>0.14539379999999999</v>
      </c>
      <c r="R2413">
        <v>-0.60348500000000005</v>
      </c>
      <c r="S2413">
        <v>2.8236690000000002</v>
      </c>
      <c r="T2413">
        <v>-0.25193559999999998</v>
      </c>
      <c r="U2413">
        <v>-1.371613</v>
      </c>
      <c r="V2413">
        <v>-7.4284939999999994E-2</v>
      </c>
      <c r="W2413">
        <v>0.1572547</v>
      </c>
      <c r="X2413">
        <v>0.98476019999999997</v>
      </c>
      <c r="Y2413">
        <v>-0.26847890000000002</v>
      </c>
      <c r="Z2413">
        <v>6.1386639999999999E-2</v>
      </c>
      <c r="AA2413">
        <v>0.96132759999999995</v>
      </c>
      <c r="AB2413">
        <v>36</v>
      </c>
      <c r="AC2413">
        <v>12.4132999999999</v>
      </c>
      <c r="AD2413">
        <v>-1.1216258569599999</v>
      </c>
      <c r="AE2413">
        <v>-5.9714299999999998</v>
      </c>
      <c r="AF2413">
        <v>-3.75819073540687</v>
      </c>
      <c r="AG2413">
        <v>-1.1216258569599999</v>
      </c>
      <c r="AH2413">
        <v>13.1579903416768</v>
      </c>
      <c r="AI2413">
        <v>94.685783313815804</v>
      </c>
      <c r="AJ2413">
        <v>105.94042359426101</v>
      </c>
      <c r="AK2413">
        <v>13.730067443328799</v>
      </c>
      <c r="AL2413">
        <v>80.952414799145103</v>
      </c>
      <c r="AM2413">
        <v>94.313910991456893</v>
      </c>
      <c r="AN2413">
        <v>0.99999997224346604</v>
      </c>
    </row>
    <row r="2414" spans="1:40" x14ac:dyDescent="0.3">
      <c r="A2414" t="str">
        <f>"20200111150853274"</f>
        <v>20200111150853274</v>
      </c>
      <c r="B2414" t="str">
        <f>"1578726533266676"</f>
        <v>1578726533266676</v>
      </c>
      <c r="C2414" t="s">
        <v>40</v>
      </c>
      <c r="D2414">
        <v>5.1630989999999999</v>
      </c>
      <c r="E2414">
        <v>0.4185277</v>
      </c>
      <c r="F2414" t="s">
        <v>43</v>
      </c>
      <c r="G2414">
        <v>-395.07549999999998</v>
      </c>
      <c r="H2414" s="1">
        <v>-2.8520340000000001E-6</v>
      </c>
      <c r="I2414">
        <v>16.55106</v>
      </c>
      <c r="J2414">
        <v>-407.31110000000001</v>
      </c>
      <c r="K2414">
        <v>1.1216790000000001</v>
      </c>
      <c r="L2414">
        <v>22.32996</v>
      </c>
      <c r="M2414">
        <v>0.75300649999999902</v>
      </c>
      <c r="N2414">
        <v>0</v>
      </c>
      <c r="O2414">
        <v>-0.65786129999999998</v>
      </c>
      <c r="P2414">
        <v>0.78945019999999999</v>
      </c>
      <c r="Q2414">
        <v>0.145506</v>
      </c>
      <c r="R2414">
        <v>-0.5963193</v>
      </c>
      <c r="S2414">
        <v>2.8324579999999999</v>
      </c>
      <c r="T2414">
        <v>-0.25583850000000002</v>
      </c>
      <c r="U2414">
        <v>-1.352997</v>
      </c>
      <c r="V2414">
        <v>-7.4875849999999994E-2</v>
      </c>
      <c r="W2414">
        <v>0.1573541</v>
      </c>
      <c r="X2414">
        <v>0.98469960000000001</v>
      </c>
      <c r="Y2414">
        <v>-0.26651849999999999</v>
      </c>
      <c r="Z2414">
        <v>6.1816549999999998E-2</v>
      </c>
      <c r="AA2414">
        <v>0.96184539999999996</v>
      </c>
      <c r="AB2414">
        <v>36</v>
      </c>
      <c r="AC2414">
        <v>12.2356</v>
      </c>
      <c r="AD2414">
        <v>-1.1216818520339999</v>
      </c>
      <c r="AE2414">
        <v>-5.7789000000000001</v>
      </c>
      <c r="AF2414">
        <v>-3.6729101747399402</v>
      </c>
      <c r="AG2414">
        <v>-1.1216818520339999</v>
      </c>
      <c r="AH2414">
        <v>12.9276712210331</v>
      </c>
      <c r="AI2414">
        <v>94.771007173661602</v>
      </c>
      <c r="AJ2414">
        <v>105.860499398896</v>
      </c>
      <c r="AK2414">
        <v>13.486034351432499</v>
      </c>
      <c r="AL2414">
        <v>80.946648089952106</v>
      </c>
      <c r="AM2414">
        <v>94.348362082467602</v>
      </c>
      <c r="AN2414">
        <v>1.00000000397009</v>
      </c>
    </row>
    <row r="2415" spans="1:40" x14ac:dyDescent="0.3">
      <c r="A2415" t="str">
        <f>"20200111150853287"</f>
        <v>20200111150853287</v>
      </c>
      <c r="B2415" t="str">
        <f>"1578726533276436"</f>
        <v>1578726533276436</v>
      </c>
      <c r="C2415" t="s">
        <v>40</v>
      </c>
      <c r="D2415">
        <v>5.1412779999999998</v>
      </c>
      <c r="E2415">
        <v>0.41880289999999998</v>
      </c>
      <c r="F2415" t="s">
        <v>43</v>
      </c>
      <c r="G2415">
        <v>-394.904</v>
      </c>
      <c r="H2415" s="1">
        <v>-2.937276E-6</v>
      </c>
      <c r="I2415">
        <v>16.527709999999999</v>
      </c>
      <c r="J2415">
        <v>-407.16730000000001</v>
      </c>
      <c r="K2415">
        <v>1.1217239999999999</v>
      </c>
      <c r="L2415">
        <v>22.211030000000001</v>
      </c>
      <c r="M2415">
        <v>0.75740569999999996</v>
      </c>
      <c r="N2415">
        <v>0</v>
      </c>
      <c r="O2415">
        <v>-0.65279169999999997</v>
      </c>
      <c r="P2415">
        <v>0.79335919999999904</v>
      </c>
      <c r="Q2415">
        <v>0.14550879999999999</v>
      </c>
      <c r="R2415">
        <v>-0.59110799999999997</v>
      </c>
      <c r="S2415">
        <v>2.8431090000000001</v>
      </c>
      <c r="T2415">
        <v>-0.25703429999999999</v>
      </c>
      <c r="U2415">
        <v>-1.32959</v>
      </c>
      <c r="V2415">
        <v>-7.4767739999999999E-2</v>
      </c>
      <c r="W2415">
        <v>0.157364</v>
      </c>
      <c r="X2415">
        <v>0.98470619999999998</v>
      </c>
      <c r="Y2415">
        <v>-0.2679165</v>
      </c>
      <c r="Z2415">
        <v>6.1792590000000001E-2</v>
      </c>
      <c r="AA2415">
        <v>0.96145849999999999</v>
      </c>
      <c r="AB2415">
        <v>36</v>
      </c>
      <c r="AC2415">
        <v>12.263299999999999</v>
      </c>
      <c r="AD2415">
        <v>-1.1217269372759999</v>
      </c>
      <c r="AE2415">
        <v>-5.6833199999999904</v>
      </c>
      <c r="AF2415">
        <v>-3.6758533856573501</v>
      </c>
      <c r="AG2415">
        <v>-1.1217269372759999</v>
      </c>
      <c r="AH2415">
        <v>12.910692263912299</v>
      </c>
      <c r="AI2415">
        <v>94.776690966008303</v>
      </c>
      <c r="AJ2415">
        <v>105.892389248556</v>
      </c>
      <c r="AK2415">
        <v>13.470565844392199</v>
      </c>
      <c r="AL2415">
        <v>80.946073412758906</v>
      </c>
      <c r="AM2415">
        <v>94.342078707450298</v>
      </c>
      <c r="AN2415">
        <v>0.99999997187957301</v>
      </c>
    </row>
    <row r="2416" spans="1:40" x14ac:dyDescent="0.3">
      <c r="A2416" t="str">
        <f>"20200111150853297"</f>
        <v>20200111150853297</v>
      </c>
      <c r="B2416" t="str">
        <f>"1578726533286195"</f>
        <v>1578726533286195</v>
      </c>
      <c r="C2416" t="s">
        <v>40</v>
      </c>
      <c r="D2416">
        <v>5.7402620000000004</v>
      </c>
      <c r="E2416">
        <v>0.41896040000000001</v>
      </c>
      <c r="F2416" t="s">
        <v>43</v>
      </c>
      <c r="G2416">
        <v>-394.75830000000002</v>
      </c>
      <c r="H2416" s="1">
        <v>-3.0114839999999999E-6</v>
      </c>
      <c r="I2416">
        <v>16.497399999999999</v>
      </c>
      <c r="J2416">
        <v>-407.02600000000001</v>
      </c>
      <c r="K2416">
        <v>1.1217649999999999</v>
      </c>
      <c r="L2416">
        <v>22.09525</v>
      </c>
      <c r="M2416">
        <v>0.76168950000000002</v>
      </c>
      <c r="N2416">
        <v>0</v>
      </c>
      <c r="O2416">
        <v>-0.64778760000000002</v>
      </c>
      <c r="P2416">
        <v>0.79724340000000005</v>
      </c>
      <c r="Q2416">
        <v>0.14520179999999999</v>
      </c>
      <c r="R2416">
        <v>-0.58593479999999998</v>
      </c>
      <c r="S2416">
        <v>2.850708</v>
      </c>
      <c r="T2416">
        <v>-0.25769409999999998</v>
      </c>
      <c r="U2416">
        <v>-1.312592</v>
      </c>
      <c r="V2416">
        <v>-7.4730980000000002E-2</v>
      </c>
      <c r="W2416">
        <v>0.1570626</v>
      </c>
      <c r="X2416">
        <v>0.98475710000000005</v>
      </c>
      <c r="Y2416">
        <v>-0.26727709999999999</v>
      </c>
      <c r="Z2416">
        <v>6.1573120000000002E-2</v>
      </c>
      <c r="AA2416">
        <v>0.96165049999999996</v>
      </c>
      <c r="AB2416">
        <v>36</v>
      </c>
      <c r="AC2416">
        <v>12.2676999999999</v>
      </c>
      <c r="AD2416">
        <v>-1.1217680114839901</v>
      </c>
      <c r="AE2416">
        <v>-5.5978500000000002</v>
      </c>
      <c r="AF2416">
        <v>-3.6580936568545401</v>
      </c>
      <c r="AG2416">
        <v>-1.1217680114839901</v>
      </c>
      <c r="AH2416">
        <v>12.8825423781696</v>
      </c>
      <c r="AI2416">
        <v>94.788202945881494</v>
      </c>
      <c r="AJ2416">
        <v>105.85228949818</v>
      </c>
      <c r="AK2416">
        <v>13.4387466230762</v>
      </c>
      <c r="AL2416">
        <v>80.963559728071701</v>
      </c>
      <c r="AM2416">
        <v>94.339728591269406</v>
      </c>
      <c r="AN2416">
        <v>0.999999962845464</v>
      </c>
    </row>
    <row r="2417" spans="1:40" x14ac:dyDescent="0.3">
      <c r="A2417" t="str">
        <f>"20200111150853309"</f>
        <v>20200111150853309</v>
      </c>
      <c r="B2417" t="str">
        <f>"1578726533305716"</f>
        <v>1578726533305716</v>
      </c>
      <c r="C2417" t="s">
        <v>40</v>
      </c>
      <c r="D2417">
        <v>5.8588809999999896</v>
      </c>
      <c r="E2417">
        <v>0.41911159999999997</v>
      </c>
      <c r="F2417" t="s">
        <v>43</v>
      </c>
      <c r="G2417">
        <v>-394.69880000000001</v>
      </c>
      <c r="H2417" s="1">
        <v>-3.036397E-6</v>
      </c>
      <c r="I2417">
        <v>16.515629999999899</v>
      </c>
      <c r="J2417">
        <v>-406.88959999999997</v>
      </c>
      <c r="K2417">
        <v>1.121804</v>
      </c>
      <c r="L2417">
        <v>21.985779999999998</v>
      </c>
      <c r="M2417">
        <v>0.76577839999999997</v>
      </c>
      <c r="N2417">
        <v>0</v>
      </c>
      <c r="O2417">
        <v>-0.64294830000000003</v>
      </c>
      <c r="P2417">
        <v>0.80060909999999996</v>
      </c>
      <c r="Q2417">
        <v>0.14507790000000001</v>
      </c>
      <c r="R2417">
        <v>-0.58135809999999999</v>
      </c>
      <c r="S2417">
        <v>2.8592219999999999</v>
      </c>
      <c r="T2417">
        <v>-0.26018750000000002</v>
      </c>
      <c r="U2417">
        <v>-1.2941590000000001</v>
      </c>
      <c r="V2417">
        <v>-7.4158379999999996E-2</v>
      </c>
      <c r="W2417">
        <v>0.1569595</v>
      </c>
      <c r="X2417">
        <v>0.98481680000000005</v>
      </c>
      <c r="Y2417">
        <v>-0.2673587</v>
      </c>
      <c r="Z2417">
        <v>6.1813600000000003E-2</v>
      </c>
      <c r="AA2417">
        <v>0.96161240000000003</v>
      </c>
      <c r="AB2417">
        <v>36</v>
      </c>
      <c r="AC2417">
        <v>12.1907999999999</v>
      </c>
      <c r="AD2417">
        <v>-1.1218070363969901</v>
      </c>
      <c r="AE2417">
        <v>-5.4701500000000003</v>
      </c>
      <c r="AF2417">
        <v>-3.6239541318684898</v>
      </c>
      <c r="AG2417">
        <v>-1.1218070363969901</v>
      </c>
      <c r="AH2417">
        <v>12.7637989349031</v>
      </c>
      <c r="AI2417">
        <v>94.8327473382585</v>
      </c>
      <c r="AJ2417">
        <v>105.850538820409</v>
      </c>
      <c r="AK2417">
        <v>13.3156320851632</v>
      </c>
      <c r="AL2417">
        <v>80.969540900997998</v>
      </c>
      <c r="AM2417">
        <v>94.306342432207202</v>
      </c>
      <c r="AN2417">
        <v>0.99999993976335499</v>
      </c>
    </row>
    <row r="2418" spans="1:40" x14ac:dyDescent="0.3">
      <c r="A2418" t="str">
        <f>"20200111150853321"</f>
        <v>20200111150853321</v>
      </c>
      <c r="B2418" t="str">
        <f>"1578726533316452"</f>
        <v>1578726533316452</v>
      </c>
      <c r="C2418" t="s">
        <v>40</v>
      </c>
      <c r="D2418">
        <v>5.2438979999999997</v>
      </c>
      <c r="E2418">
        <v>0.41937390000000002</v>
      </c>
      <c r="F2418" t="s">
        <v>43</v>
      </c>
      <c r="G2418">
        <v>-394.68779999999998</v>
      </c>
      <c r="H2418" s="1">
        <v>-3.0365550000000001E-6</v>
      </c>
      <c r="I2418">
        <v>16.543949999999999</v>
      </c>
      <c r="J2418">
        <v>-406.74689999999998</v>
      </c>
      <c r="K2418">
        <v>1.1218429999999999</v>
      </c>
      <c r="L2418">
        <v>21.87189</v>
      </c>
      <c r="M2418">
        <v>0.7700186</v>
      </c>
      <c r="N2418">
        <v>0</v>
      </c>
      <c r="O2418">
        <v>-0.63786399999999999</v>
      </c>
      <c r="P2418">
        <v>0.80412589999999995</v>
      </c>
      <c r="Q2418">
        <v>0.1447261</v>
      </c>
      <c r="R2418">
        <v>-0.57657290000000005</v>
      </c>
      <c r="S2418">
        <v>2.8665470000000002</v>
      </c>
      <c r="T2418">
        <v>-0.26354490000000003</v>
      </c>
      <c r="U2418">
        <v>-1.2784420000000001</v>
      </c>
      <c r="V2418">
        <v>-7.3556490000000002E-2</v>
      </c>
      <c r="W2418">
        <v>0.15662980000000001</v>
      </c>
      <c r="X2418">
        <v>0.98491450000000003</v>
      </c>
      <c r="Y2418">
        <v>-0.2662427</v>
      </c>
      <c r="Z2418">
        <v>6.2187859999999998E-2</v>
      </c>
      <c r="AA2418">
        <v>0.96189789999999997</v>
      </c>
      <c r="AB2418">
        <v>36</v>
      </c>
      <c r="AC2418">
        <v>12.059100000000001</v>
      </c>
      <c r="AD2418">
        <v>-1.12184603655499</v>
      </c>
      <c r="AE2418">
        <v>-5.3279399999999999</v>
      </c>
      <c r="AF2418">
        <v>-3.56400668791338</v>
      </c>
      <c r="AG2418">
        <v>-1.12184603655499</v>
      </c>
      <c r="AH2418">
        <v>12.5943119753506</v>
      </c>
      <c r="AI2418">
        <v>94.898839745432696</v>
      </c>
      <c r="AJ2418">
        <v>105.80073973554801</v>
      </c>
      <c r="AK2418">
        <v>13.1368708729927</v>
      </c>
      <c r="AL2418">
        <v>80.988668553646406</v>
      </c>
      <c r="AM2418">
        <v>94.271098699389697</v>
      </c>
      <c r="AN2418">
        <v>1.0000000118896999</v>
      </c>
    </row>
    <row r="2419" spans="1:40" x14ac:dyDescent="0.3">
      <c r="A2419" t="str">
        <f>"20200111150853332"</f>
        <v>20200111150853332</v>
      </c>
      <c r="B2419" t="str">
        <f>"1578726533326212"</f>
        <v>1578726533326212</v>
      </c>
      <c r="C2419" t="s">
        <v>40</v>
      </c>
      <c r="D2419">
        <v>5.2346430000000002</v>
      </c>
      <c r="E2419">
        <v>0.41969030000000002</v>
      </c>
      <c r="F2419" t="s">
        <v>43</v>
      </c>
      <c r="G2419">
        <v>-394.59350000000001</v>
      </c>
      <c r="H2419" s="1">
        <v>-3.083195E-6</v>
      </c>
      <c r="I2419">
        <v>16.532399999999999</v>
      </c>
      <c r="J2419">
        <v>-406.60210000000001</v>
      </c>
      <c r="K2419">
        <v>1.121877</v>
      </c>
      <c r="L2419">
        <v>21.758700000000001</v>
      </c>
      <c r="M2419">
        <v>0.77427389999999996</v>
      </c>
      <c r="N2419">
        <v>0</v>
      </c>
      <c r="O2419">
        <v>-0.63269160000000002</v>
      </c>
      <c r="P2419">
        <v>0.80773969999999995</v>
      </c>
      <c r="Q2419">
        <v>0.14465549999999999</v>
      </c>
      <c r="R2419">
        <v>-0.57151680000000005</v>
      </c>
      <c r="S2419">
        <v>2.873383</v>
      </c>
      <c r="T2419">
        <v>-0.26523289999999999</v>
      </c>
      <c r="U2419">
        <v>-1.2623899999999999</v>
      </c>
      <c r="V2419">
        <v>-7.3157920000000001E-2</v>
      </c>
      <c r="W2419">
        <v>0.15657570000000001</v>
      </c>
      <c r="X2419">
        <v>0.98495279999999996</v>
      </c>
      <c r="Y2419">
        <v>-0.26511839999999998</v>
      </c>
      <c r="Z2419">
        <v>6.2163650000000001E-2</v>
      </c>
      <c r="AA2419">
        <v>0.96220989999999995</v>
      </c>
      <c r="AB2419">
        <v>36</v>
      </c>
      <c r="AC2419">
        <v>12.008599999999999</v>
      </c>
      <c r="AD2419">
        <v>-1.121880083195</v>
      </c>
      <c r="AE2419">
        <v>-5.2263000000000002</v>
      </c>
      <c r="AF2419">
        <v>-3.5256390235844099</v>
      </c>
      <c r="AG2419">
        <v>-1.121880083195</v>
      </c>
      <c r="AH2419">
        <v>12.514022683639601</v>
      </c>
      <c r="AI2419">
        <v>94.9318693132292</v>
      </c>
      <c r="AJ2419">
        <v>105.734389619013</v>
      </c>
      <c r="AK2419">
        <v>13.0495022576471</v>
      </c>
      <c r="AL2419">
        <v>80.991807094172799</v>
      </c>
      <c r="AM2419">
        <v>94.247875878255996</v>
      </c>
      <c r="AN2419">
        <v>1.0000000246585199</v>
      </c>
    </row>
    <row r="2420" spans="1:40" x14ac:dyDescent="0.3">
      <c r="A2420" t="str">
        <f>"20200111150853342"</f>
        <v>20200111150853342</v>
      </c>
      <c r="B2420" t="str">
        <f>"1578726533335971"</f>
        <v>1578726533335971</v>
      </c>
      <c r="C2420" t="s">
        <v>40</v>
      </c>
      <c r="D2420">
        <v>5.2940199999999997</v>
      </c>
      <c r="E2420">
        <v>0.42000680000000001</v>
      </c>
      <c r="F2420" t="s">
        <v>43</v>
      </c>
      <c r="G2420">
        <v>-394.46039999999999</v>
      </c>
      <c r="H2420" s="1">
        <v>-3.150931E-6</v>
      </c>
      <c r="I2420">
        <v>16.505379999999999</v>
      </c>
      <c r="J2420">
        <v>-406.46969999999999</v>
      </c>
      <c r="K2420">
        <v>1.1219079999999999</v>
      </c>
      <c r="L2420">
        <v>21.656040000000001</v>
      </c>
      <c r="M2420">
        <v>0.77812619999999999</v>
      </c>
      <c r="N2420">
        <v>0</v>
      </c>
      <c r="O2420">
        <v>-0.62794740000000004</v>
      </c>
      <c r="P2420">
        <v>0.81104529999999997</v>
      </c>
      <c r="Q2420">
        <v>0.14486749999999901</v>
      </c>
      <c r="R2420">
        <v>-0.56676190000000004</v>
      </c>
      <c r="S2420">
        <v>2.8800349999999999</v>
      </c>
      <c r="T2420">
        <v>-0.2661115</v>
      </c>
      <c r="U2420">
        <v>-1.246094</v>
      </c>
      <c r="V2420">
        <v>-7.2919100000000001E-2</v>
      </c>
      <c r="W2420">
        <v>0.15679749999999901</v>
      </c>
      <c r="X2420">
        <v>0.98493520000000001</v>
      </c>
      <c r="Y2420">
        <v>-0.26461990000000002</v>
      </c>
      <c r="Z2420">
        <v>6.2002719999999997E-2</v>
      </c>
      <c r="AA2420">
        <v>0.96235749999999998</v>
      </c>
      <c r="AB2420">
        <v>36</v>
      </c>
      <c r="AC2420">
        <v>12.0092999999999</v>
      </c>
      <c r="AD2420">
        <v>-1.12191115093099</v>
      </c>
      <c r="AE2420">
        <v>-5.1506600000000002</v>
      </c>
      <c r="AF2420">
        <v>-3.5078438731266099</v>
      </c>
      <c r="AG2420">
        <v>-1.12191115093099</v>
      </c>
      <c r="AH2420">
        <v>12.4883069601978</v>
      </c>
      <c r="AI2420">
        <v>94.943193978863206</v>
      </c>
      <c r="AJ2420">
        <v>105.68953570702099</v>
      </c>
      <c r="AK2420">
        <v>13.020040860187001</v>
      </c>
      <c r="AL2420">
        <v>80.9789397332802</v>
      </c>
      <c r="AM2420">
        <v>94.234134817070398</v>
      </c>
      <c r="AN2420">
        <v>0.99999999967504904</v>
      </c>
    </row>
    <row r="2421" spans="1:40" x14ac:dyDescent="0.3">
      <c r="A2421" t="str">
        <f>"20200111150853353"</f>
        <v>20200111150853353</v>
      </c>
      <c r="B2421" t="str">
        <f>"1578726533345731"</f>
        <v>1578726533345731</v>
      </c>
      <c r="C2421" t="s">
        <v>40</v>
      </c>
      <c r="D2421">
        <v>5.2245460000000001</v>
      </c>
      <c r="E2421">
        <v>0.420375</v>
      </c>
      <c r="F2421" t="s">
        <v>43</v>
      </c>
      <c r="G2421">
        <v>-394.35039999999998</v>
      </c>
      <c r="H2421" s="1">
        <v>-3.2067120000000001E-6</v>
      </c>
      <c r="I2421">
        <v>16.483829999999902</v>
      </c>
      <c r="J2421">
        <v>-406.33</v>
      </c>
      <c r="K2421">
        <v>1.121945</v>
      </c>
      <c r="L2421">
        <v>21.549410000000002</v>
      </c>
      <c r="M2421">
        <v>0.78214589999999995</v>
      </c>
      <c r="N2421">
        <v>0</v>
      </c>
      <c r="O2421">
        <v>-0.62293339999999997</v>
      </c>
      <c r="P2421">
        <v>0.81446430000000003</v>
      </c>
      <c r="Q2421">
        <v>0.1450901</v>
      </c>
      <c r="R2421">
        <v>-0.56177999999999995</v>
      </c>
      <c r="S2421">
        <v>2.8859560000000002</v>
      </c>
      <c r="T2421">
        <v>-0.26716109999999998</v>
      </c>
      <c r="U2421">
        <v>-1.2316590000000001</v>
      </c>
      <c r="V2421">
        <v>-7.2620000000000004E-2</v>
      </c>
      <c r="W2421">
        <v>0.15703149999999999</v>
      </c>
      <c r="X2421">
        <v>0.98492000000000002</v>
      </c>
      <c r="Y2421">
        <v>-0.26320549999999998</v>
      </c>
      <c r="Z2421">
        <v>6.1822330000000002E-2</v>
      </c>
      <c r="AA2421">
        <v>0.96275690000000003</v>
      </c>
      <c r="AB2421">
        <v>36</v>
      </c>
      <c r="AC2421">
        <v>11.9796</v>
      </c>
      <c r="AD2421">
        <v>-1.1219482067119999</v>
      </c>
      <c r="AE2421">
        <v>-5.0655799999999997</v>
      </c>
      <c r="AF2421">
        <v>-3.47496697826517</v>
      </c>
      <c r="AG2421">
        <v>-1.1219482067119999</v>
      </c>
      <c r="AH2421">
        <v>12.4340584032613</v>
      </c>
      <c r="AI2421">
        <v>94.966637138129698</v>
      </c>
      <c r="AJ2421">
        <v>105.614171866981</v>
      </c>
      <c r="AK2421">
        <v>12.9591655462183</v>
      </c>
      <c r="AL2421">
        <v>80.965364185073796</v>
      </c>
      <c r="AM2421">
        <v>94.216894835956097</v>
      </c>
      <c r="AN2421">
        <v>0.999999981396124</v>
      </c>
    </row>
    <row r="2422" spans="1:40" x14ac:dyDescent="0.3">
      <c r="A2422" t="str">
        <f>"20200111150853365"</f>
        <v>20200111150853365</v>
      </c>
      <c r="B2422" t="str">
        <f>"1578726533356467"</f>
        <v>1578726533356467</v>
      </c>
      <c r="C2422" t="s">
        <v>40</v>
      </c>
      <c r="D2422">
        <v>5.3567710000000002</v>
      </c>
      <c r="E2422">
        <v>0.4206628</v>
      </c>
      <c r="F2422" t="s">
        <v>43</v>
      </c>
      <c r="G2422">
        <v>-394.2516</v>
      </c>
      <c r="H2422" s="1">
        <v>-3.2561559999999999E-6</v>
      </c>
      <c r="I2422">
        <v>16.468409999999999</v>
      </c>
      <c r="J2422">
        <v>-406.1968</v>
      </c>
      <c r="K2422">
        <v>1.1219730000000001</v>
      </c>
      <c r="L2422">
        <v>21.44904</v>
      </c>
      <c r="M2422">
        <v>0.78593769999999996</v>
      </c>
      <c r="N2422">
        <v>0</v>
      </c>
      <c r="O2422">
        <v>-0.61814239999999998</v>
      </c>
      <c r="P2422">
        <v>0.8177451</v>
      </c>
      <c r="Q2422">
        <v>0.14534140000000001</v>
      </c>
      <c r="R2422">
        <v>-0.55692790000000003</v>
      </c>
      <c r="S2422">
        <v>2.89209</v>
      </c>
      <c r="T2422">
        <v>-0.26864339999999998</v>
      </c>
      <c r="U2422">
        <v>-1.2166140000000001</v>
      </c>
      <c r="V2422">
        <v>-7.2447899999999996E-2</v>
      </c>
      <c r="W2422">
        <v>0.15729099999999999</v>
      </c>
      <c r="X2422">
        <v>0.98489130000000003</v>
      </c>
      <c r="Y2422">
        <v>-0.26228420000000002</v>
      </c>
      <c r="Z2422">
        <v>6.1770230000000002E-2</v>
      </c>
      <c r="AA2422">
        <v>0.96301170000000003</v>
      </c>
      <c r="AB2422">
        <v>36</v>
      </c>
      <c r="AC2422">
        <v>11.9452</v>
      </c>
      <c r="AD2422">
        <v>-1.1219762561559901</v>
      </c>
      <c r="AE2422">
        <v>-4.9806299999999899</v>
      </c>
      <c r="AF2422">
        <v>-3.4438373111499501</v>
      </c>
      <c r="AG2422">
        <v>-1.1219762561559901</v>
      </c>
      <c r="AH2422">
        <v>12.375172823534401</v>
      </c>
      <c r="AI2422">
        <v>94.991798780805098</v>
      </c>
      <c r="AJ2422">
        <v>105.551140410467</v>
      </c>
      <c r="AK2422">
        <v>12.8943300933934</v>
      </c>
      <c r="AL2422">
        <v>80.950309141807097</v>
      </c>
      <c r="AM2422">
        <v>94.207059413900893</v>
      </c>
      <c r="AN2422">
        <v>1.0000000148555499</v>
      </c>
    </row>
    <row r="2423" spans="1:40" x14ac:dyDescent="0.3">
      <c r="A2423" t="str">
        <f>"20200111150853376"</f>
        <v>20200111150853376</v>
      </c>
      <c r="B2423" t="str">
        <f>"1578726533366228"</f>
        <v>1578726533366228</v>
      </c>
      <c r="C2423" t="s">
        <v>40</v>
      </c>
      <c r="D2423">
        <v>5.2481269999999904</v>
      </c>
      <c r="E2423">
        <v>0.4206628</v>
      </c>
      <c r="F2423" t="s">
        <v>43</v>
      </c>
      <c r="G2423">
        <v>-394.11059999999998</v>
      </c>
      <c r="H2423" s="1">
        <v>-3.3280460000000002E-6</v>
      </c>
      <c r="I2423">
        <v>16.438890000000001</v>
      </c>
      <c r="J2423">
        <v>-406.04649999999998</v>
      </c>
      <c r="K2423">
        <v>1.1220030000000001</v>
      </c>
      <c r="L2423">
        <v>21.337070000000001</v>
      </c>
      <c r="M2423">
        <v>0.79017059999999995</v>
      </c>
      <c r="N2423">
        <v>0</v>
      </c>
      <c r="O2423">
        <v>-0.61272219999999999</v>
      </c>
      <c r="P2423">
        <v>0.82133650000000002</v>
      </c>
      <c r="Q2423">
        <v>0.14555689999999999</v>
      </c>
      <c r="R2423">
        <v>-0.55156149999999904</v>
      </c>
      <c r="S2423">
        <v>2.8982239999999999</v>
      </c>
      <c r="T2423">
        <v>-0.26904650000000002</v>
      </c>
      <c r="U2423">
        <v>-1.201416</v>
      </c>
      <c r="V2423">
        <v>-7.2117420000000002E-2</v>
      </c>
      <c r="W2423">
        <v>0.1575194</v>
      </c>
      <c r="X2423">
        <v>0.98487899999999995</v>
      </c>
      <c r="Y2423">
        <v>-0.26069209999999998</v>
      </c>
      <c r="Z2423">
        <v>6.1394820000000003E-2</v>
      </c>
      <c r="AA2423">
        <v>0.96346779999999999</v>
      </c>
      <c r="AB2423">
        <v>36</v>
      </c>
      <c r="AC2423">
        <v>11.9359</v>
      </c>
      <c r="AD2423">
        <v>-1.122006328046</v>
      </c>
      <c r="AE2423">
        <v>-4.89818</v>
      </c>
      <c r="AF2423">
        <v>-3.4174947033326801</v>
      </c>
      <c r="AG2423">
        <v>-1.122006328046</v>
      </c>
      <c r="AH2423">
        <v>12.340546461911501</v>
      </c>
      <c r="AI2423">
        <v>95.007605840379597</v>
      </c>
      <c r="AJ2423">
        <v>105.479123744818</v>
      </c>
      <c r="AK2423">
        <v>12.854075432565301</v>
      </c>
      <c r="AL2423">
        <v>80.937057130005002</v>
      </c>
      <c r="AM2423">
        <v>94.187988947925504</v>
      </c>
      <c r="AN2423">
        <v>0.99999996414240699</v>
      </c>
    </row>
    <row r="2424" spans="1:40" x14ac:dyDescent="0.3">
      <c r="A2424" t="str">
        <f>"20200111150853388"</f>
        <v>20200111150853388</v>
      </c>
      <c r="B2424" t="str">
        <f>"1578726533385747"</f>
        <v>1578726533385747</v>
      </c>
      <c r="C2424" t="s">
        <v>40</v>
      </c>
      <c r="D2424">
        <v>5.3264809999999896</v>
      </c>
      <c r="E2424">
        <v>0.44097520000000001</v>
      </c>
      <c r="F2424" t="s">
        <v>43</v>
      </c>
      <c r="G2424">
        <v>-393.88959999999997</v>
      </c>
      <c r="H2424" s="1">
        <v>-3.4409270000000001E-6</v>
      </c>
      <c r="I2424">
        <v>16.391400000000001</v>
      </c>
      <c r="J2424">
        <v>-405.90190000000001</v>
      </c>
      <c r="K2424">
        <v>1.1220289999999999</v>
      </c>
      <c r="L2424">
        <v>21.231349999999999</v>
      </c>
      <c r="M2424">
        <v>0.7941897</v>
      </c>
      <c r="N2424">
        <v>0</v>
      </c>
      <c r="O2424">
        <v>-0.60750349999999997</v>
      </c>
      <c r="P2424">
        <v>0.82467139999999906</v>
      </c>
      <c r="Q2424">
        <v>0.1458275</v>
      </c>
      <c r="R2424">
        <v>-0.54649040000000004</v>
      </c>
      <c r="S2424">
        <v>2.906158</v>
      </c>
      <c r="T2424">
        <v>-0.26822020000000002</v>
      </c>
      <c r="U2424">
        <v>-1.1822809999999999</v>
      </c>
      <c r="V2424">
        <v>-7.1685319999999997E-2</v>
      </c>
      <c r="W2424">
        <v>0.15780569999999999</v>
      </c>
      <c r="X2424">
        <v>0.98486479999999998</v>
      </c>
      <c r="Y2424">
        <v>-0.2607294</v>
      </c>
      <c r="Z2424">
        <v>6.0808139999999997E-2</v>
      </c>
      <c r="AA2424">
        <v>0.96349499999999999</v>
      </c>
      <c r="AB2424">
        <v>36</v>
      </c>
      <c r="AC2424">
        <v>12.0123</v>
      </c>
      <c r="AD2424">
        <v>-1.1220324409269999</v>
      </c>
      <c r="AE2424">
        <v>-4.8399499999999902</v>
      </c>
      <c r="AF2424">
        <v>-3.4282913897640799</v>
      </c>
      <c r="AG2424">
        <v>-1.1220324409269999</v>
      </c>
      <c r="AH2424">
        <v>12.3886012522788</v>
      </c>
      <c r="AI2424">
        <v>94.988653974253793</v>
      </c>
      <c r="AJ2424">
        <v>105.46833629837499</v>
      </c>
      <c r="AK2424">
        <v>12.9030841134818</v>
      </c>
      <c r="AL2424">
        <v>80.920446366427498</v>
      </c>
      <c r="AM2424">
        <v>94.163044415405395</v>
      </c>
      <c r="AN2424">
        <v>1.0000000491675101</v>
      </c>
    </row>
    <row r="2425" spans="1:40" x14ac:dyDescent="0.3">
      <c r="A2425" t="str">
        <f>"20200111150853400"</f>
        <v>20200111150853400</v>
      </c>
      <c r="B2425" t="str">
        <f>"1578726533396484"</f>
        <v>1578726533396484</v>
      </c>
      <c r="C2425" t="s">
        <v>40</v>
      </c>
      <c r="D2425">
        <v>5.3642580000000004</v>
      </c>
      <c r="E2425">
        <v>0.44067869999999998</v>
      </c>
      <c r="F2425" t="s">
        <v>43</v>
      </c>
      <c r="G2425">
        <v>-397.24149999999997</v>
      </c>
      <c r="H2425" s="1">
        <v>-1.7054819999999999E-6</v>
      </c>
      <c r="I2425">
        <v>17.242699999999999</v>
      </c>
      <c r="J2425">
        <v>-405.75670000000002</v>
      </c>
      <c r="K2425">
        <v>1.1220509999999999</v>
      </c>
      <c r="L2425">
        <v>21.12585</v>
      </c>
      <c r="M2425">
        <v>0.79818639999999996</v>
      </c>
      <c r="N2425">
        <v>0</v>
      </c>
      <c r="O2425">
        <v>-0.60224239999999996</v>
      </c>
      <c r="P2425">
        <v>0.82805529999999905</v>
      </c>
      <c r="Q2425">
        <v>0.1457263</v>
      </c>
      <c r="R2425">
        <v>-0.54137619999999997</v>
      </c>
      <c r="S2425">
        <v>2.8369450000000001</v>
      </c>
      <c r="T2425">
        <v>-0.36754809999999999</v>
      </c>
      <c r="U2425">
        <v>-1.3065800000000001</v>
      </c>
      <c r="V2425">
        <v>-7.1289959999999999E-2</v>
      </c>
      <c r="W2425">
        <v>0.15771949999999901</v>
      </c>
      <c r="X2425">
        <v>0.98490730000000004</v>
      </c>
      <c r="Y2425">
        <v>-0.20834250000000001</v>
      </c>
      <c r="Z2425">
        <v>8.0414269999999996E-2</v>
      </c>
      <c r="AA2425">
        <v>0.97474459999999996</v>
      </c>
      <c r="AB2425">
        <v>36</v>
      </c>
      <c r="AC2425">
        <v>8.5152000000000498</v>
      </c>
      <c r="AD2425">
        <v>-1.122052705482</v>
      </c>
      <c r="AE2425">
        <v>-3.8831500000000001</v>
      </c>
      <c r="AF2425">
        <v>-2.0001912688911099</v>
      </c>
      <c r="AG2425">
        <v>-1.122052705482</v>
      </c>
      <c r="AH2425">
        <v>9.0067743780942102</v>
      </c>
      <c r="AI2425">
        <v>96.934027069501795</v>
      </c>
      <c r="AJ2425">
        <v>102.520841030683</v>
      </c>
      <c r="AK2425">
        <v>9.2941783974659096</v>
      </c>
      <c r="AL2425">
        <v>80.925447851963895</v>
      </c>
      <c r="AM2425">
        <v>94.139986355273294</v>
      </c>
      <c r="AN2425">
        <v>1.00000004433516</v>
      </c>
    </row>
    <row r="2426" spans="1:40" x14ac:dyDescent="0.3">
      <c r="A2426" t="str">
        <f>"20200111150853411"</f>
        <v>20200111150853411</v>
      </c>
      <c r="B2426" t="str">
        <f>"1578726533406244"</f>
        <v>1578726533406244</v>
      </c>
      <c r="C2426" t="s">
        <v>40</v>
      </c>
      <c r="D2426">
        <v>5.3181719999999997</v>
      </c>
      <c r="E2426">
        <v>0.44136209999999998</v>
      </c>
      <c r="F2426" t="s">
        <v>43</v>
      </c>
      <c r="G2426">
        <v>-397.12299999999999</v>
      </c>
      <c r="H2426" s="1">
        <v>-1.7650320000000001E-6</v>
      </c>
      <c r="I2426">
        <v>17.222719999999999</v>
      </c>
      <c r="J2426">
        <v>-405.608</v>
      </c>
      <c r="K2426">
        <v>1.122072</v>
      </c>
      <c r="L2426">
        <v>21.02036</v>
      </c>
      <c r="M2426">
        <v>0.80221779999999998</v>
      </c>
      <c r="N2426">
        <v>0</v>
      </c>
      <c r="O2426">
        <v>-0.5968618</v>
      </c>
      <c r="P2426">
        <v>0.83151469999999905</v>
      </c>
      <c r="Q2426">
        <v>0.14598749999999999</v>
      </c>
      <c r="R2426">
        <v>-0.53597689999999998</v>
      </c>
      <c r="S2426">
        <v>2.8466800000000001</v>
      </c>
      <c r="T2426">
        <v>-0.36995939999999999</v>
      </c>
      <c r="U2426">
        <v>-1.286926</v>
      </c>
      <c r="V2426">
        <v>-7.1064240000000001E-2</v>
      </c>
      <c r="W2426">
        <v>0.15798980000000001</v>
      </c>
      <c r="X2426">
        <v>0.98488030000000004</v>
      </c>
      <c r="Y2426">
        <v>-0.2085804</v>
      </c>
      <c r="Z2426">
        <v>8.0348359999999994E-2</v>
      </c>
      <c r="AA2426">
        <v>0.97469910000000004</v>
      </c>
      <c r="AB2426">
        <v>36</v>
      </c>
      <c r="AC2426">
        <v>8.4849999999999497</v>
      </c>
      <c r="AD2426">
        <v>-1.1220737650319901</v>
      </c>
      <c r="AE2426">
        <v>-3.7976399999999901</v>
      </c>
      <c r="AF2426">
        <v>-1.98906291257516</v>
      </c>
      <c r="AG2426">
        <v>-1.1220737650319901</v>
      </c>
      <c r="AH2426">
        <v>8.9440933130304501</v>
      </c>
      <c r="AI2426">
        <v>96.981816181517203</v>
      </c>
      <c r="AJ2426">
        <v>102.53788251446301</v>
      </c>
      <c r="AK2426">
        <v>9.2310468526896301</v>
      </c>
      <c r="AL2426">
        <v>80.909764257606199</v>
      </c>
      <c r="AM2426">
        <v>94.127036338649802</v>
      </c>
      <c r="AN2426">
        <v>1.00000005421945</v>
      </c>
    </row>
    <row r="2427" spans="1:40" x14ac:dyDescent="0.3">
      <c r="A2427" t="str">
        <f>"20200111150853422"</f>
        <v>20200111150853422</v>
      </c>
      <c r="B2427" t="str">
        <f>"1578726533416003"</f>
        <v>1578726533416003</v>
      </c>
      <c r="C2427" t="s">
        <v>40</v>
      </c>
      <c r="D2427">
        <v>5.3187430000000004</v>
      </c>
      <c r="E2427">
        <v>0.44152279999999999</v>
      </c>
      <c r="F2427" t="s">
        <v>43</v>
      </c>
      <c r="G2427">
        <v>-397.09719999999999</v>
      </c>
      <c r="H2427" s="1">
        <v>-1.7774309999999999E-6</v>
      </c>
      <c r="I2427">
        <v>17.22146</v>
      </c>
      <c r="J2427">
        <v>-405.46559999999999</v>
      </c>
      <c r="K2427">
        <v>1.12209</v>
      </c>
      <c r="L2427">
        <v>20.91995</v>
      </c>
      <c r="M2427">
        <v>0.80604039999999999</v>
      </c>
      <c r="N2427">
        <v>0</v>
      </c>
      <c r="O2427">
        <v>-0.59168889999999996</v>
      </c>
      <c r="P2427">
        <v>0.83486090000000002</v>
      </c>
      <c r="Q2427">
        <v>0.14637610000000001</v>
      </c>
      <c r="R2427">
        <v>-0.53064250000000002</v>
      </c>
      <c r="S2427">
        <v>2.8530579999999999</v>
      </c>
      <c r="T2427">
        <v>-0.37615110000000002</v>
      </c>
      <c r="U2427">
        <v>-1.2734989999999999</v>
      </c>
      <c r="V2427">
        <v>-7.1013229999999997E-2</v>
      </c>
      <c r="W2427">
        <v>0.158382</v>
      </c>
      <c r="X2427">
        <v>0.98482099999999995</v>
      </c>
      <c r="Y2427">
        <v>-0.2068084</v>
      </c>
      <c r="Z2427">
        <v>8.1014100000000006E-2</v>
      </c>
      <c r="AA2427">
        <v>0.97502149999999999</v>
      </c>
      <c r="AB2427">
        <v>36</v>
      </c>
      <c r="AC2427">
        <v>8.3683999999999994</v>
      </c>
      <c r="AD2427">
        <v>-1.122091777431</v>
      </c>
      <c r="AE2427">
        <v>-3.6984900000000001</v>
      </c>
      <c r="AF2427">
        <v>-1.9413566757940299</v>
      </c>
      <c r="AG2427">
        <v>-1.122091777431</v>
      </c>
      <c r="AH2427">
        <v>8.8021359785295008</v>
      </c>
      <c r="AI2427">
        <v>97.096108687963493</v>
      </c>
      <c r="AJ2427">
        <v>102.437755900298</v>
      </c>
      <c r="AK2427">
        <v>9.0832567663890202</v>
      </c>
      <c r="AL2427">
        <v>80.887006456181993</v>
      </c>
      <c r="AM2427">
        <v>94.124331642540696</v>
      </c>
      <c r="AN2427">
        <v>1.00000006940001</v>
      </c>
    </row>
    <row r="2428" spans="1:40" x14ac:dyDescent="0.3">
      <c r="A2428" t="str">
        <f>"20200111150853433"</f>
        <v>20200111150853433</v>
      </c>
      <c r="B2428" t="str">
        <f>"1578726533425764"</f>
        <v>1578726533425764</v>
      </c>
      <c r="C2428" t="s">
        <v>40</v>
      </c>
      <c r="D2428">
        <v>5.2256199999999904</v>
      </c>
      <c r="E2428">
        <v>0.44193110000000002</v>
      </c>
      <c r="F2428" t="s">
        <v>43</v>
      </c>
      <c r="G2428">
        <v>-396.9674</v>
      </c>
      <c r="H2428" s="1">
        <v>-1.8448910000000001E-6</v>
      </c>
      <c r="I2428">
        <v>17.187049999999999</v>
      </c>
      <c r="J2428">
        <v>-405.31110000000001</v>
      </c>
      <c r="K2428">
        <v>1.1221080000000001</v>
      </c>
      <c r="L2428">
        <v>20.813020000000002</v>
      </c>
      <c r="M2428">
        <v>0.81012839999999997</v>
      </c>
      <c r="N2428">
        <v>0</v>
      </c>
      <c r="O2428">
        <v>-0.58607929999999997</v>
      </c>
      <c r="P2428">
        <v>0.8387848</v>
      </c>
      <c r="Q2428">
        <v>0.14709729999999999</v>
      </c>
      <c r="R2428">
        <v>-0.52421589999999996</v>
      </c>
      <c r="S2428">
        <v>2.8609010000000001</v>
      </c>
      <c r="T2428">
        <v>-0.3777527</v>
      </c>
      <c r="U2428">
        <v>-1.256683</v>
      </c>
      <c r="V2428">
        <v>-7.1695339999999996E-2</v>
      </c>
      <c r="W2428">
        <v>0.15908349999999999</v>
      </c>
      <c r="X2428">
        <v>0.98465840000000004</v>
      </c>
      <c r="Y2428">
        <v>-0.2058084</v>
      </c>
      <c r="Z2428">
        <v>8.0674280000000001E-2</v>
      </c>
      <c r="AA2428">
        <v>0.9752613</v>
      </c>
      <c r="AB2428">
        <v>36</v>
      </c>
      <c r="AC2428">
        <v>8.3437000000000108</v>
      </c>
      <c r="AD2428">
        <v>-1.1221098448910001</v>
      </c>
      <c r="AE2428">
        <v>-3.6259700000000001</v>
      </c>
      <c r="AF2428">
        <v>-1.9235039388195101</v>
      </c>
      <c r="AG2428">
        <v>-1.1221098448910001</v>
      </c>
      <c r="AH2428">
        <v>8.7523244048968198</v>
      </c>
      <c r="AI2428">
        <v>97.137356460168803</v>
      </c>
      <c r="AJ2428">
        <v>102.39488326078001</v>
      </c>
      <c r="AK2428">
        <v>9.0311782395880105</v>
      </c>
      <c r="AL2428">
        <v>80.846296453827506</v>
      </c>
      <c r="AM2428">
        <v>94.164493960680204</v>
      </c>
      <c r="AN2428">
        <v>0.99999997322026202</v>
      </c>
    </row>
    <row r="2429" spans="1:40" x14ac:dyDescent="0.3">
      <c r="A2429" t="str">
        <f>"20200111150853445"</f>
        <v>20200111150853445</v>
      </c>
      <c r="B2429" t="str">
        <f>"1578726533436499"</f>
        <v>1578726533436499</v>
      </c>
      <c r="C2429" t="s">
        <v>40</v>
      </c>
      <c r="D2429">
        <v>7.1391369999999998</v>
      </c>
      <c r="E2429">
        <v>0.44193110000000002</v>
      </c>
      <c r="F2429" t="s">
        <v>43</v>
      </c>
      <c r="G2429">
        <v>-396.62389999999999</v>
      </c>
      <c r="H2429" s="1">
        <v>-2.0293190000000001E-6</v>
      </c>
      <c r="I2429">
        <v>17.062760000000001</v>
      </c>
      <c r="J2429">
        <v>-405.17320000000001</v>
      </c>
      <c r="K2429">
        <v>1.12212</v>
      </c>
      <c r="L2429">
        <v>20.718779999999999</v>
      </c>
      <c r="M2429">
        <v>0.8137337</v>
      </c>
      <c r="N2429">
        <v>0</v>
      </c>
      <c r="O2429">
        <v>-0.58106309999999906</v>
      </c>
      <c r="P2429">
        <v>0.84232870000000004</v>
      </c>
      <c r="Q2429">
        <v>0.147562</v>
      </c>
      <c r="R2429">
        <v>-0.51837060000000001</v>
      </c>
      <c r="S2429">
        <v>2.8677980000000001</v>
      </c>
      <c r="T2429">
        <v>-0.37043120000000002</v>
      </c>
      <c r="U2429">
        <v>-1.2380370000000001</v>
      </c>
      <c r="V2429">
        <v>-7.2432849999999993E-2</v>
      </c>
      <c r="W2429">
        <v>0.1595269</v>
      </c>
      <c r="X2429">
        <v>0.98453270000000004</v>
      </c>
      <c r="Y2429">
        <v>-0.2061788</v>
      </c>
      <c r="Z2429">
        <v>7.8624739999999999E-2</v>
      </c>
      <c r="AA2429">
        <v>0.97535039999999995</v>
      </c>
      <c r="AB2429">
        <v>36</v>
      </c>
      <c r="AC2429">
        <v>8.5493000000000094</v>
      </c>
      <c r="AD2429">
        <v>-1.122122029319</v>
      </c>
      <c r="AE2429">
        <v>-3.6560199999999901</v>
      </c>
      <c r="AF2429">
        <v>-1.96425119612327</v>
      </c>
      <c r="AG2429">
        <v>-1.122122029319</v>
      </c>
      <c r="AH2429">
        <v>8.9517808341595906</v>
      </c>
      <c r="AI2429">
        <v>96.980488326493997</v>
      </c>
      <c r="AJ2429">
        <v>102.376031425336</v>
      </c>
      <c r="AK2429">
        <v>9.2331912529190898</v>
      </c>
      <c r="AL2429">
        <v>80.820563058052002</v>
      </c>
      <c r="AM2429">
        <v>94.207715129524502</v>
      </c>
      <c r="AN2429">
        <v>0.99999999347601098</v>
      </c>
    </row>
    <row r="2430" spans="1:40" x14ac:dyDescent="0.3">
      <c r="A2430" t="str">
        <f>"20200111150853456"</f>
        <v>20200111150853456</v>
      </c>
      <c r="B2430" t="str">
        <f>"1578726533446260"</f>
        <v>1578726533446260</v>
      </c>
      <c r="C2430" t="s">
        <v>40</v>
      </c>
      <c r="D2430">
        <v>5.2066369999999997</v>
      </c>
      <c r="E2430">
        <v>0.35989900000000002</v>
      </c>
      <c r="F2430" t="s">
        <v>43</v>
      </c>
      <c r="G2430">
        <v>-396.42669999999998</v>
      </c>
      <c r="H2430" s="1">
        <v>-2.1311050000000002E-6</v>
      </c>
      <c r="I2430">
        <v>17.014469999999999</v>
      </c>
      <c r="J2430">
        <v>-405.02980000000002</v>
      </c>
      <c r="K2430">
        <v>1.1221319999999999</v>
      </c>
      <c r="L2430">
        <v>20.62201</v>
      </c>
      <c r="M2430">
        <v>0.81743529999999998</v>
      </c>
      <c r="N2430">
        <v>0</v>
      </c>
      <c r="O2430">
        <v>-0.57584399999999902</v>
      </c>
      <c r="P2430">
        <v>0.84592069999999997</v>
      </c>
      <c r="Q2430">
        <v>0.14750199999999999</v>
      </c>
      <c r="R2430">
        <v>-0.51250459999999998</v>
      </c>
      <c r="S2430">
        <v>2.8764949999999998</v>
      </c>
      <c r="T2430">
        <v>-0.36903970000000003</v>
      </c>
      <c r="U2430">
        <v>-1.218262</v>
      </c>
      <c r="V2430">
        <v>-7.2984389999999996E-2</v>
      </c>
      <c r="W2430">
        <v>0.1594525</v>
      </c>
      <c r="X2430">
        <v>0.98450400000000005</v>
      </c>
      <c r="Y2430">
        <v>-0.206731</v>
      </c>
      <c r="Z2430">
        <v>7.7787010000000004E-2</v>
      </c>
      <c r="AA2430">
        <v>0.97530070000000002</v>
      </c>
      <c r="AB2430">
        <v>36</v>
      </c>
      <c r="AC2430">
        <v>8.6031000000000404</v>
      </c>
      <c r="AD2430">
        <v>-1.1221341311049999</v>
      </c>
      <c r="AE2430">
        <v>-3.60753999999999</v>
      </c>
      <c r="AF2430">
        <v>-1.9767160564172901</v>
      </c>
      <c r="AG2430">
        <v>-1.1221341311049999</v>
      </c>
      <c r="AH2430">
        <v>8.9808417782502801</v>
      </c>
      <c r="AI2430">
        <v>96.957217278375595</v>
      </c>
      <c r="AJ2430">
        <v>102.41308295360599</v>
      </c>
      <c r="AK2430">
        <v>9.2640223673010595</v>
      </c>
      <c r="AL2430">
        <v>80.824880952181203</v>
      </c>
      <c r="AM2430">
        <v>94.239761536763297</v>
      </c>
      <c r="AN2430">
        <v>0.99999997347795999</v>
      </c>
    </row>
    <row r="2431" spans="1:40" x14ac:dyDescent="0.3">
      <c r="A2431" t="str">
        <f>"20200111150853466"</f>
        <v>20200111150853466</v>
      </c>
      <c r="B2431" t="str">
        <f>"1578726533456020"</f>
        <v>1578726533456020</v>
      </c>
      <c r="C2431" t="s">
        <v>40</v>
      </c>
      <c r="D2431">
        <v>5.1467510000000001</v>
      </c>
      <c r="E2431">
        <v>0.35989900000000002</v>
      </c>
      <c r="F2431" t="s">
        <v>49</v>
      </c>
      <c r="G2431">
        <v>0</v>
      </c>
      <c r="H2431">
        <v>0</v>
      </c>
      <c r="I2431">
        <v>0</v>
      </c>
      <c r="J2431">
        <v>-404.88729999999998</v>
      </c>
      <c r="K2431">
        <v>1.1221369999999999</v>
      </c>
      <c r="L2431">
        <v>20.527470000000001</v>
      </c>
      <c r="M2431">
        <v>0.82106480000000004</v>
      </c>
      <c r="N2431">
        <v>0</v>
      </c>
      <c r="O2431">
        <v>-0.57065679999999996</v>
      </c>
      <c r="P2431">
        <v>0.84943570000000002</v>
      </c>
      <c r="Q2431">
        <v>0.14688850000000001</v>
      </c>
      <c r="R2431">
        <v>-0.50683650000000002</v>
      </c>
      <c r="S2431">
        <v>3.0953979999999999</v>
      </c>
      <c r="T2431">
        <v>0.60445300000000002</v>
      </c>
      <c r="U2431">
        <v>-0.57046509999999995</v>
      </c>
      <c r="V2431">
        <v>-7.3381970000000005E-2</v>
      </c>
      <c r="W2431">
        <v>0.1588292</v>
      </c>
      <c r="X2431">
        <v>0.98457519999999998</v>
      </c>
      <c r="Y2431">
        <v>-0.39623720000000001</v>
      </c>
      <c r="Z2431">
        <v>-0.14074049999999999</v>
      </c>
      <c r="AA2431">
        <v>0.90729720000000003</v>
      </c>
      <c r="AB2431">
        <v>36</v>
      </c>
      <c r="AC2431">
        <v>3.0953979999999999</v>
      </c>
      <c r="AD2431">
        <v>0.60445300000000002</v>
      </c>
      <c r="AE2431">
        <v>-0.57046509999999995</v>
      </c>
      <c r="AF2431">
        <v>-1.2519805706862499</v>
      </c>
      <c r="AG2431">
        <v>0.60445300000000002</v>
      </c>
      <c r="AH2431">
        <v>2.7653680421806599</v>
      </c>
      <c r="AI2431">
        <v>78.738387920300696</v>
      </c>
      <c r="AJ2431">
        <v>114.357955711613</v>
      </c>
      <c r="AK2431">
        <v>3.0951703002094999</v>
      </c>
      <c r="AL2431">
        <v>80.861054438453195</v>
      </c>
      <c r="AM2431">
        <v>94.262465461698895</v>
      </c>
      <c r="AN2431">
        <v>0.99999997637437998</v>
      </c>
    </row>
    <row r="2432" spans="1:40" x14ac:dyDescent="0.3">
      <c r="A2432" t="str">
        <f>"20200111150853477"</f>
        <v>20200111150853477</v>
      </c>
      <c r="B2432" t="str">
        <f>"1578726533476515"</f>
        <v>1578726533476515</v>
      </c>
      <c r="C2432" t="s">
        <v>40</v>
      </c>
      <c r="D2432">
        <v>5.2538320000000001</v>
      </c>
      <c r="E2432">
        <v>0.3991595</v>
      </c>
      <c r="F2432" t="s">
        <v>49</v>
      </c>
      <c r="G2432">
        <v>0</v>
      </c>
      <c r="H2432">
        <v>0</v>
      </c>
      <c r="I2432">
        <v>0</v>
      </c>
      <c r="J2432">
        <v>-404.74040000000002</v>
      </c>
      <c r="K2432">
        <v>1.1221399999999999</v>
      </c>
      <c r="L2432">
        <v>20.430759999999999</v>
      </c>
      <c r="M2432">
        <v>0.82476260000000001</v>
      </c>
      <c r="N2432">
        <v>0</v>
      </c>
      <c r="O2432">
        <v>-0.56529929999999995</v>
      </c>
      <c r="P2432">
        <v>0.85306380000000004</v>
      </c>
      <c r="Q2432">
        <v>0.14622270000000001</v>
      </c>
      <c r="R2432">
        <v>-0.50090069999999998</v>
      </c>
      <c r="S2432">
        <v>3.0993040000000001</v>
      </c>
      <c r="T2432">
        <v>0.60350809999999999</v>
      </c>
      <c r="U2432">
        <v>-0.54986569999999901</v>
      </c>
      <c r="V2432">
        <v>-7.3887300000000003E-2</v>
      </c>
      <c r="W2432">
        <v>0.15815079999999901</v>
      </c>
      <c r="X2432">
        <v>0.98464660000000004</v>
      </c>
      <c r="Y2432">
        <v>-0.39646579999999998</v>
      </c>
      <c r="Z2432">
        <v>-0.13967370000000001</v>
      </c>
      <c r="AA2432">
        <v>0.90736220000000001</v>
      </c>
      <c r="AB2432">
        <v>36</v>
      </c>
      <c r="AC2432">
        <v>3.0993040000000001</v>
      </c>
      <c r="AD2432">
        <v>0.60350809999999999</v>
      </c>
      <c r="AE2432">
        <v>-0.54986569999999901</v>
      </c>
      <c r="AF2432">
        <v>-1.25261144718123</v>
      </c>
      <c r="AG2432">
        <v>0.60350809999999999</v>
      </c>
      <c r="AH2432">
        <v>2.7656541159569099</v>
      </c>
      <c r="AI2432">
        <v>78.757423373414696</v>
      </c>
      <c r="AJ2432">
        <v>114.366574960447</v>
      </c>
      <c r="AK2432">
        <v>3.09549675391276</v>
      </c>
      <c r="AL2432">
        <v>80.900421394439704</v>
      </c>
      <c r="AM2432">
        <v>94.291398723018503</v>
      </c>
      <c r="AN2432">
        <v>0.99999996776674405</v>
      </c>
    </row>
    <row r="2433" spans="1:40" x14ac:dyDescent="0.3">
      <c r="A2433" t="str">
        <f>"20200111150853490"</f>
        <v>20200111150853490</v>
      </c>
      <c r="B2433" t="str">
        <f>"1578726533486276"</f>
        <v>1578726533486276</v>
      </c>
      <c r="C2433" t="s">
        <v>40</v>
      </c>
      <c r="D2433">
        <v>5.1965130000000004</v>
      </c>
      <c r="E2433">
        <v>0.4018755</v>
      </c>
      <c r="F2433" t="s">
        <v>92</v>
      </c>
      <c r="G2433">
        <v>-382.34210000000002</v>
      </c>
      <c r="H2433" s="1">
        <v>-4.5833860000000001E-6</v>
      </c>
      <c r="I2433">
        <v>14.187279999999999</v>
      </c>
      <c r="J2433">
        <v>-404.59500000000003</v>
      </c>
      <c r="K2433">
        <v>1.1221410000000001</v>
      </c>
      <c r="L2433">
        <v>20.337219999999999</v>
      </c>
      <c r="M2433">
        <v>0.8283644</v>
      </c>
      <c r="N2433">
        <v>0</v>
      </c>
      <c r="O2433">
        <v>-0.5600079</v>
      </c>
      <c r="P2433">
        <v>0.85671739999999996</v>
      </c>
      <c r="Q2433">
        <v>0.1454358</v>
      </c>
      <c r="R2433">
        <v>-0.49485750000000001</v>
      </c>
      <c r="S2433">
        <v>3.044556</v>
      </c>
      <c r="T2433">
        <v>-0.1525311</v>
      </c>
      <c r="U2433">
        <v>-0.84866330000000001</v>
      </c>
      <c r="V2433">
        <v>-7.4599849999999995E-2</v>
      </c>
      <c r="W2433">
        <v>0.1573456</v>
      </c>
      <c r="X2433">
        <v>0.98472190000000004</v>
      </c>
      <c r="Y2433">
        <v>-0.3161274</v>
      </c>
      <c r="Z2433">
        <v>3.3491529999999999E-2</v>
      </c>
      <c r="AA2433">
        <v>0.94812540000000001</v>
      </c>
      <c r="AB2433">
        <v>36</v>
      </c>
      <c r="AC2433">
        <v>22.2529</v>
      </c>
      <c r="AD2433">
        <v>-1.1221455833859999</v>
      </c>
      <c r="AE2433">
        <v>-6.14994</v>
      </c>
      <c r="AF2433">
        <v>-7.3507926670887</v>
      </c>
      <c r="AG2433">
        <v>-1.1221455833859999</v>
      </c>
      <c r="AH2433">
        <v>21.828184591262701</v>
      </c>
      <c r="AI2433">
        <v>92.789229992201996</v>
      </c>
      <c r="AJ2433">
        <v>108.611309563243</v>
      </c>
      <c r="AK2433">
        <v>23.059987122612899</v>
      </c>
      <c r="AL2433">
        <v>80.947141191957698</v>
      </c>
      <c r="AM2433">
        <v>94.332296977999704</v>
      </c>
      <c r="AN2433">
        <v>0.99999999789949601</v>
      </c>
    </row>
    <row r="2434" spans="1:40" x14ac:dyDescent="0.3">
      <c r="A2434" t="str">
        <f>"20200111150853502"</f>
        <v>20200111150853502</v>
      </c>
      <c r="B2434" t="str">
        <f>"1578726533496035"</f>
        <v>1578726533496035</v>
      </c>
      <c r="C2434" t="s">
        <v>40</v>
      </c>
      <c r="D2434">
        <v>5.1973710000000004</v>
      </c>
      <c r="E2434">
        <v>0.40294289999999999</v>
      </c>
      <c r="F2434" t="s">
        <v>92</v>
      </c>
      <c r="G2434">
        <v>-385.22210000000001</v>
      </c>
      <c r="H2434" s="1">
        <v>-3.087721E-6</v>
      </c>
      <c r="I2434">
        <v>14.944269999999999</v>
      </c>
      <c r="J2434">
        <v>-404.4205</v>
      </c>
      <c r="K2434">
        <v>1.1221429999999999</v>
      </c>
      <c r="L2434">
        <v>20.225860000000001</v>
      </c>
      <c r="M2434">
        <v>0.83263180000000003</v>
      </c>
      <c r="N2434">
        <v>0</v>
      </c>
      <c r="O2434">
        <v>-0.553643</v>
      </c>
      <c r="P2434">
        <v>0.86092630000000003</v>
      </c>
      <c r="Q2434">
        <v>0.1447783</v>
      </c>
      <c r="R2434">
        <v>-0.4876936</v>
      </c>
      <c r="S2434">
        <v>3.0424799999999999</v>
      </c>
      <c r="T2434">
        <v>-0.17623079999999999</v>
      </c>
      <c r="U2434">
        <v>-0.84695429999999905</v>
      </c>
      <c r="V2434">
        <v>-7.5311890000000006E-2</v>
      </c>
      <c r="W2434">
        <v>0.15666939999999999</v>
      </c>
      <c r="X2434">
        <v>0.98477550000000003</v>
      </c>
      <c r="Y2434">
        <v>-0.30888379999999999</v>
      </c>
      <c r="Z2434">
        <v>3.8218729999999999E-2</v>
      </c>
      <c r="AA2434">
        <v>0.95033160000000005</v>
      </c>
      <c r="AB2434">
        <v>36</v>
      </c>
      <c r="AC2434">
        <v>19.1983999999999</v>
      </c>
      <c r="AD2434">
        <v>-1.1221460877210001</v>
      </c>
      <c r="AE2434">
        <v>-5.2815899999999996</v>
      </c>
      <c r="AF2434">
        <v>-6.2123442153339203</v>
      </c>
      <c r="AG2434">
        <v>-1.1221460877210001</v>
      </c>
      <c r="AH2434">
        <v>18.851367547859901</v>
      </c>
      <c r="AI2434">
        <v>93.2357867537917</v>
      </c>
      <c r="AJ2434">
        <v>108.239295919817</v>
      </c>
      <c r="AK2434">
        <v>19.8803040951714</v>
      </c>
      <c r="AL2434">
        <v>80.986371021512895</v>
      </c>
      <c r="AM2434">
        <v>94.373251048180606</v>
      </c>
      <c r="AN2434">
        <v>0.99999998353599096</v>
      </c>
    </row>
    <row r="2435" spans="1:40" x14ac:dyDescent="0.3">
      <c r="A2435" t="str">
        <f>"20200111150853520"</f>
        <v>20200111150853520</v>
      </c>
      <c r="B2435" t="str">
        <f>"1578726533516532"</f>
        <v>1578726533516532</v>
      </c>
      <c r="C2435" t="s">
        <v>40</v>
      </c>
      <c r="D2435">
        <v>5.1924210000000004</v>
      </c>
      <c r="E2435">
        <v>0.40276099999999998</v>
      </c>
      <c r="F2435" t="s">
        <v>92</v>
      </c>
      <c r="G2435">
        <v>-386.26600000000002</v>
      </c>
      <c r="H2435" s="1">
        <v>-2.5883350000000002E-6</v>
      </c>
      <c r="I2435">
        <v>15.27924</v>
      </c>
      <c r="J2435">
        <v>-404.19009999999997</v>
      </c>
      <c r="K2435">
        <v>1.1221410000000001</v>
      </c>
      <c r="L2435">
        <v>20.081849999999999</v>
      </c>
      <c r="M2435">
        <v>0.83815360000000005</v>
      </c>
      <c r="N2435">
        <v>0</v>
      </c>
      <c r="O2435">
        <v>-0.54524719999999904</v>
      </c>
      <c r="P2435">
        <v>0.86659209999999998</v>
      </c>
      <c r="Q2435">
        <v>0.1443295</v>
      </c>
      <c r="R2435">
        <v>-0.47768919999999998</v>
      </c>
      <c r="S2435">
        <v>3.0461119999999999</v>
      </c>
      <c r="T2435">
        <v>-0.18828320000000001</v>
      </c>
      <c r="U2435">
        <v>-0.82998660000000002</v>
      </c>
      <c r="V2435">
        <v>-7.6852459999999997E-2</v>
      </c>
      <c r="W2435">
        <v>0.15617629999999999</v>
      </c>
      <c r="X2435">
        <v>0.98473480000000002</v>
      </c>
      <c r="Y2435">
        <v>-0.30438470000000001</v>
      </c>
      <c r="Z2435">
        <v>4.0271359999999999E-2</v>
      </c>
      <c r="AA2435">
        <v>0.95169749999999997</v>
      </c>
      <c r="AB2435">
        <v>35</v>
      </c>
      <c r="AC2435">
        <v>17.924099999999999</v>
      </c>
      <c r="AD2435">
        <v>-1.1221435883349999</v>
      </c>
      <c r="AE2435">
        <v>-4.8026099999999996</v>
      </c>
      <c r="AF2435">
        <v>-5.7273825498059496</v>
      </c>
      <c r="AG2435">
        <v>-1.1221435883349999</v>
      </c>
      <c r="AH2435">
        <v>17.5792732373713</v>
      </c>
      <c r="AI2435">
        <v>93.473211031337797</v>
      </c>
      <c r="AJ2435">
        <v>108.045772538249</v>
      </c>
      <c r="AK2435">
        <v>18.522768817291301</v>
      </c>
      <c r="AL2435">
        <v>81.014975673859396</v>
      </c>
      <c r="AM2435">
        <v>94.462535660904805</v>
      </c>
      <c r="AN2435">
        <v>0.99999998181038996</v>
      </c>
    </row>
    <row r="2436" spans="1:40" x14ac:dyDescent="0.3">
      <c r="A2436" t="str">
        <f>"20200111150853532"</f>
        <v>20200111150853532</v>
      </c>
      <c r="B2436" t="str">
        <f>"1578726533526292"</f>
        <v>1578726533526292</v>
      </c>
      <c r="C2436" t="s">
        <v>40</v>
      </c>
      <c r="D2436">
        <v>5.1332800000000001</v>
      </c>
      <c r="E2436">
        <v>0.40375109999999997</v>
      </c>
      <c r="F2436" t="s">
        <v>92</v>
      </c>
      <c r="G2436">
        <v>-385.83690000000001</v>
      </c>
      <c r="H2436" s="1">
        <v>-2.744632E-6</v>
      </c>
      <c r="I2436">
        <v>15.311179999999901</v>
      </c>
      <c r="J2436">
        <v>-404.0222</v>
      </c>
      <c r="K2436">
        <v>1.1221380000000001</v>
      </c>
      <c r="L2436">
        <v>19.979520000000001</v>
      </c>
      <c r="M2436">
        <v>0.84209349999999905</v>
      </c>
      <c r="N2436">
        <v>0</v>
      </c>
      <c r="O2436">
        <v>-0.53914269999999997</v>
      </c>
      <c r="P2436">
        <v>0.87032489999999996</v>
      </c>
      <c r="Q2436">
        <v>0.14388709999999999</v>
      </c>
      <c r="R2436">
        <v>-0.47098970000000001</v>
      </c>
      <c r="S2436">
        <v>3.0552060000000001</v>
      </c>
      <c r="T2436">
        <v>-0.18679979999999999</v>
      </c>
      <c r="U2436">
        <v>-0.7941589</v>
      </c>
      <c r="V2436">
        <v>-7.7320120000000006E-2</v>
      </c>
      <c r="W2436">
        <v>0.15572130000000001</v>
      </c>
      <c r="X2436">
        <v>0.98477020000000004</v>
      </c>
      <c r="Y2436">
        <v>-0.308629299999999</v>
      </c>
      <c r="Z2436">
        <v>3.9749600000000003E-2</v>
      </c>
      <c r="AA2436">
        <v>0.95035150000000002</v>
      </c>
      <c r="AB2436">
        <v>35</v>
      </c>
      <c r="AC2436">
        <v>18.185299999999899</v>
      </c>
      <c r="AD2436">
        <v>-1.12214074463199</v>
      </c>
      <c r="AE2436">
        <v>-4.6683399999999997</v>
      </c>
      <c r="AF2436">
        <v>-5.8529831161184598</v>
      </c>
      <c r="AG2436">
        <v>-1.12214074463199</v>
      </c>
      <c r="AH2436">
        <v>17.768966030397699</v>
      </c>
      <c r="AI2436">
        <v>93.432574031345396</v>
      </c>
      <c r="AJ2436">
        <v>108.231550528086</v>
      </c>
      <c r="AK2436">
        <v>18.7417385799119</v>
      </c>
      <c r="AL2436">
        <v>81.041367744559594</v>
      </c>
      <c r="AM2436">
        <v>94.489419518198005</v>
      </c>
      <c r="AN2436">
        <v>0.99999993551927002</v>
      </c>
    </row>
    <row r="2437" spans="1:40" x14ac:dyDescent="0.3">
      <c r="A2437" t="str">
        <f>"20200111150853554"</f>
        <v>20200111150853554</v>
      </c>
      <c r="B2437" t="str">
        <f>"1578726533545811"</f>
        <v>1578726533545811</v>
      </c>
      <c r="C2437" t="s">
        <v>40</v>
      </c>
      <c r="D2437">
        <v>5.2042159999999997</v>
      </c>
      <c r="E2437">
        <v>0.40405990000000003</v>
      </c>
      <c r="F2437" t="s">
        <v>92</v>
      </c>
      <c r="G2437">
        <v>-386.68900000000002</v>
      </c>
      <c r="H2437" s="1">
        <v>-2.3485789999999999E-6</v>
      </c>
      <c r="I2437">
        <v>15.56981</v>
      </c>
      <c r="J2437">
        <v>-403.72710000000001</v>
      </c>
      <c r="K2437">
        <v>1.1221190000000001</v>
      </c>
      <c r="L2437">
        <v>19.802800000000001</v>
      </c>
      <c r="M2437">
        <v>0.84887509999999999</v>
      </c>
      <c r="N2437">
        <v>0</v>
      </c>
      <c r="O2437">
        <v>-0.52840069999999995</v>
      </c>
      <c r="P2437">
        <v>0.87651129999999999</v>
      </c>
      <c r="Q2437">
        <v>0.14309079999999999</v>
      </c>
      <c r="R2437">
        <v>-0.45962249999999999</v>
      </c>
      <c r="S2437">
        <v>3.058624</v>
      </c>
      <c r="T2437">
        <v>-0.19801289999999999</v>
      </c>
      <c r="U2437">
        <v>-0.77813719999999997</v>
      </c>
      <c r="V2437">
        <v>-7.7668150000000005E-2</v>
      </c>
      <c r="W2437">
        <v>0.15491769999999999</v>
      </c>
      <c r="X2437">
        <v>0.98486960000000001</v>
      </c>
      <c r="Y2437">
        <v>-0.30133009999999999</v>
      </c>
      <c r="Z2437">
        <v>4.132483E-2</v>
      </c>
      <c r="AA2437">
        <v>0.95262400000000003</v>
      </c>
      <c r="AB2437">
        <v>35</v>
      </c>
      <c r="AC2437">
        <v>17.038099999999901</v>
      </c>
      <c r="AD2437">
        <v>-1.122121348579</v>
      </c>
      <c r="AE2437">
        <v>-4.23299</v>
      </c>
      <c r="AF2437">
        <v>-5.3882028722657296</v>
      </c>
      <c r="AG2437">
        <v>-1.122121348579</v>
      </c>
      <c r="AH2437">
        <v>16.633681542036999</v>
      </c>
      <c r="AI2437">
        <v>93.672070056896104</v>
      </c>
      <c r="AJ2437">
        <v>107.94886418042699</v>
      </c>
      <c r="AK2437">
        <v>17.520594971505201</v>
      </c>
      <c r="AL2437">
        <v>81.087976683895604</v>
      </c>
      <c r="AM2437">
        <v>94.509090677923496</v>
      </c>
      <c r="AN2437">
        <v>0.999999982150936</v>
      </c>
    </row>
    <row r="2438" spans="1:40" x14ac:dyDescent="0.3">
      <c r="A2438" t="str">
        <f>"20200111150853566"</f>
        <v>20200111150853566</v>
      </c>
      <c r="B2438" t="str">
        <f>"1578726533556547"</f>
        <v>1578726533556547</v>
      </c>
      <c r="C2438" t="s">
        <v>40</v>
      </c>
      <c r="D2438">
        <v>5.2395399999999999</v>
      </c>
      <c r="E2438">
        <v>0.40431909999999999</v>
      </c>
      <c r="F2438" t="s">
        <v>92</v>
      </c>
      <c r="G2438">
        <v>-387.09980000000002</v>
      </c>
      <c r="H2438" s="1">
        <v>-2.133095E-6</v>
      </c>
      <c r="I2438">
        <v>15.786770000000001</v>
      </c>
      <c r="J2438">
        <v>-403.5727</v>
      </c>
      <c r="K2438">
        <v>1.1221080000000001</v>
      </c>
      <c r="L2438">
        <v>19.712430000000001</v>
      </c>
      <c r="M2438">
        <v>0.85234390000000004</v>
      </c>
      <c r="N2438">
        <v>0</v>
      </c>
      <c r="O2438">
        <v>-0.5227868</v>
      </c>
      <c r="P2438">
        <v>0.87960079999999996</v>
      </c>
      <c r="Q2438">
        <v>0.1428519</v>
      </c>
      <c r="R2438">
        <v>-0.45375779999999899</v>
      </c>
      <c r="S2438">
        <v>3.0679020000000001</v>
      </c>
      <c r="T2438">
        <v>-0.20704259999999999</v>
      </c>
      <c r="U2438">
        <v>-0.74099729999999997</v>
      </c>
      <c r="V2438">
        <v>-7.7757039999999999E-2</v>
      </c>
      <c r="W2438">
        <v>0.15467790000000001</v>
      </c>
      <c r="X2438">
        <v>0.98490029999999995</v>
      </c>
      <c r="Y2438">
        <v>-0.30645080000000002</v>
      </c>
      <c r="Z2438">
        <v>4.3025220000000003E-2</v>
      </c>
      <c r="AA2438">
        <v>0.95091369999999997</v>
      </c>
      <c r="AB2438">
        <v>35</v>
      </c>
      <c r="AC2438">
        <v>16.4728999999999</v>
      </c>
      <c r="AD2438">
        <v>-1.1221101330950001</v>
      </c>
      <c r="AE2438">
        <v>-3.9256599999999899</v>
      </c>
      <c r="AF2438">
        <v>-5.24331685259724</v>
      </c>
      <c r="AG2438">
        <v>-1.1221101330950001</v>
      </c>
      <c r="AH2438">
        <v>16.0241410394699</v>
      </c>
      <c r="AI2438">
        <v>93.807641637435196</v>
      </c>
      <c r="AJ2438">
        <v>108.118800122474</v>
      </c>
      <c r="AK2438">
        <v>16.8974731489755</v>
      </c>
      <c r="AL2438">
        <v>81.101884055902701</v>
      </c>
      <c r="AM2438">
        <v>94.514089814806397</v>
      </c>
      <c r="AN2438">
        <v>1.0000000054790299</v>
      </c>
    </row>
    <row r="2439" spans="1:40" x14ac:dyDescent="0.3">
      <c r="A2439" t="str">
        <f>"20200111150853577"</f>
        <v>20200111150853577</v>
      </c>
      <c r="B2439" t="str">
        <f>"1578726533566308"</f>
        <v>1578726533566308</v>
      </c>
      <c r="C2439" t="s">
        <v>40</v>
      </c>
      <c r="D2439">
        <v>5.1907160000000001</v>
      </c>
      <c r="E2439">
        <v>0.4045531</v>
      </c>
      <c r="F2439" t="s">
        <v>92</v>
      </c>
      <c r="G2439">
        <v>-387.22739999999999</v>
      </c>
      <c r="H2439" s="1">
        <v>-2.0628240000000002E-6</v>
      </c>
      <c r="I2439">
        <v>15.86675</v>
      </c>
      <c r="J2439">
        <v>-403.42180000000002</v>
      </c>
      <c r="K2439">
        <v>1.1220950000000001</v>
      </c>
      <c r="L2439">
        <v>19.625119999999999</v>
      </c>
      <c r="M2439">
        <v>0.85568459999999902</v>
      </c>
      <c r="N2439">
        <v>0</v>
      </c>
      <c r="O2439">
        <v>-0.51730069999999995</v>
      </c>
      <c r="P2439">
        <v>0.88260280000000002</v>
      </c>
      <c r="Q2439">
        <v>0.14287349999999999</v>
      </c>
      <c r="R2439">
        <v>-0.4478837</v>
      </c>
      <c r="S2439">
        <v>3.0720209999999999</v>
      </c>
      <c r="T2439">
        <v>-0.2108952</v>
      </c>
      <c r="U2439">
        <v>-0.72277829999999998</v>
      </c>
      <c r="V2439">
        <v>-7.7992610000000004E-2</v>
      </c>
      <c r="W2439">
        <v>0.154693</v>
      </c>
      <c r="X2439">
        <v>0.98487930000000001</v>
      </c>
      <c r="Y2439">
        <v>-0.30591590000000002</v>
      </c>
      <c r="Z2439">
        <v>4.3479469999999999E-2</v>
      </c>
      <c r="AA2439">
        <v>0.95106520000000005</v>
      </c>
      <c r="AB2439">
        <v>35</v>
      </c>
      <c r="AC2439">
        <v>16.194400000000002</v>
      </c>
      <c r="AD2439">
        <v>-1.1220970628239999</v>
      </c>
      <c r="AE2439">
        <v>-3.7583700000000002</v>
      </c>
      <c r="AF2439">
        <v>-5.13851214546135</v>
      </c>
      <c r="AG2439">
        <v>-1.1220970628239999</v>
      </c>
      <c r="AH2439">
        <v>15.7314503390298</v>
      </c>
      <c r="AI2439">
        <v>93.878880984429202</v>
      </c>
      <c r="AJ2439">
        <v>108.089079853486</v>
      </c>
      <c r="AK2439">
        <v>16.587403011225501</v>
      </c>
      <c r="AL2439">
        <v>81.1010083318223</v>
      </c>
      <c r="AM2439">
        <v>94.527804905625501</v>
      </c>
      <c r="AN2439">
        <v>1.0000000035160499</v>
      </c>
    </row>
    <row r="2440" spans="1:40" x14ac:dyDescent="0.3">
      <c r="A2440" t="str">
        <f>"20200111150853589"</f>
        <v>20200111150853589</v>
      </c>
      <c r="B2440" t="str">
        <f>"1578726533585828"</f>
        <v>1578726533585828</v>
      </c>
      <c r="C2440" t="s">
        <v>40</v>
      </c>
      <c r="D2440">
        <v>5.1993989999999997</v>
      </c>
      <c r="E2440">
        <v>0.40572570000000002</v>
      </c>
      <c r="F2440" t="s">
        <v>92</v>
      </c>
      <c r="G2440">
        <v>-387.22239999999999</v>
      </c>
      <c r="H2440" s="1">
        <v>-2.0514930000000002E-6</v>
      </c>
      <c r="I2440">
        <v>15.91647</v>
      </c>
      <c r="J2440">
        <v>-403.26310000000001</v>
      </c>
      <c r="K2440">
        <v>1.1220859999999999</v>
      </c>
      <c r="L2440">
        <v>19.535309999999999</v>
      </c>
      <c r="M2440">
        <v>0.85913600000000001</v>
      </c>
      <c r="N2440">
        <v>0</v>
      </c>
      <c r="O2440">
        <v>-0.51154820000000001</v>
      </c>
      <c r="P2440">
        <v>0.88569279999999995</v>
      </c>
      <c r="Q2440">
        <v>0.1429271</v>
      </c>
      <c r="R2440">
        <v>-0.44172400000000001</v>
      </c>
      <c r="S2440">
        <v>3.0761720000000001</v>
      </c>
      <c r="T2440">
        <v>-0.2130802</v>
      </c>
      <c r="U2440">
        <v>-0.70425419999999905</v>
      </c>
      <c r="V2440">
        <v>-7.8239980000000001E-2</v>
      </c>
      <c r="W2440">
        <v>0.1547396</v>
      </c>
      <c r="X2440">
        <v>0.98485239999999996</v>
      </c>
      <c r="Y2440">
        <v>-0.30522909999999998</v>
      </c>
      <c r="Z2440">
        <v>4.355817E-2</v>
      </c>
      <c r="AA2440">
        <v>0.95128230000000003</v>
      </c>
      <c r="AB2440">
        <v>35</v>
      </c>
      <c r="AC2440">
        <v>16.040700000000001</v>
      </c>
      <c r="AD2440">
        <v>-1.1220880514929901</v>
      </c>
      <c r="AE2440">
        <v>-3.6188399999999898</v>
      </c>
      <c r="AF2440">
        <v>-5.0734111755256199</v>
      </c>
      <c r="AG2440">
        <v>-1.1220880514929901</v>
      </c>
      <c r="AH2440">
        <v>15.5614869134758</v>
      </c>
      <c r="AI2440">
        <v>93.9217935762655</v>
      </c>
      <c r="AJ2440">
        <v>108.057188015222</v>
      </c>
      <c r="AK2440">
        <v>16.406049418111898</v>
      </c>
      <c r="AL2440">
        <v>81.098306170837105</v>
      </c>
      <c r="AM2440">
        <v>94.542229338702597</v>
      </c>
      <c r="AN2440">
        <v>1.0000000440321499</v>
      </c>
    </row>
    <row r="2441" spans="1:40" x14ac:dyDescent="0.3">
      <c r="A2441" t="str">
        <f>"20200111150853602"</f>
        <v>20200111150853602</v>
      </c>
      <c r="B2441" t="str">
        <f>"1578726533596563"</f>
        <v>1578726533596563</v>
      </c>
      <c r="C2441" t="s">
        <v>40</v>
      </c>
      <c r="D2441">
        <v>5.237965</v>
      </c>
      <c r="E2441">
        <v>0.40571449999999998</v>
      </c>
      <c r="F2441" t="s">
        <v>92</v>
      </c>
      <c r="G2441">
        <v>-387.78050000000002</v>
      </c>
      <c r="H2441" s="1">
        <v>-1.800633E-6</v>
      </c>
      <c r="I2441">
        <v>16.053929999999902</v>
      </c>
      <c r="J2441">
        <v>-403.08100000000002</v>
      </c>
      <c r="K2441">
        <v>1.122072</v>
      </c>
      <c r="L2441">
        <v>19.43329</v>
      </c>
      <c r="M2441">
        <v>0.86303809999999903</v>
      </c>
      <c r="N2441">
        <v>0</v>
      </c>
      <c r="O2441">
        <v>-0.50493690000000002</v>
      </c>
      <c r="P2441">
        <v>0.88919079999999995</v>
      </c>
      <c r="Q2441">
        <v>0.1434908</v>
      </c>
      <c r="R2441">
        <v>-0.4344538</v>
      </c>
      <c r="S2441">
        <v>3.0780029999999998</v>
      </c>
      <c r="T2441">
        <v>-0.22307460000000001</v>
      </c>
      <c r="U2441">
        <v>-0.69210819999999995</v>
      </c>
      <c r="V2441">
        <v>-7.8713980000000003E-2</v>
      </c>
      <c r="W2441">
        <v>0.15528929999999999</v>
      </c>
      <c r="X2441">
        <v>0.98472800000000005</v>
      </c>
      <c r="Y2441">
        <v>-0.30146820000000002</v>
      </c>
      <c r="Z2441">
        <v>4.5061900000000002E-2</v>
      </c>
      <c r="AA2441">
        <v>0.9524108</v>
      </c>
      <c r="AB2441">
        <v>35</v>
      </c>
      <c r="AC2441">
        <v>15.3004999999999</v>
      </c>
      <c r="AD2441">
        <v>-1.122073800633</v>
      </c>
      <c r="AE2441">
        <v>-3.3793600000000001</v>
      </c>
      <c r="AF2441">
        <v>-4.7852226075065802</v>
      </c>
      <c r="AG2441">
        <v>-1.122073800633</v>
      </c>
      <c r="AH2441">
        <v>14.836716523168599</v>
      </c>
      <c r="AI2441">
        <v>94.116886756989103</v>
      </c>
      <c r="AJ2441">
        <v>107.875845924928</v>
      </c>
      <c r="AK2441">
        <v>15.629637302456</v>
      </c>
      <c r="AL2441">
        <v>81.066424426490499</v>
      </c>
      <c r="AM2441">
        <v>94.570206089903607</v>
      </c>
      <c r="AN2441">
        <v>0.99999994566296302</v>
      </c>
    </row>
    <row r="2442" spans="1:40" x14ac:dyDescent="0.3">
      <c r="A2442" t="str">
        <f>"20200111150853614"</f>
        <v>20200111150853614</v>
      </c>
      <c r="B2442" t="str">
        <f>"1578726533606324"</f>
        <v>1578726533606324</v>
      </c>
      <c r="C2442" t="s">
        <v>40</v>
      </c>
      <c r="D2442">
        <v>5.2540300000000002</v>
      </c>
      <c r="E2442">
        <v>0.4057231</v>
      </c>
      <c r="F2442" t="s">
        <v>92</v>
      </c>
      <c r="G2442">
        <v>-387.41340000000002</v>
      </c>
      <c r="H2442" s="1">
        <v>-1.9442829999999999E-6</v>
      </c>
      <c r="I2442">
        <v>16.04383</v>
      </c>
      <c r="J2442">
        <v>-402.91579999999999</v>
      </c>
      <c r="K2442">
        <v>1.12206299999999</v>
      </c>
      <c r="L2442">
        <v>19.342680000000001</v>
      </c>
      <c r="M2442">
        <v>0.86651230000000001</v>
      </c>
      <c r="N2442">
        <v>0</v>
      </c>
      <c r="O2442">
        <v>-0.49895149999999999</v>
      </c>
      <c r="P2442">
        <v>0.89220659999999896</v>
      </c>
      <c r="Q2442">
        <v>0.14355979999999999</v>
      </c>
      <c r="R2442">
        <v>-0.42820320000000001</v>
      </c>
      <c r="S2442">
        <v>3.0835569999999999</v>
      </c>
      <c r="T2442">
        <v>-0.22083639999999999</v>
      </c>
      <c r="U2442">
        <v>-0.66708369999999995</v>
      </c>
      <c r="V2442">
        <v>-7.8800980000000007E-2</v>
      </c>
      <c r="W2442">
        <v>0.15535579999999999</v>
      </c>
      <c r="X2442">
        <v>0.98471059999999999</v>
      </c>
      <c r="Y2442">
        <v>-0.30265769999999997</v>
      </c>
      <c r="Z2442">
        <v>4.4268670000000003E-2</v>
      </c>
      <c r="AA2442">
        <v>0.95207070000000005</v>
      </c>
      <c r="AB2442">
        <v>35</v>
      </c>
      <c r="AC2442">
        <v>15.5023999999999</v>
      </c>
      <c r="AD2442">
        <v>-1.12206494428299</v>
      </c>
      <c r="AE2442">
        <v>-3.2988499999999901</v>
      </c>
      <c r="AF2442">
        <v>-4.85262769719938</v>
      </c>
      <c r="AG2442">
        <v>-1.12206494428299</v>
      </c>
      <c r="AH2442">
        <v>15.005317950916799</v>
      </c>
      <c r="AI2442">
        <v>94.0697233915335</v>
      </c>
      <c r="AJ2442">
        <v>107.92088886043101</v>
      </c>
      <c r="AK2442">
        <v>15.8103318154592</v>
      </c>
      <c r="AL2442">
        <v>81.062567869019503</v>
      </c>
      <c r="AM2442">
        <v>94.575316457954997</v>
      </c>
      <c r="AN2442">
        <v>0.99999999239748005</v>
      </c>
    </row>
    <row r="2443" spans="1:40" x14ac:dyDescent="0.3">
      <c r="A2443" t="str">
        <f>"20200111150853625"</f>
        <v>20200111150853625</v>
      </c>
      <c r="B2443" t="str">
        <f>"1578726533616083"</f>
        <v>1578726533616083</v>
      </c>
      <c r="C2443" t="s">
        <v>40</v>
      </c>
      <c r="D2443">
        <v>5.2368480000000002</v>
      </c>
      <c r="E2443">
        <v>0.40580670000000002</v>
      </c>
      <c r="F2443" t="s">
        <v>92</v>
      </c>
      <c r="G2443">
        <v>-387.16809999999998</v>
      </c>
      <c r="H2443" s="1">
        <v>-2.036474E-6</v>
      </c>
      <c r="I2443">
        <v>16.05142</v>
      </c>
      <c r="J2443">
        <v>-402.75670000000002</v>
      </c>
      <c r="K2443">
        <v>1.122053</v>
      </c>
      <c r="L2443">
        <v>19.256769999999999</v>
      </c>
      <c r="M2443">
        <v>0.86980469999999899</v>
      </c>
      <c r="N2443">
        <v>0</v>
      </c>
      <c r="O2443">
        <v>-0.49318980000000001</v>
      </c>
      <c r="P2443">
        <v>0.89494399999999996</v>
      </c>
      <c r="Q2443">
        <v>0.14366209999999999</v>
      </c>
      <c r="R2443">
        <v>-0.42241780000000001</v>
      </c>
      <c r="S2443">
        <v>3.0881349999999999</v>
      </c>
      <c r="T2443">
        <v>-0.22003700000000001</v>
      </c>
      <c r="U2443">
        <v>-0.64541630000000005</v>
      </c>
      <c r="V2443">
        <v>-7.8631960000000001E-2</v>
      </c>
      <c r="W2443">
        <v>0.15546460000000001</v>
      </c>
      <c r="X2443">
        <v>0.98470690000000005</v>
      </c>
      <c r="Y2443">
        <v>-0.3030428</v>
      </c>
      <c r="Z2443">
        <v>4.375631E-2</v>
      </c>
      <c r="AA2443">
        <v>0.95197189999999998</v>
      </c>
      <c r="AB2443">
        <v>35</v>
      </c>
      <c r="AC2443">
        <v>15.5886</v>
      </c>
      <c r="AD2443">
        <v>-1.1220550364740001</v>
      </c>
      <c r="AE2443">
        <v>-3.2053500000000001</v>
      </c>
      <c r="AF2443">
        <v>-4.8763692985456801</v>
      </c>
      <c r="AG2443">
        <v>-1.1220550364740001</v>
      </c>
      <c r="AH2443">
        <v>15.0665316956675</v>
      </c>
      <c r="AI2443">
        <v>94.052898274699004</v>
      </c>
      <c r="AJ2443">
        <v>107.934471188963</v>
      </c>
      <c r="AK2443">
        <v>15.8757161217133</v>
      </c>
      <c r="AL2443">
        <v>81.056257060579</v>
      </c>
      <c r="AM2443">
        <v>94.565561489413298</v>
      </c>
      <c r="AN2443">
        <v>0.99999995294710398</v>
      </c>
    </row>
    <row r="2444" spans="1:40" x14ac:dyDescent="0.3">
      <c r="A2444" t="str">
        <f>"20200111150853644"</f>
        <v>20200111150853644</v>
      </c>
      <c r="B2444" t="str">
        <f>"1578726533636579"</f>
        <v>1578726533636579</v>
      </c>
      <c r="C2444" t="s">
        <v>40</v>
      </c>
      <c r="D2444">
        <v>5.1927240000000001</v>
      </c>
      <c r="E2444">
        <v>0.40665820000000003</v>
      </c>
      <c r="F2444" t="s">
        <v>92</v>
      </c>
      <c r="G2444">
        <v>-386.96379999999999</v>
      </c>
      <c r="H2444" s="1">
        <v>-2.1125519999999998E-6</v>
      </c>
      <c r="I2444">
        <v>16.06034</v>
      </c>
      <c r="J2444">
        <v>-402.51420000000002</v>
      </c>
      <c r="K2444">
        <v>1.1220349999999999</v>
      </c>
      <c r="L2444">
        <v>19.128229999999999</v>
      </c>
      <c r="M2444">
        <v>0.87472459999999996</v>
      </c>
      <c r="N2444">
        <v>0</v>
      </c>
      <c r="O2444">
        <v>-0.48441030000000002</v>
      </c>
      <c r="P2444">
        <v>0.89859219999999895</v>
      </c>
      <c r="Q2444">
        <v>0.14308679999999999</v>
      </c>
      <c r="R2444">
        <v>-0.41479949999999999</v>
      </c>
      <c r="S2444">
        <v>3.0920719999999999</v>
      </c>
      <c r="T2444">
        <v>-0.21968509999999999</v>
      </c>
      <c r="U2444">
        <v>-0.62582399999999905</v>
      </c>
      <c r="V2444">
        <v>-7.7105270000000004E-2</v>
      </c>
      <c r="W2444">
        <v>0.1549384</v>
      </c>
      <c r="X2444">
        <v>0.98491059999999997</v>
      </c>
      <c r="Y2444">
        <v>-0.29951549999999999</v>
      </c>
      <c r="Z2444">
        <v>4.3015379999999999E-2</v>
      </c>
      <c r="AA2444">
        <v>0.95312129999999995</v>
      </c>
      <c r="AB2444">
        <v>35</v>
      </c>
      <c r="AC2444">
        <v>15.5504</v>
      </c>
      <c r="AD2444">
        <v>-1.1220371125519999</v>
      </c>
      <c r="AE2444">
        <v>-3.06788999999999</v>
      </c>
      <c r="AF2444">
        <v>-4.8255265991952996</v>
      </c>
      <c r="AG2444">
        <v>-1.1220371125519999</v>
      </c>
      <c r="AH2444">
        <v>15.014727740072599</v>
      </c>
      <c r="AI2444">
        <v>94.0694581347407</v>
      </c>
      <c r="AJ2444">
        <v>107.81668957853</v>
      </c>
      <c r="AK2444">
        <v>15.8109684507304</v>
      </c>
      <c r="AL2444">
        <v>81.086776418153505</v>
      </c>
      <c r="AM2444">
        <v>94.476359913688697</v>
      </c>
      <c r="AN2444">
        <v>1.00000001022434</v>
      </c>
    </row>
    <row r="2445" spans="1:40" x14ac:dyDescent="0.3">
      <c r="A2445" t="str">
        <f>"20200111150853654"</f>
        <v>20200111150853654</v>
      </c>
      <c r="B2445" t="str">
        <f>"1578726533646340"</f>
        <v>1578726533646340</v>
      </c>
      <c r="C2445" t="s">
        <v>40</v>
      </c>
      <c r="D2445">
        <v>5.2809439999999999</v>
      </c>
      <c r="E2445">
        <v>0.40680329999999998</v>
      </c>
      <c r="F2445" t="s">
        <v>92</v>
      </c>
      <c r="G2445">
        <v>-387.19229999999999</v>
      </c>
      <c r="H2445" s="1">
        <v>-2.0053960000000002E-6</v>
      </c>
      <c r="I2445">
        <v>16.133279999999999</v>
      </c>
      <c r="J2445">
        <v>-402.35820000000001</v>
      </c>
      <c r="K2445">
        <v>1.122023</v>
      </c>
      <c r="L2445">
        <v>19.047329999999999</v>
      </c>
      <c r="M2445">
        <v>0.87782479999999996</v>
      </c>
      <c r="N2445">
        <v>0</v>
      </c>
      <c r="O2445">
        <v>-0.47876930000000001</v>
      </c>
      <c r="P2445">
        <v>0.90115089999999998</v>
      </c>
      <c r="Q2445">
        <v>0.1428594</v>
      </c>
      <c r="R2445">
        <v>-0.4092906</v>
      </c>
      <c r="S2445">
        <v>3.0953369999999998</v>
      </c>
      <c r="T2445">
        <v>-0.2266745</v>
      </c>
      <c r="U2445">
        <v>-0.60504150000000001</v>
      </c>
      <c r="V2445">
        <v>-7.6800779999999999E-2</v>
      </c>
      <c r="W2445">
        <v>0.15472079999999999</v>
      </c>
      <c r="X2445">
        <v>0.98496859999999997</v>
      </c>
      <c r="Y2445">
        <v>-0.29962440000000001</v>
      </c>
      <c r="Z2445">
        <v>4.4025250000000002E-2</v>
      </c>
      <c r="AA2445">
        <v>0.95304100000000003</v>
      </c>
      <c r="AB2445">
        <v>35</v>
      </c>
      <c r="AC2445">
        <v>15.165900000000001</v>
      </c>
      <c r="AD2445">
        <v>-1.1220250053959999</v>
      </c>
      <c r="AE2445">
        <v>-2.91405</v>
      </c>
      <c r="AF2445">
        <v>-4.6787233648731004</v>
      </c>
      <c r="AG2445">
        <v>-1.1220250053959999</v>
      </c>
      <c r="AH2445">
        <v>14.6324186247607</v>
      </c>
      <c r="AI2445">
        <v>94.177345691354901</v>
      </c>
      <c r="AJ2445">
        <v>107.73170394113799</v>
      </c>
      <c r="AK2445">
        <v>15.4031512116185</v>
      </c>
      <c r="AL2445">
        <v>81.099396195956203</v>
      </c>
      <c r="AM2445">
        <v>94.458492620063893</v>
      </c>
      <c r="AN2445">
        <v>1.0000000143736001</v>
      </c>
    </row>
    <row r="2446" spans="1:40" x14ac:dyDescent="0.3">
      <c r="A2446" t="str">
        <f>"20200111150853665"</f>
        <v>20200111150853665</v>
      </c>
      <c r="B2446" t="str">
        <f>"1578726533656101"</f>
        <v>1578726533656101</v>
      </c>
      <c r="C2446" t="s">
        <v>40</v>
      </c>
      <c r="D2446">
        <v>5.260294</v>
      </c>
      <c r="E2446">
        <v>0.40699089999999999</v>
      </c>
      <c r="F2446" t="s">
        <v>92</v>
      </c>
      <c r="G2446">
        <v>-387.03120000000001</v>
      </c>
      <c r="H2446" s="1">
        <v>-2.0643709999999999E-6</v>
      </c>
      <c r="I2446">
        <v>16.14414</v>
      </c>
      <c r="J2446">
        <v>-402.20549999999997</v>
      </c>
      <c r="K2446">
        <v>1.1220159999999999</v>
      </c>
      <c r="L2446">
        <v>18.969360000000002</v>
      </c>
      <c r="M2446">
        <v>0.88081369999999903</v>
      </c>
      <c r="N2446">
        <v>0</v>
      </c>
      <c r="O2446">
        <v>-0.4732478</v>
      </c>
      <c r="P2446">
        <v>0.90366259999999998</v>
      </c>
      <c r="Q2446">
        <v>0.14287720000000001</v>
      </c>
      <c r="R2446">
        <v>-0.40370800000000001</v>
      </c>
      <c r="S2446">
        <v>3.098541</v>
      </c>
      <c r="T2446">
        <v>-0.22683049999999999</v>
      </c>
      <c r="U2446">
        <v>-0.58691409999999999</v>
      </c>
      <c r="V2446">
        <v>-7.6704700000000001E-2</v>
      </c>
      <c r="W2446">
        <v>0.15474199999999999</v>
      </c>
      <c r="X2446">
        <v>0.98497279999999998</v>
      </c>
      <c r="Y2446">
        <v>-0.29920940000000001</v>
      </c>
      <c r="Z2446">
        <v>4.368184E-2</v>
      </c>
      <c r="AA2446">
        <v>0.95318709999999995</v>
      </c>
      <c r="AB2446">
        <v>35</v>
      </c>
      <c r="AC2446">
        <v>15.174299999999899</v>
      </c>
      <c r="AD2446">
        <v>-1.1220180643709901</v>
      </c>
      <c r="AE2446">
        <v>-2.8252199999999998</v>
      </c>
      <c r="AF2446">
        <v>-4.6685201502593099</v>
      </c>
      <c r="AG2446">
        <v>-1.1220180643709901</v>
      </c>
      <c r="AH2446">
        <v>14.626966082179299</v>
      </c>
      <c r="AI2446">
        <v>94.179569807126001</v>
      </c>
      <c r="AJ2446">
        <v>107.70163466321701</v>
      </c>
      <c r="AK2446">
        <v>15.394873877345599</v>
      </c>
      <c r="AL2446">
        <v>81.098167102235394</v>
      </c>
      <c r="AM2446">
        <v>94.452918452333904</v>
      </c>
      <c r="AN2446">
        <v>1.0000000571529599</v>
      </c>
    </row>
    <row r="2447" spans="1:40" x14ac:dyDescent="0.3">
      <c r="A2447" t="str">
        <f>"20200111150853676"</f>
        <v>20200111150853676</v>
      </c>
      <c r="B2447" t="str">
        <f>"1578726533665860"</f>
        <v>1578726533665860</v>
      </c>
      <c r="C2447" t="s">
        <v>40</v>
      </c>
      <c r="D2447">
        <v>5.2737400000000001</v>
      </c>
      <c r="E2447">
        <v>0.40715000000000001</v>
      </c>
      <c r="F2447" t="s">
        <v>92</v>
      </c>
      <c r="G2447">
        <v>-386.9239</v>
      </c>
      <c r="H2447" s="1">
        <v>-2.1006030000000001E-6</v>
      </c>
      <c r="I2447">
        <v>16.162779999999898</v>
      </c>
      <c r="J2447">
        <v>-402.05059999999997</v>
      </c>
      <c r="K2447">
        <v>1.122004</v>
      </c>
      <c r="L2447">
        <v>18.891169999999999</v>
      </c>
      <c r="M2447">
        <v>0.88380300000000001</v>
      </c>
      <c r="N2447">
        <v>0</v>
      </c>
      <c r="O2447">
        <v>-0.46764139999999998</v>
      </c>
      <c r="P2447">
        <v>0.90632809999999997</v>
      </c>
      <c r="Q2447">
        <v>0.14294849999999901</v>
      </c>
      <c r="R2447">
        <v>-0.39766200000000002</v>
      </c>
      <c r="S2447">
        <v>3.101318</v>
      </c>
      <c r="T2447">
        <v>-0.22770760000000001</v>
      </c>
      <c r="U2447">
        <v>-0.56958009999999903</v>
      </c>
      <c r="V2447">
        <v>-7.7020019999999995E-2</v>
      </c>
      <c r="W2447">
        <v>0.1548041</v>
      </c>
      <c r="X2447">
        <v>0.98493839999999999</v>
      </c>
      <c r="Y2447">
        <v>-0.29845339999999998</v>
      </c>
      <c r="Z2447">
        <v>4.3459589999999999E-2</v>
      </c>
      <c r="AA2447">
        <v>0.95343420000000001</v>
      </c>
      <c r="AB2447">
        <v>35</v>
      </c>
      <c r="AC2447">
        <v>15.1266999999999</v>
      </c>
      <c r="AD2447">
        <v>-1.122006100603</v>
      </c>
      <c r="AE2447">
        <v>-2.7283900000000001</v>
      </c>
      <c r="AF2447">
        <v>-4.63827238676049</v>
      </c>
      <c r="AG2447">
        <v>-1.122006100603</v>
      </c>
      <c r="AH2447">
        <v>14.5687947523073</v>
      </c>
      <c r="AI2447">
        <v>94.197124406439897</v>
      </c>
      <c r="AJ2447">
        <v>107.65993306711199</v>
      </c>
      <c r="AK2447">
        <v>15.330435380589501</v>
      </c>
      <c r="AL2447">
        <v>81.094565324392704</v>
      </c>
      <c r="AM2447">
        <v>94.471305096940796</v>
      </c>
      <c r="AN2447">
        <v>1.0000000223260801</v>
      </c>
    </row>
    <row r="2448" spans="1:40" x14ac:dyDescent="0.3">
      <c r="A2448" t="str">
        <f>"20200111150853688"</f>
        <v>20200111150853688</v>
      </c>
      <c r="B2448" t="str">
        <f>"1578726533686356"</f>
        <v>1578726533686356</v>
      </c>
      <c r="C2448" t="s">
        <v>40</v>
      </c>
      <c r="D2448">
        <v>5.2832140000000001</v>
      </c>
      <c r="E2448">
        <v>0.40772459999999999</v>
      </c>
      <c r="F2448" t="s">
        <v>92</v>
      </c>
      <c r="G2448">
        <v>-386.74200000000002</v>
      </c>
      <c r="H2448" s="1">
        <v>-2.1671899999999999E-6</v>
      </c>
      <c r="I2448">
        <v>16.17503</v>
      </c>
      <c r="J2448">
        <v>-401.8999</v>
      </c>
      <c r="K2448">
        <v>1.1219969999999999</v>
      </c>
      <c r="L2448">
        <v>18.81683</v>
      </c>
      <c r="M2448">
        <v>0.88666109999999898</v>
      </c>
      <c r="N2448">
        <v>0</v>
      </c>
      <c r="O2448">
        <v>-0.4621999</v>
      </c>
      <c r="P2448">
        <v>0.90890029999999999</v>
      </c>
      <c r="Q2448">
        <v>0.1425149</v>
      </c>
      <c r="R2448">
        <v>-0.39190540000000001</v>
      </c>
      <c r="S2448">
        <v>3.104279</v>
      </c>
      <c r="T2448">
        <v>-0.2275211</v>
      </c>
      <c r="U2448">
        <v>-0.55078130000000003</v>
      </c>
      <c r="V2448">
        <v>-7.7228749999999999E-2</v>
      </c>
      <c r="W2448">
        <v>0.15436510000000001</v>
      </c>
      <c r="X2448">
        <v>0.98499099999999995</v>
      </c>
      <c r="Y2448">
        <v>-0.29835780000000001</v>
      </c>
      <c r="Z2448">
        <v>4.3066220000000002E-2</v>
      </c>
      <c r="AA2448">
        <v>0.95348200000000005</v>
      </c>
      <c r="AB2448">
        <v>35</v>
      </c>
      <c r="AC2448">
        <v>15.1579</v>
      </c>
      <c r="AD2448">
        <v>-1.12199916718999</v>
      </c>
      <c r="AE2448">
        <v>-2.6417999999999999</v>
      </c>
      <c r="AF2448">
        <v>-4.6394025536107</v>
      </c>
      <c r="AG2448">
        <v>-1.12199916718999</v>
      </c>
      <c r="AH2448">
        <v>14.5848949393013</v>
      </c>
      <c r="AI2448">
        <v>94.192812667145702</v>
      </c>
      <c r="AJ2448">
        <v>107.645679860933</v>
      </c>
      <c r="AK2448">
        <v>15.346077628373999</v>
      </c>
      <c r="AL2448">
        <v>81.120024598169493</v>
      </c>
      <c r="AM2448">
        <v>94.483134887390904</v>
      </c>
      <c r="AN2448">
        <v>1.00000006700278</v>
      </c>
    </row>
    <row r="2449" spans="1:40" x14ac:dyDescent="0.3">
      <c r="A2449" t="str">
        <f>"20200111150853700"</f>
        <v>20200111150853700</v>
      </c>
      <c r="B2449" t="str">
        <f>"1578726533696116"</f>
        <v>1578726533696116</v>
      </c>
      <c r="C2449" t="s">
        <v>40</v>
      </c>
      <c r="D2449">
        <v>5.2490620000000003</v>
      </c>
      <c r="E2449">
        <v>0.40806520000000002</v>
      </c>
      <c r="F2449" t="s">
        <v>92</v>
      </c>
      <c r="G2449">
        <v>-386.75409999999999</v>
      </c>
      <c r="H2449" s="1">
        <v>-2.1546960000000002E-6</v>
      </c>
      <c r="I2449">
        <v>16.20458</v>
      </c>
      <c r="J2449">
        <v>-401.7371</v>
      </c>
      <c r="K2449">
        <v>1.1219870000000001</v>
      </c>
      <c r="L2449">
        <v>18.737030000000001</v>
      </c>
      <c r="M2449">
        <v>0.88970769999999899</v>
      </c>
      <c r="N2449">
        <v>0</v>
      </c>
      <c r="O2449">
        <v>-0.45630789999999999</v>
      </c>
      <c r="P2449">
        <v>0.91158099999999997</v>
      </c>
      <c r="Q2449">
        <v>0.1425582</v>
      </c>
      <c r="R2449">
        <v>-0.38561309999999999</v>
      </c>
      <c r="S2449">
        <v>3.1058349999999999</v>
      </c>
      <c r="T2449">
        <v>-0.2300799</v>
      </c>
      <c r="U2449">
        <v>-0.53567500000000001</v>
      </c>
      <c r="V2449">
        <v>-7.7498849999999994E-2</v>
      </c>
      <c r="W2449">
        <v>0.15440039999999999</v>
      </c>
      <c r="X2449">
        <v>0.98496419999999996</v>
      </c>
      <c r="Y2449">
        <v>-0.29658559999999901</v>
      </c>
      <c r="Z2449">
        <v>4.310692E-2</v>
      </c>
      <c r="AA2449">
        <v>0.95403289999999996</v>
      </c>
      <c r="AB2449">
        <v>35</v>
      </c>
      <c r="AC2449">
        <v>14.983000000000001</v>
      </c>
      <c r="AD2449">
        <v>-1.1219891546959999</v>
      </c>
      <c r="AE2449">
        <v>-2.5324499999999901</v>
      </c>
      <c r="AF2449">
        <v>-4.5593300876390801</v>
      </c>
      <c r="AG2449">
        <v>-1.1219891546959999</v>
      </c>
      <c r="AH2449">
        <v>14.408984094805</v>
      </c>
      <c r="AI2449">
        <v>94.245816966352095</v>
      </c>
      <c r="AJ2449">
        <v>107.558555161485</v>
      </c>
      <c r="AK2449">
        <v>15.154707953492499</v>
      </c>
      <c r="AL2449">
        <v>81.117977051900994</v>
      </c>
      <c r="AM2449">
        <v>94.498871865700394</v>
      </c>
      <c r="AN2449">
        <v>1.00000001527656</v>
      </c>
    </row>
    <row r="2450" spans="1:40" x14ac:dyDescent="0.3">
      <c r="A2450" t="str">
        <f>"20200111150853711"</f>
        <v>20200111150853711</v>
      </c>
      <c r="B2450" t="str">
        <f>"1578726533705875"</f>
        <v>1578726533705875</v>
      </c>
      <c r="C2450" t="s">
        <v>40</v>
      </c>
      <c r="D2450">
        <v>5.1885599999999998</v>
      </c>
      <c r="E2450">
        <v>0.40858329999999998</v>
      </c>
      <c r="F2450" t="s">
        <v>92</v>
      </c>
      <c r="G2450">
        <v>-386.6721</v>
      </c>
      <c r="H2450" s="1">
        <v>-2.1786950000000001E-6</v>
      </c>
      <c r="I2450">
        <v>16.23273</v>
      </c>
      <c r="J2450">
        <v>-401.57040000000001</v>
      </c>
      <c r="K2450">
        <v>1.12198</v>
      </c>
      <c r="L2450">
        <v>18.657679999999999</v>
      </c>
      <c r="M2450">
        <v>0.89276749999999905</v>
      </c>
      <c r="N2450">
        <v>0</v>
      </c>
      <c r="O2450">
        <v>-0.45029200000000003</v>
      </c>
      <c r="P2450">
        <v>0.91410170000000002</v>
      </c>
      <c r="Q2450">
        <v>0.14238870000000001</v>
      </c>
      <c r="R2450">
        <v>-0.37966230000000001</v>
      </c>
      <c r="S2450">
        <v>3.1086119999999999</v>
      </c>
      <c r="T2450">
        <v>-0.2315189</v>
      </c>
      <c r="U2450">
        <v>-0.51675420000000005</v>
      </c>
      <c r="V2450">
        <v>-7.7274899999999994E-2</v>
      </c>
      <c r="W2450">
        <v>0.15423879999999901</v>
      </c>
      <c r="X2450">
        <v>0.98500710000000002</v>
      </c>
      <c r="Y2450">
        <v>-0.29592180000000001</v>
      </c>
      <c r="Z2450">
        <v>4.295119E-2</v>
      </c>
      <c r="AA2450">
        <v>0.95424600000000004</v>
      </c>
      <c r="AB2450">
        <v>35</v>
      </c>
      <c r="AC2450">
        <v>14.898300000000001</v>
      </c>
      <c r="AD2450">
        <v>-1.1219821786949999</v>
      </c>
      <c r="AE2450">
        <v>-2.4249499999999902</v>
      </c>
      <c r="AF2450">
        <v>-4.51916174743796</v>
      </c>
      <c r="AG2450">
        <v>-1.1219821786949999</v>
      </c>
      <c r="AH2450">
        <v>14.315024542160501</v>
      </c>
      <c r="AI2450">
        <v>94.274448011643997</v>
      </c>
      <c r="AJ2450">
        <v>107.52057361969899</v>
      </c>
      <c r="AK2450">
        <v>15.0532918177877</v>
      </c>
      <c r="AL2450">
        <v>81.1273481923227</v>
      </c>
      <c r="AM2450">
        <v>94.4857299460446</v>
      </c>
      <c r="AN2450">
        <v>1.0000000023229201</v>
      </c>
    </row>
    <row r="2451" spans="1:40" x14ac:dyDescent="0.3">
      <c r="A2451" t="str">
        <f>"20200111150853723"</f>
        <v>20200111150853723</v>
      </c>
      <c r="B2451" t="str">
        <f>"1578726533716611"</f>
        <v>1578726533716611</v>
      </c>
      <c r="C2451" t="s">
        <v>40</v>
      </c>
      <c r="D2451">
        <v>5.2593569999999996</v>
      </c>
      <c r="E2451">
        <v>0.40858329999999998</v>
      </c>
      <c r="F2451" t="s">
        <v>92</v>
      </c>
      <c r="G2451">
        <v>-386.69099999999997</v>
      </c>
      <c r="H2451" s="1">
        <v>-2.162514E-6</v>
      </c>
      <c r="I2451">
        <v>16.266259999999999</v>
      </c>
      <c r="J2451">
        <v>-401.4101</v>
      </c>
      <c r="K2451">
        <v>1.1219680000000001</v>
      </c>
      <c r="L2451">
        <v>18.58203</v>
      </c>
      <c r="M2451">
        <v>0.89566679999999999</v>
      </c>
      <c r="N2451">
        <v>0</v>
      </c>
      <c r="O2451">
        <v>-0.44449689999999997</v>
      </c>
      <c r="P2451">
        <v>0.91632829999999998</v>
      </c>
      <c r="Q2451">
        <v>0.142155</v>
      </c>
      <c r="R2451">
        <v>-0.3743457</v>
      </c>
      <c r="S2451">
        <v>3.1108090000000002</v>
      </c>
      <c r="T2451">
        <v>-0.23457040000000001</v>
      </c>
      <c r="U2451">
        <v>-0.49996950000000001</v>
      </c>
      <c r="V2451">
        <v>-7.6618969999999995E-2</v>
      </c>
      <c r="W2451">
        <v>0.15402589999999999</v>
      </c>
      <c r="X2451">
        <v>0.98509159999999996</v>
      </c>
      <c r="Y2451">
        <v>-0.29482399999999997</v>
      </c>
      <c r="Z2451">
        <v>4.3085949999999998E-2</v>
      </c>
      <c r="AA2451">
        <v>0.95457970000000003</v>
      </c>
      <c r="AB2451">
        <v>35</v>
      </c>
      <c r="AC2451">
        <v>14.719099999999999</v>
      </c>
      <c r="AD2451">
        <v>-1.1219701625139999</v>
      </c>
      <c r="AE2451">
        <v>-2.3157700000000001</v>
      </c>
      <c r="AF2451">
        <v>-4.4436950985845201</v>
      </c>
      <c r="AG2451">
        <v>-1.1219701625139999</v>
      </c>
      <c r="AH2451">
        <v>14.13406830734</v>
      </c>
      <c r="AI2451">
        <v>94.330524205580602</v>
      </c>
      <c r="AJ2451">
        <v>107.45294116584</v>
      </c>
      <c r="AK2451">
        <v>14.858570930318599</v>
      </c>
      <c r="AL2451">
        <v>81.139693547721393</v>
      </c>
      <c r="AM2451">
        <v>94.447427310643107</v>
      </c>
      <c r="AN2451">
        <v>0.99999995241261397</v>
      </c>
    </row>
    <row r="2452" spans="1:40" x14ac:dyDescent="0.3">
      <c r="A2452" t="str">
        <f>"20200111150853734"</f>
        <v>20200111150853734</v>
      </c>
      <c r="B2452" t="str">
        <f>"1578726533726371"</f>
        <v>1578726533726371</v>
      </c>
      <c r="C2452" t="s">
        <v>40</v>
      </c>
      <c r="D2452">
        <v>5.181934</v>
      </c>
      <c r="E2452">
        <v>0.40902529999999998</v>
      </c>
      <c r="F2452" t="s">
        <v>92</v>
      </c>
      <c r="G2452">
        <v>-386.4889</v>
      </c>
      <c r="H2452" s="1">
        <v>-2.2522819999999999E-6</v>
      </c>
      <c r="I2452">
        <v>16.27824</v>
      </c>
      <c r="J2452">
        <v>-401.24720000000002</v>
      </c>
      <c r="K2452">
        <v>1.1219600000000001</v>
      </c>
      <c r="L2452">
        <v>18.506710000000002</v>
      </c>
      <c r="M2452">
        <v>0.89856420000000004</v>
      </c>
      <c r="N2452">
        <v>0</v>
      </c>
      <c r="O2452">
        <v>-0.43861060000000002</v>
      </c>
      <c r="P2452">
        <v>0.91857460000000002</v>
      </c>
      <c r="Q2452">
        <v>0.14208709999999999</v>
      </c>
      <c r="R2452">
        <v>-0.36882579999999998</v>
      </c>
      <c r="S2452">
        <v>3.1138919999999999</v>
      </c>
      <c r="T2452">
        <v>-0.23414209999999999</v>
      </c>
      <c r="U2452">
        <v>-0.48077389999999998</v>
      </c>
      <c r="V2452">
        <v>-7.6080789999999995E-2</v>
      </c>
      <c r="W2452">
        <v>0.15397449999999999</v>
      </c>
      <c r="X2452">
        <v>0.98514139999999994</v>
      </c>
      <c r="Y2452">
        <v>-0.29447010000000001</v>
      </c>
      <c r="Z2452">
        <v>4.2589969999999998E-2</v>
      </c>
      <c r="AA2452">
        <v>0.95471119999999998</v>
      </c>
      <c r="AB2452">
        <v>35</v>
      </c>
      <c r="AC2452">
        <v>14.7583</v>
      </c>
      <c r="AD2452">
        <v>-1.1219622522820001</v>
      </c>
      <c r="AE2452">
        <v>-2.2284700000000002</v>
      </c>
      <c r="AF2452">
        <v>-4.4460547863733799</v>
      </c>
      <c r="AG2452">
        <v>-1.1219622522820001</v>
      </c>
      <c r="AH2452">
        <v>14.1601438859448</v>
      </c>
      <c r="AI2452">
        <v>94.323057284250694</v>
      </c>
      <c r="AJ2452">
        <v>107.431440026453</v>
      </c>
      <c r="AK2452">
        <v>14.8840813397952</v>
      </c>
      <c r="AL2452">
        <v>81.142674581681405</v>
      </c>
      <c r="AM2452">
        <v>94.416089749554402</v>
      </c>
      <c r="AN2452">
        <v>1.00000000562561</v>
      </c>
    </row>
    <row r="2453" spans="1:40" x14ac:dyDescent="0.3">
      <c r="A2453" t="str">
        <f>"20200111150853745"</f>
        <v>20200111150853745</v>
      </c>
      <c r="B2453" t="str">
        <f>"1578726533736133"</f>
        <v>1578726533736133</v>
      </c>
      <c r="C2453" t="s">
        <v>40</v>
      </c>
      <c r="D2453">
        <v>5.183141</v>
      </c>
      <c r="E2453">
        <v>0.40945009999999998</v>
      </c>
      <c r="F2453" t="s">
        <v>92</v>
      </c>
      <c r="G2453">
        <v>-386.44369999999998</v>
      </c>
      <c r="H2453" s="1">
        <v>-2.270227E-6</v>
      </c>
      <c r="I2453">
        <v>16.297550000000001</v>
      </c>
      <c r="J2453">
        <v>-401.08440000000002</v>
      </c>
      <c r="K2453">
        <v>1.12195</v>
      </c>
      <c r="L2453">
        <v>18.43271</v>
      </c>
      <c r="M2453">
        <v>0.90141300000000002</v>
      </c>
      <c r="N2453">
        <v>0</v>
      </c>
      <c r="O2453">
        <v>-0.43272539999999998</v>
      </c>
      <c r="P2453">
        <v>0.92072679999999996</v>
      </c>
      <c r="Q2453">
        <v>0.14194079999999901</v>
      </c>
      <c r="R2453">
        <v>-0.36347570000000001</v>
      </c>
      <c r="S2453">
        <v>3.115723</v>
      </c>
      <c r="T2453">
        <v>-0.23614099999999999</v>
      </c>
      <c r="U2453">
        <v>-0.46496579999999899</v>
      </c>
      <c r="V2453">
        <v>-7.5370549999999994E-2</v>
      </c>
      <c r="W2453">
        <v>0.15385109999999999</v>
      </c>
      <c r="X2453">
        <v>0.98521519999999996</v>
      </c>
      <c r="Y2453">
        <v>-0.29302800000000001</v>
      </c>
      <c r="Z2453">
        <v>4.2499879999999997E-2</v>
      </c>
      <c r="AA2453">
        <v>0.95515879999999997</v>
      </c>
      <c r="AB2453">
        <v>35</v>
      </c>
      <c r="AC2453">
        <v>14.640700000000001</v>
      </c>
      <c r="AD2453">
        <v>-1.1219522702269999</v>
      </c>
      <c r="AE2453">
        <v>-2.1351599999999902</v>
      </c>
      <c r="AF2453">
        <v>-4.3859699414066098</v>
      </c>
      <c r="AG2453">
        <v>-1.1219522702269999</v>
      </c>
      <c r="AH2453">
        <v>14.041946733390301</v>
      </c>
      <c r="AI2453">
        <v>94.361294603185897</v>
      </c>
      <c r="AJ2453">
        <v>107.34607514522</v>
      </c>
      <c r="AK2453">
        <v>14.7537038497782</v>
      </c>
      <c r="AL2453">
        <v>81.149829518193101</v>
      </c>
      <c r="AM2453">
        <v>94.374698413465296</v>
      </c>
      <c r="AN2453">
        <v>0.99999993554477395</v>
      </c>
    </row>
    <row r="2454" spans="1:40" x14ac:dyDescent="0.3">
      <c r="A2454" t="str">
        <f>"20200111150853756"</f>
        <v>20200111150853756</v>
      </c>
      <c r="B2454" t="str">
        <f>"1578726533745892"</f>
        <v>1578726533745892</v>
      </c>
      <c r="C2454" t="s">
        <v>40</v>
      </c>
      <c r="D2454">
        <v>5.1073339999999998</v>
      </c>
      <c r="E2454">
        <v>0.409889</v>
      </c>
      <c r="F2454" t="s">
        <v>92</v>
      </c>
      <c r="G2454">
        <v>-386.38310000000001</v>
      </c>
      <c r="H2454" s="1">
        <v>-2.29644E-6</v>
      </c>
      <c r="I2454">
        <v>16.311199999999999</v>
      </c>
      <c r="J2454">
        <v>-400.92430000000002</v>
      </c>
      <c r="K2454">
        <v>1.1219410000000001</v>
      </c>
      <c r="L2454">
        <v>18.360900000000001</v>
      </c>
      <c r="M2454">
        <v>0.90417159999999996</v>
      </c>
      <c r="N2454">
        <v>0</v>
      </c>
      <c r="O2454">
        <v>-0.4269309</v>
      </c>
      <c r="P2454">
        <v>0.92286900000000005</v>
      </c>
      <c r="Q2454">
        <v>0.14159279999999999</v>
      </c>
      <c r="R2454">
        <v>-0.35814040000000003</v>
      </c>
      <c r="S2454">
        <v>3.1173709999999999</v>
      </c>
      <c r="T2454">
        <v>-0.23790629999999999</v>
      </c>
      <c r="U2454">
        <v>-0.44985960000000003</v>
      </c>
      <c r="V2454">
        <v>-7.4758989999999997E-2</v>
      </c>
      <c r="W2454">
        <v>0.15352260000000001</v>
      </c>
      <c r="X2454">
        <v>0.98531310000000005</v>
      </c>
      <c r="Y2454">
        <v>-0.29148790000000002</v>
      </c>
      <c r="Z2454">
        <v>4.2362480000000001E-2</v>
      </c>
      <c r="AA2454">
        <v>0.95563600000000004</v>
      </c>
      <c r="AB2454">
        <v>35</v>
      </c>
      <c r="AC2454">
        <v>14.5412</v>
      </c>
      <c r="AD2454">
        <v>-1.12194329644</v>
      </c>
      <c r="AE2454">
        <v>-2.0497000000000001</v>
      </c>
      <c r="AF2454">
        <v>-4.3299762447271197</v>
      </c>
      <c r="AG2454">
        <v>-1.12194329644</v>
      </c>
      <c r="AH2454">
        <v>13.942863116060201</v>
      </c>
      <c r="AI2454">
        <v>94.394363573180001</v>
      </c>
      <c r="AJ2454">
        <v>107.252256885687</v>
      </c>
      <c r="AK2454">
        <v>14.642775792639901</v>
      </c>
      <c r="AL2454">
        <v>81.168878055653394</v>
      </c>
      <c r="AM2454">
        <v>94.338908540530795</v>
      </c>
      <c r="AN2454">
        <v>1.0000000001640901</v>
      </c>
    </row>
    <row r="2455" spans="1:40" x14ac:dyDescent="0.3">
      <c r="A2455" t="str">
        <f>"20200111150853768"</f>
        <v>20200111150853768</v>
      </c>
      <c r="B2455" t="str">
        <f>"1578726533755652"</f>
        <v>1578726533755652</v>
      </c>
      <c r="C2455" t="s">
        <v>40</v>
      </c>
      <c r="D2455">
        <v>5.1270829999999998</v>
      </c>
      <c r="E2455">
        <v>0.41028110000000001</v>
      </c>
      <c r="F2455" t="s">
        <v>92</v>
      </c>
      <c r="G2455">
        <v>-386.42559999999997</v>
      </c>
      <c r="H2455" s="1">
        <v>-2.27197E-6</v>
      </c>
      <c r="I2455">
        <v>16.335809999999999</v>
      </c>
      <c r="J2455">
        <v>-400.7783</v>
      </c>
      <c r="K2455">
        <v>1.121934</v>
      </c>
      <c r="L2455">
        <v>18.297000000000001</v>
      </c>
      <c r="M2455">
        <v>0.9066438</v>
      </c>
      <c r="N2455">
        <v>0</v>
      </c>
      <c r="O2455">
        <v>-0.42165580000000003</v>
      </c>
      <c r="P2455">
        <v>0.92488879999999996</v>
      </c>
      <c r="Q2455">
        <v>0.14110629999999999</v>
      </c>
      <c r="R2455">
        <v>-0.35308630000000002</v>
      </c>
      <c r="S2455">
        <v>3.118744</v>
      </c>
      <c r="T2455">
        <v>-0.24133689999999999</v>
      </c>
      <c r="U2455">
        <v>-0.43560789999999999</v>
      </c>
      <c r="V2455">
        <v>-7.442203E-2</v>
      </c>
      <c r="W2455">
        <v>0.15304770000000001</v>
      </c>
      <c r="X2455">
        <v>0.98541250000000002</v>
      </c>
      <c r="Y2455">
        <v>-0.29021720000000001</v>
      </c>
      <c r="Z2455">
        <v>4.2557810000000001E-2</v>
      </c>
      <c r="AA2455">
        <v>0.95601400000000003</v>
      </c>
      <c r="AB2455">
        <v>35</v>
      </c>
      <c r="AC2455">
        <v>14.3527</v>
      </c>
      <c r="AD2455">
        <v>-1.1219362719699999</v>
      </c>
      <c r="AE2455">
        <v>-1.96118999999999</v>
      </c>
      <c r="AF2455">
        <v>-4.2487475012776903</v>
      </c>
      <c r="AG2455">
        <v>-1.1219362719699999</v>
      </c>
      <c r="AH2455">
        <v>13.758611763099401</v>
      </c>
      <c r="AI2455">
        <v>94.455136214255205</v>
      </c>
      <c r="AJ2455">
        <v>107.161023316298</v>
      </c>
      <c r="AK2455">
        <v>14.443337355877</v>
      </c>
      <c r="AL2455">
        <v>81.196413373694099</v>
      </c>
      <c r="AM2455">
        <v>94.318991970498104</v>
      </c>
      <c r="AN2455">
        <v>1.0000000160904301</v>
      </c>
    </row>
    <row r="2456" spans="1:40" x14ac:dyDescent="0.3">
      <c r="A2456" t="str">
        <f>"20200111150853780"</f>
        <v>20200111150853780</v>
      </c>
      <c r="B2456" t="str">
        <f>"1578726533776147"</f>
        <v>1578726533776147</v>
      </c>
      <c r="C2456" t="s">
        <v>40</v>
      </c>
      <c r="D2456">
        <v>5.1509809999999998</v>
      </c>
      <c r="E2456">
        <v>0.41107100000000002</v>
      </c>
      <c r="F2456" t="s">
        <v>92</v>
      </c>
      <c r="G2456">
        <v>-386.41379999999998</v>
      </c>
      <c r="H2456" s="1">
        <v>-2.2739400000000002E-6</v>
      </c>
      <c r="I2456">
        <v>16.356310000000001</v>
      </c>
      <c r="J2456">
        <v>-400.60160000000002</v>
      </c>
      <c r="K2456">
        <v>1.121923</v>
      </c>
      <c r="L2456">
        <v>18.220210000000002</v>
      </c>
      <c r="M2456">
        <v>0.90959109999999999</v>
      </c>
      <c r="N2456">
        <v>0</v>
      </c>
      <c r="O2456">
        <v>-0.41525970000000001</v>
      </c>
      <c r="P2456">
        <v>0.92720539999999996</v>
      </c>
      <c r="Q2456">
        <v>0.1407342</v>
      </c>
      <c r="R2456">
        <v>-0.34710819999999998</v>
      </c>
      <c r="S2456">
        <v>3.119904</v>
      </c>
      <c r="T2456">
        <v>-0.2436796</v>
      </c>
      <c r="U2456">
        <v>-0.42150880000000002</v>
      </c>
      <c r="V2456">
        <v>-7.3851440000000004E-2</v>
      </c>
      <c r="W2456">
        <v>0.15269430000000001</v>
      </c>
      <c r="X2456">
        <v>0.9855102</v>
      </c>
      <c r="Y2456">
        <v>-0.28775279999999998</v>
      </c>
      <c r="Z2456">
        <v>4.2427310000000003E-2</v>
      </c>
      <c r="AA2456">
        <v>0.95676450000000002</v>
      </c>
      <c r="AB2456">
        <v>35</v>
      </c>
      <c r="AC2456">
        <v>14.187799999999999</v>
      </c>
      <c r="AD2456">
        <v>-1.1219252739399901</v>
      </c>
      <c r="AE2456">
        <v>-1.8638999999999999</v>
      </c>
      <c r="AF2456">
        <v>-4.1710221182594003</v>
      </c>
      <c r="AG2456">
        <v>-1.1219252739399901</v>
      </c>
      <c r="AH2456">
        <v>13.5969098419299</v>
      </c>
      <c r="AI2456">
        <v>94.510438502872205</v>
      </c>
      <c r="AJ2456">
        <v>107.054049929965</v>
      </c>
      <c r="AK2456">
        <v>14.2664676455275</v>
      </c>
      <c r="AL2456">
        <v>81.216902114795602</v>
      </c>
      <c r="AM2456">
        <v>94.285579023858801</v>
      </c>
      <c r="AN2456">
        <v>0.99999996937330105</v>
      </c>
    </row>
    <row r="2457" spans="1:40" x14ac:dyDescent="0.3">
      <c r="A2457" t="str">
        <f>"20200111150853792"</f>
        <v>20200111150853792</v>
      </c>
      <c r="B2457" t="str">
        <f>"1578726533785907"</f>
        <v>1578726533785907</v>
      </c>
      <c r="C2457" t="s">
        <v>40</v>
      </c>
      <c r="D2457">
        <v>5.1766930000000002</v>
      </c>
      <c r="E2457">
        <v>0.41144960000000003</v>
      </c>
      <c r="F2457" t="s">
        <v>92</v>
      </c>
      <c r="G2457">
        <v>-386.34980000000002</v>
      </c>
      <c r="H2457" s="1">
        <v>-2.303452E-6</v>
      </c>
      <c r="I2457">
        <v>16.360520000000001</v>
      </c>
      <c r="J2457">
        <v>-400.42149999999998</v>
      </c>
      <c r="K2457">
        <v>1.1219190000000001</v>
      </c>
      <c r="L2457">
        <v>18.144349999999999</v>
      </c>
      <c r="M2457">
        <v>0.91253569999999995</v>
      </c>
      <c r="N2457">
        <v>0</v>
      </c>
      <c r="O2457">
        <v>-0.40874870000000002</v>
      </c>
      <c r="P2457">
        <v>0.92951729999999999</v>
      </c>
      <c r="Q2457">
        <v>0.140406</v>
      </c>
      <c r="R2457">
        <v>-0.34100399999999997</v>
      </c>
      <c r="S2457">
        <v>3.1203310000000002</v>
      </c>
      <c r="T2457">
        <v>-0.24563650000000001</v>
      </c>
      <c r="U2457">
        <v>-0.40716550000000001</v>
      </c>
      <c r="V2457">
        <v>-7.3294830000000005E-2</v>
      </c>
      <c r="W2457">
        <v>0.15238370000000001</v>
      </c>
      <c r="X2457">
        <v>0.98559989999999997</v>
      </c>
      <c r="Y2457">
        <v>-0.28524090000000002</v>
      </c>
      <c r="Z2457">
        <v>4.2217999999999999E-2</v>
      </c>
      <c r="AA2457">
        <v>0.95752559999999998</v>
      </c>
      <c r="AB2457">
        <v>35</v>
      </c>
      <c r="AC2457">
        <v>14.0716999999999</v>
      </c>
      <c r="AD2457">
        <v>-1.1219213034519999</v>
      </c>
      <c r="AE2457">
        <v>-1.78382999999999</v>
      </c>
      <c r="AF2457">
        <v>-4.0987568795144398</v>
      </c>
      <c r="AG2457">
        <v>-1.1219213034519999</v>
      </c>
      <c r="AH2457">
        <v>13.487067734836801</v>
      </c>
      <c r="AI2457">
        <v>94.550621166128593</v>
      </c>
      <c r="AJ2457">
        <v>106.904170670513</v>
      </c>
      <c r="AK2457">
        <v>14.1407040649531</v>
      </c>
      <c r="AL2457">
        <v>81.234909564824406</v>
      </c>
      <c r="AM2457">
        <v>94.253012398550297</v>
      </c>
      <c r="AN2457">
        <v>1.0000000435052101</v>
      </c>
    </row>
    <row r="2458" spans="1:40" x14ac:dyDescent="0.3">
      <c r="A2458" t="str">
        <f>"20200111150853803"</f>
        <v>20200111150853803</v>
      </c>
      <c r="B2458" t="str">
        <f>"1578726533795667"</f>
        <v>1578726533795667</v>
      </c>
      <c r="C2458" t="s">
        <v>40</v>
      </c>
      <c r="D2458">
        <v>5.159815</v>
      </c>
      <c r="E2458">
        <v>0.41191</v>
      </c>
      <c r="F2458" t="s">
        <v>92</v>
      </c>
      <c r="G2458">
        <v>-386.27190000000002</v>
      </c>
      <c r="H2458" s="1">
        <v>-2.3365859999999998E-6</v>
      </c>
      <c r="I2458">
        <v>16.381079999999901</v>
      </c>
      <c r="J2458">
        <v>-400.25880000000001</v>
      </c>
      <c r="K2458">
        <v>1.121912</v>
      </c>
      <c r="L2458">
        <v>18.07666</v>
      </c>
      <c r="M2458">
        <v>0.91514949999999995</v>
      </c>
      <c r="N2458">
        <v>0</v>
      </c>
      <c r="O2458">
        <v>-0.40286250000000001</v>
      </c>
      <c r="P2458">
        <v>0.93148149999999996</v>
      </c>
      <c r="Q2458">
        <v>0.14035839999999999</v>
      </c>
      <c r="R2458">
        <v>-0.33562180000000003</v>
      </c>
      <c r="S2458">
        <v>3.122131</v>
      </c>
      <c r="T2458">
        <v>-0.24755489999999999</v>
      </c>
      <c r="U2458">
        <v>-0.38906859999999999</v>
      </c>
      <c r="V2458">
        <v>-7.2644689999999998E-2</v>
      </c>
      <c r="W2458">
        <v>0.15235589999999999</v>
      </c>
      <c r="X2458">
        <v>0.98565230000000004</v>
      </c>
      <c r="Y2458">
        <v>-0.28458860000000002</v>
      </c>
      <c r="Z2458">
        <v>4.2096219999999997E-2</v>
      </c>
      <c r="AA2458">
        <v>0.95772500000000005</v>
      </c>
      <c r="AB2458">
        <v>35</v>
      </c>
      <c r="AC2458">
        <v>13.986899999999901</v>
      </c>
      <c r="AD2458">
        <v>-1.121914336586</v>
      </c>
      <c r="AE2458">
        <v>-1.6955800000000001</v>
      </c>
      <c r="AF2458">
        <v>-4.0577738872582998</v>
      </c>
      <c r="AG2458">
        <v>-1.121914336586</v>
      </c>
      <c r="AH2458">
        <v>13.3995967471139</v>
      </c>
      <c r="AI2458">
        <v>94.581534554391396</v>
      </c>
      <c r="AJ2458">
        <v>106.847785071178</v>
      </c>
      <c r="AK2458">
        <v>14.045405429677601</v>
      </c>
      <c r="AL2458">
        <v>81.236520943935403</v>
      </c>
      <c r="AM2458">
        <v>94.215200615303203</v>
      </c>
      <c r="AN2458">
        <v>1.0000000138726399</v>
      </c>
    </row>
    <row r="2459" spans="1:40" x14ac:dyDescent="0.3">
      <c r="A2459" t="str">
        <f>"20200111150853815"</f>
        <v>20200111150853815</v>
      </c>
      <c r="B2459" t="str">
        <f>"1578726533806404"</f>
        <v>1578726533806404</v>
      </c>
      <c r="C2459" t="s">
        <v>40</v>
      </c>
      <c r="D2459">
        <v>5.1779120000000001</v>
      </c>
      <c r="E2459">
        <v>0.4123329</v>
      </c>
      <c r="F2459" t="s">
        <v>92</v>
      </c>
      <c r="G2459">
        <v>-386.1925</v>
      </c>
      <c r="H2459" s="1">
        <v>-2.3721359999999998E-6</v>
      </c>
      <c r="I2459">
        <v>16.392389999999999</v>
      </c>
      <c r="J2459">
        <v>-400.08580000000001</v>
      </c>
      <c r="K2459">
        <v>1.121902</v>
      </c>
      <c r="L2459">
        <v>18.006039999999999</v>
      </c>
      <c r="M2459">
        <v>0.91788270000000005</v>
      </c>
      <c r="N2459">
        <v>0</v>
      </c>
      <c r="O2459">
        <v>-0.39659529999999998</v>
      </c>
      <c r="P2459">
        <v>0.93356810000000001</v>
      </c>
      <c r="Q2459">
        <v>0.1406531</v>
      </c>
      <c r="R2459">
        <v>-0.32964749999999998</v>
      </c>
      <c r="S2459">
        <v>3.1234440000000001</v>
      </c>
      <c r="T2459">
        <v>-0.24912239999999999</v>
      </c>
      <c r="U2459">
        <v>-0.37399290000000002</v>
      </c>
      <c r="V2459">
        <v>-7.2206939999999997E-2</v>
      </c>
      <c r="W2459">
        <v>0.1526641</v>
      </c>
      <c r="X2459">
        <v>0.98563679999999998</v>
      </c>
      <c r="Y2459">
        <v>-0.28263709999999997</v>
      </c>
      <c r="Z2459">
        <v>4.1829619999999998E-2</v>
      </c>
      <c r="AA2459">
        <v>0.95831440000000001</v>
      </c>
      <c r="AB2459">
        <v>35</v>
      </c>
      <c r="AC2459">
        <v>13.8933</v>
      </c>
      <c r="AD2459">
        <v>-1.121904372136</v>
      </c>
      <c r="AE2459">
        <v>-1.61364999999999</v>
      </c>
      <c r="AF2459">
        <v>-4.0035273798005804</v>
      </c>
      <c r="AG2459">
        <v>-1.121904372136</v>
      </c>
      <c r="AH2459">
        <v>13.3081241726829</v>
      </c>
      <c r="AI2459">
        <v>94.615384284893693</v>
      </c>
      <c r="AJ2459">
        <v>106.743038390531</v>
      </c>
      <c r="AK2459">
        <v>13.942491523991601</v>
      </c>
      <c r="AL2459">
        <v>81.218653560654204</v>
      </c>
      <c r="AM2459">
        <v>94.189956602121995</v>
      </c>
      <c r="AN2459">
        <v>1.0000000355636001</v>
      </c>
    </row>
    <row r="2460" spans="1:40" x14ac:dyDescent="0.3">
      <c r="A2460" t="str">
        <f>"20200111150853826"</f>
        <v>20200111150853826</v>
      </c>
      <c r="B2460" t="str">
        <f>"1578726533816164"</f>
        <v>1578726533816164</v>
      </c>
      <c r="C2460" t="s">
        <v>40</v>
      </c>
      <c r="D2460">
        <v>5.2147680000000003</v>
      </c>
      <c r="E2460">
        <v>0.4123329</v>
      </c>
      <c r="F2460" t="s">
        <v>92</v>
      </c>
      <c r="G2460">
        <v>-386.0478</v>
      </c>
      <c r="H2460" s="1">
        <v>-2.4387259999999999E-6</v>
      </c>
      <c r="I2460">
        <v>16.402660000000001</v>
      </c>
      <c r="J2460">
        <v>-399.93360000000001</v>
      </c>
      <c r="K2460">
        <v>1.1218980000000001</v>
      </c>
      <c r="L2460">
        <v>17.94528</v>
      </c>
      <c r="M2460">
        <v>0.9202439</v>
      </c>
      <c r="N2460">
        <v>0</v>
      </c>
      <c r="O2460">
        <v>-0.39108569999999998</v>
      </c>
      <c r="P2460">
        <v>0.93548549999999997</v>
      </c>
      <c r="Q2460">
        <v>0.14122570000000001</v>
      </c>
      <c r="R2460">
        <v>-0.32391700000000001</v>
      </c>
      <c r="S2460">
        <v>3.1250309999999999</v>
      </c>
      <c r="T2460">
        <v>-0.2497501</v>
      </c>
      <c r="U2460">
        <v>-0.35693360000000002</v>
      </c>
      <c r="V2460">
        <v>-7.2322230000000001E-2</v>
      </c>
      <c r="W2460">
        <v>0.1532319</v>
      </c>
      <c r="X2460">
        <v>0.98554019999999998</v>
      </c>
      <c r="Y2460">
        <v>-0.28211439999999999</v>
      </c>
      <c r="Z2460">
        <v>4.1510209999999999E-2</v>
      </c>
      <c r="AA2460">
        <v>0.95848230000000001</v>
      </c>
      <c r="AB2460">
        <v>35</v>
      </c>
      <c r="AC2460">
        <v>13.8858</v>
      </c>
      <c r="AD2460">
        <v>-1.1219004387260001</v>
      </c>
      <c r="AE2460">
        <v>-1.5426199999999901</v>
      </c>
      <c r="AF2460">
        <v>-3.9856582304492201</v>
      </c>
      <c r="AG2460">
        <v>-1.1219004387260001</v>
      </c>
      <c r="AH2460">
        <v>13.297235279342299</v>
      </c>
      <c r="AI2460">
        <v>94.620521790321007</v>
      </c>
      <c r="AJ2460">
        <v>106.68535863727701</v>
      </c>
      <c r="AK2460">
        <v>13.9269737631169</v>
      </c>
      <c r="AL2460">
        <v>81.185733400844597</v>
      </c>
      <c r="AM2460">
        <v>94.197032531728297</v>
      </c>
      <c r="AN2460">
        <v>1.0000000029729099</v>
      </c>
    </row>
    <row r="2461" spans="1:40" x14ac:dyDescent="0.3">
      <c r="A2461" t="str">
        <f>"20200111150853836"</f>
        <v>20200111150853836</v>
      </c>
      <c r="B2461" t="str">
        <f>"1578726533825923"</f>
        <v>1578726533825923</v>
      </c>
      <c r="C2461" t="s">
        <v>40</v>
      </c>
      <c r="D2461">
        <v>6.3746260000000001</v>
      </c>
      <c r="E2461">
        <v>0.4123329</v>
      </c>
      <c r="F2461" t="s">
        <v>92</v>
      </c>
      <c r="G2461">
        <v>-385.77140000000003</v>
      </c>
      <c r="H2461" s="1">
        <v>-2.566994E-6</v>
      </c>
      <c r="I2461">
        <v>16.416129999999999</v>
      </c>
      <c r="J2461">
        <v>-399.77910000000003</v>
      </c>
      <c r="K2461">
        <v>1.121891</v>
      </c>
      <c r="L2461">
        <v>17.884309999999999</v>
      </c>
      <c r="M2461">
        <v>0.92260279999999995</v>
      </c>
      <c r="N2461">
        <v>0</v>
      </c>
      <c r="O2461">
        <v>-0.38548769999999999</v>
      </c>
      <c r="P2461">
        <v>0.93725729999999996</v>
      </c>
      <c r="Q2461">
        <v>0.14184050000000001</v>
      </c>
      <c r="R2461">
        <v>-0.31848070000000001</v>
      </c>
      <c r="S2461">
        <v>3.12738</v>
      </c>
      <c r="T2461">
        <v>-0.24774489999999999</v>
      </c>
      <c r="U2461">
        <v>-0.337677</v>
      </c>
      <c r="V2461">
        <v>-7.2035070000000007E-2</v>
      </c>
      <c r="W2461">
        <v>0.1538553</v>
      </c>
      <c r="X2461">
        <v>0.98546409999999995</v>
      </c>
      <c r="Y2461">
        <v>-0.28224840000000001</v>
      </c>
      <c r="Z2461">
        <v>4.0767190000000002E-2</v>
      </c>
      <c r="AA2461">
        <v>0.95847479999999996</v>
      </c>
      <c r="AB2461">
        <v>35</v>
      </c>
      <c r="AC2461">
        <v>14.0077</v>
      </c>
      <c r="AD2461">
        <v>-1.121893566994</v>
      </c>
      <c r="AE2461">
        <v>-1.46818</v>
      </c>
      <c r="AF2461">
        <v>-4.0201528905112998</v>
      </c>
      <c r="AG2461">
        <v>-1.121893566994</v>
      </c>
      <c r="AH2461">
        <v>13.405821460456099</v>
      </c>
      <c r="AI2461">
        <v>94.583045673812506</v>
      </c>
      <c r="AJ2461">
        <v>106.69299564502199</v>
      </c>
      <c r="AK2461">
        <v>14.0405243302512</v>
      </c>
      <c r="AL2461">
        <v>81.149586538041802</v>
      </c>
      <c r="AM2461">
        <v>94.180748822951301</v>
      </c>
      <c r="AN2461">
        <v>0.99999999851840204</v>
      </c>
    </row>
    <row r="2462" spans="1:40" x14ac:dyDescent="0.3">
      <c r="A2462" t="str">
        <f>"20200111150853848"</f>
        <v>20200111150853848</v>
      </c>
      <c r="B2462" t="str">
        <f>"1578726533846419"</f>
        <v>1578726533846419</v>
      </c>
      <c r="C2462" t="s">
        <v>40</v>
      </c>
      <c r="D2462">
        <v>5.1941100000000002</v>
      </c>
      <c r="E2462">
        <v>0.41316049999999899</v>
      </c>
      <c r="F2462" t="s">
        <v>92</v>
      </c>
      <c r="G2462">
        <v>-385.48450000000003</v>
      </c>
      <c r="H2462" s="1">
        <v>-2.7009740000000002E-6</v>
      </c>
      <c r="I2462">
        <v>16.425229999999999</v>
      </c>
      <c r="J2462">
        <v>-399.62389999999999</v>
      </c>
      <c r="K2462">
        <v>1.121883</v>
      </c>
      <c r="L2462">
        <v>17.824619999999999</v>
      </c>
      <c r="M2462">
        <v>0.92493049999999999</v>
      </c>
      <c r="N2462">
        <v>0</v>
      </c>
      <c r="O2462">
        <v>-0.37986829999999999</v>
      </c>
      <c r="P2462">
        <v>0.93915170000000003</v>
      </c>
      <c r="Q2462">
        <v>0.1420545</v>
      </c>
      <c r="R2462">
        <v>-0.31275249999999999</v>
      </c>
      <c r="S2462">
        <v>3.1294249999999999</v>
      </c>
      <c r="T2462">
        <v>-0.24560979999999999</v>
      </c>
      <c r="U2462">
        <v>-0.31942749999999998</v>
      </c>
      <c r="V2462">
        <v>-7.2048639999999997E-2</v>
      </c>
      <c r="W2462">
        <v>0.15406819999999999</v>
      </c>
      <c r="X2462">
        <v>0.98542980000000002</v>
      </c>
      <c r="Y2462">
        <v>-0.28206160000000002</v>
      </c>
      <c r="Z2462">
        <v>3.9996450000000003E-2</v>
      </c>
      <c r="AA2462">
        <v>0.95856229999999998</v>
      </c>
      <c r="AB2462">
        <v>35</v>
      </c>
      <c r="AC2462">
        <v>14.139399999999901</v>
      </c>
      <c r="AD2462">
        <v>-1.121885700974</v>
      </c>
      <c r="AE2462">
        <v>-1.3993899999999999</v>
      </c>
      <c r="AF2462">
        <v>-4.05192477563644</v>
      </c>
      <c r="AG2462">
        <v>-1.121885700974</v>
      </c>
      <c r="AH2462">
        <v>13.5266005291959</v>
      </c>
      <c r="AI2462">
        <v>94.542672964104199</v>
      </c>
      <c r="AJ2462">
        <v>106.675709863588</v>
      </c>
      <c r="AK2462">
        <v>14.1649441859087</v>
      </c>
      <c r="AL2462">
        <v>81.137240669206406</v>
      </c>
      <c r="AM2462">
        <v>94.181678631995197</v>
      </c>
      <c r="AN2462">
        <v>0.99999995375256301</v>
      </c>
    </row>
    <row r="2463" spans="1:40" x14ac:dyDescent="0.3">
      <c r="A2463" t="str">
        <f>"20200111150853860"</f>
        <v>20200111150853860</v>
      </c>
      <c r="B2463" t="str">
        <f>"1578726533856179"</f>
        <v>1578726533856179</v>
      </c>
      <c r="C2463" t="s">
        <v>40</v>
      </c>
      <c r="D2463">
        <v>5.4671379999999896</v>
      </c>
      <c r="E2463">
        <v>0.41307670000000002</v>
      </c>
      <c r="F2463" t="s">
        <v>92</v>
      </c>
      <c r="G2463">
        <v>-385.48340000000002</v>
      </c>
      <c r="H2463" s="1">
        <v>-2.6991129999999999E-6</v>
      </c>
      <c r="I2463">
        <v>16.438669999999998</v>
      </c>
      <c r="J2463">
        <v>-399.45</v>
      </c>
      <c r="K2463">
        <v>1.121872</v>
      </c>
      <c r="L2463">
        <v>17.758299999999998</v>
      </c>
      <c r="M2463">
        <v>0.92749709999999996</v>
      </c>
      <c r="N2463">
        <v>0</v>
      </c>
      <c r="O2463">
        <v>-0.37355860000000002</v>
      </c>
      <c r="P2463">
        <v>0.94125570000000003</v>
      </c>
      <c r="Q2463">
        <v>0.14185049999999999</v>
      </c>
      <c r="R2463">
        <v>-0.306457599999999</v>
      </c>
      <c r="S2463">
        <v>3.1298219999999999</v>
      </c>
      <c r="T2463">
        <v>-0.2483157</v>
      </c>
      <c r="U2463">
        <v>-0.3067627</v>
      </c>
      <c r="V2463">
        <v>-7.1934849999999995E-2</v>
      </c>
      <c r="W2463">
        <v>0.153868</v>
      </c>
      <c r="X2463">
        <v>0.9854695</v>
      </c>
      <c r="Y2463">
        <v>-0.27936230000000001</v>
      </c>
      <c r="Z2463">
        <v>3.9873640000000002E-2</v>
      </c>
      <c r="AA2463">
        <v>0.95935749999999997</v>
      </c>
      <c r="AB2463">
        <v>35</v>
      </c>
      <c r="AC2463">
        <v>13.9665999999999</v>
      </c>
      <c r="AD2463">
        <v>-1.121874699113</v>
      </c>
      <c r="AE2463">
        <v>-1.3196299999999901</v>
      </c>
      <c r="AF2463">
        <v>-3.9684177063280299</v>
      </c>
      <c r="AG2463">
        <v>-1.121874699113</v>
      </c>
      <c r="AH2463">
        <v>13.362849117641399</v>
      </c>
      <c r="AI2463">
        <v>94.601292189597402</v>
      </c>
      <c r="AJ2463">
        <v>106.540046437999</v>
      </c>
      <c r="AK2463">
        <v>13.9847301895051</v>
      </c>
      <c r="AL2463">
        <v>81.148850658899093</v>
      </c>
      <c r="AM2463">
        <v>94.174930070919103</v>
      </c>
      <c r="AN2463">
        <v>1.0000000597493801</v>
      </c>
    </row>
    <row r="2464" spans="1:40" x14ac:dyDescent="0.3">
      <c r="A2464" t="str">
        <f>"20200111150853876"</f>
        <v>20200111150853876</v>
      </c>
      <c r="B2464" t="str">
        <f>"1578726533865939"</f>
        <v>1578726533865939</v>
      </c>
      <c r="C2464" t="s">
        <v>40</v>
      </c>
      <c r="D2464">
        <v>5.2548680000000001</v>
      </c>
      <c r="E2464">
        <v>0.41305350000000002</v>
      </c>
      <c r="F2464" t="s">
        <v>92</v>
      </c>
      <c r="G2464">
        <v>-385.26830000000001</v>
      </c>
      <c r="H2464" s="1">
        <v>-2.7954879999999998E-6</v>
      </c>
      <c r="I2464">
        <v>16.468579999999999</v>
      </c>
      <c r="J2464">
        <v>-399.19810000000001</v>
      </c>
      <c r="K2464">
        <v>1.1218570000000001</v>
      </c>
      <c r="L2464">
        <v>17.665469999999999</v>
      </c>
      <c r="M2464">
        <v>0.93112220000000001</v>
      </c>
      <c r="N2464">
        <v>0</v>
      </c>
      <c r="O2464">
        <v>-0.36442869999999999</v>
      </c>
      <c r="P2464">
        <v>0.94423369999999995</v>
      </c>
      <c r="Q2464">
        <v>0.14094699999999999</v>
      </c>
      <c r="R2464">
        <v>-0.29758489999999999</v>
      </c>
      <c r="S2464">
        <v>3.131866</v>
      </c>
      <c r="T2464">
        <v>-0.24775440000000001</v>
      </c>
      <c r="U2464">
        <v>-0.28482059999999998</v>
      </c>
      <c r="V2464">
        <v>-7.1546349999999995E-2</v>
      </c>
      <c r="W2464">
        <v>0.1529779</v>
      </c>
      <c r="X2464">
        <v>0.98563630000000002</v>
      </c>
      <c r="Y2464">
        <v>-0.27669829999999901</v>
      </c>
      <c r="Z2464">
        <v>3.9003259999999998E-2</v>
      </c>
      <c r="AA2464">
        <v>0.96016500000000005</v>
      </c>
      <c r="AB2464">
        <v>35</v>
      </c>
      <c r="AC2464">
        <v>13.9298</v>
      </c>
      <c r="AD2464">
        <v>-1.1218597954880001</v>
      </c>
      <c r="AE2464">
        <v>-1.19689</v>
      </c>
      <c r="AF2464">
        <v>-3.9370216039249999</v>
      </c>
      <c r="AG2464">
        <v>-1.1218597954880001</v>
      </c>
      <c r="AH2464">
        <v>13.322113162830901</v>
      </c>
      <c r="AI2464">
        <v>94.617053461071905</v>
      </c>
      <c r="AJ2464">
        <v>106.463743660978</v>
      </c>
      <c r="AK2464">
        <v>13.936908108823101</v>
      </c>
      <c r="AL2464">
        <v>81.200460282415406</v>
      </c>
      <c r="AM2464">
        <v>94.151761259101406</v>
      </c>
      <c r="AN2464">
        <v>1.0000000169822101</v>
      </c>
    </row>
    <row r="2465" spans="1:40" x14ac:dyDescent="0.3">
      <c r="A2465" t="str">
        <f>"20200111150853888"</f>
        <v>20200111150853888</v>
      </c>
      <c r="B2465" t="str">
        <f>"1578726533886435"</f>
        <v>1578726533886435</v>
      </c>
      <c r="C2465" t="s">
        <v>40</v>
      </c>
      <c r="D2465">
        <v>5.2940459999999998</v>
      </c>
      <c r="E2465">
        <v>0.41299160000000001</v>
      </c>
      <c r="F2465" t="s">
        <v>92</v>
      </c>
      <c r="G2465">
        <v>-385.10820000000001</v>
      </c>
      <c r="H2465" s="1">
        <v>-2.861889E-6</v>
      </c>
      <c r="I2465">
        <v>16.521000000000001</v>
      </c>
      <c r="J2465">
        <v>-399.03640000000001</v>
      </c>
      <c r="K2465">
        <v>1.1218520000000001</v>
      </c>
      <c r="L2465">
        <v>17.60754</v>
      </c>
      <c r="M2465">
        <v>0.9333939</v>
      </c>
      <c r="N2465">
        <v>0</v>
      </c>
      <c r="O2465">
        <v>-0.35857020000000001</v>
      </c>
      <c r="P2465">
        <v>0.94602900000000001</v>
      </c>
      <c r="Q2465">
        <v>0.14077790000000001</v>
      </c>
      <c r="R2465">
        <v>-0.291908099999999</v>
      </c>
      <c r="S2465">
        <v>3.1341860000000001</v>
      </c>
      <c r="T2465">
        <v>-0.24954899999999999</v>
      </c>
      <c r="U2465">
        <v>-0.25457760000000001</v>
      </c>
      <c r="V2465">
        <v>-7.1273680000000006E-2</v>
      </c>
      <c r="W2465">
        <v>0.1528168</v>
      </c>
      <c r="X2465">
        <v>0.98568109999999998</v>
      </c>
      <c r="Y2465">
        <v>-0.2799005</v>
      </c>
      <c r="Z2465">
        <v>3.8975700000000002E-2</v>
      </c>
      <c r="AA2465">
        <v>0.95923749999999997</v>
      </c>
      <c r="AB2465">
        <v>35</v>
      </c>
      <c r="AC2465">
        <v>13.9282</v>
      </c>
      <c r="AD2465">
        <v>-1.1218548618889901</v>
      </c>
      <c r="AE2465">
        <v>-1.0865399999999901</v>
      </c>
      <c r="AF2465">
        <v>-3.9549691501535502</v>
      </c>
      <c r="AG2465">
        <v>-1.1218548618889901</v>
      </c>
      <c r="AH2465">
        <v>13.305659171205701</v>
      </c>
      <c r="AI2465">
        <v>94.620568755176393</v>
      </c>
      <c r="AJ2465">
        <v>106.55403532135701</v>
      </c>
      <c r="AK2465">
        <v>13.926266739155199</v>
      </c>
      <c r="AL2465">
        <v>81.209800935145793</v>
      </c>
      <c r="AM2465">
        <v>94.135806181561605</v>
      </c>
      <c r="AN2465">
        <v>1.0000000713600901</v>
      </c>
    </row>
    <row r="2466" spans="1:40" x14ac:dyDescent="0.3">
      <c r="A2466" t="str">
        <f>"20200111150853901"</f>
        <v>20200111150853901</v>
      </c>
      <c r="B2466" t="str">
        <f>"1578726533896196"</f>
        <v>1578726533896196</v>
      </c>
      <c r="C2466" t="s">
        <v>40</v>
      </c>
      <c r="D2466">
        <v>5.281644</v>
      </c>
      <c r="E2466">
        <v>0.4129602</v>
      </c>
      <c r="F2466" t="s">
        <v>92</v>
      </c>
      <c r="G2466">
        <v>-384.90390000000002</v>
      </c>
      <c r="H2466" s="1">
        <v>-2.9537249999999998E-6</v>
      </c>
      <c r="I2466">
        <v>16.54777</v>
      </c>
      <c r="J2466">
        <v>-398.86149999999998</v>
      </c>
      <c r="K2466">
        <v>1.1218440000000001</v>
      </c>
      <c r="L2466">
        <v>17.545439999999999</v>
      </c>
      <c r="M2466">
        <v>0.93580969999999997</v>
      </c>
      <c r="N2466">
        <v>0</v>
      </c>
      <c r="O2466">
        <v>-0.35221740000000001</v>
      </c>
      <c r="P2466">
        <v>0.94795240000000003</v>
      </c>
      <c r="Q2466">
        <v>0.14091389999999901</v>
      </c>
      <c r="R2466">
        <v>-0.28553420000000002</v>
      </c>
      <c r="S2466">
        <v>3.1356809999999999</v>
      </c>
      <c r="T2466">
        <v>-0.24891279999999999</v>
      </c>
      <c r="U2466">
        <v>-0.23513790000000001</v>
      </c>
      <c r="V2466">
        <v>-7.1201650000000005E-2</v>
      </c>
      <c r="W2466">
        <v>0.152954799999999</v>
      </c>
      <c r="X2466">
        <v>0.98566480000000001</v>
      </c>
      <c r="Y2466">
        <v>-0.27935559999999998</v>
      </c>
      <c r="Z2466">
        <v>3.8380869999999997E-2</v>
      </c>
      <c r="AA2466">
        <v>0.9594203</v>
      </c>
      <c r="AB2466">
        <v>35</v>
      </c>
      <c r="AC2466">
        <v>13.9575999999999</v>
      </c>
      <c r="AD2466">
        <v>-1.121846953725</v>
      </c>
      <c r="AE2466">
        <v>-0.99766999999999895</v>
      </c>
      <c r="AF2466">
        <v>-3.9574488779513999</v>
      </c>
      <c r="AG2466">
        <v>-1.121846953725</v>
      </c>
      <c r="AH2466">
        <v>13.328747929069101</v>
      </c>
      <c r="AI2466">
        <v>94.612979261246807</v>
      </c>
      <c r="AJ2466">
        <v>106.536721575191</v>
      </c>
      <c r="AK2466">
        <v>13.9490309185207</v>
      </c>
      <c r="AL2466">
        <v>81.201799176572905</v>
      </c>
      <c r="AM2466">
        <v>94.131709058602794</v>
      </c>
      <c r="AN2466">
        <v>0.99999997188239997</v>
      </c>
    </row>
    <row r="2467" spans="1:40" x14ac:dyDescent="0.3">
      <c r="A2467" t="str">
        <f>"20200111150853911"</f>
        <v>20200111150853911</v>
      </c>
      <c r="B2467" t="str">
        <f>"1578726533905955"</f>
        <v>1578726533905955</v>
      </c>
      <c r="C2467" t="s">
        <v>40</v>
      </c>
      <c r="D2467">
        <v>5.2993610000000002</v>
      </c>
      <c r="E2467">
        <v>0.41295130000000002</v>
      </c>
      <c r="F2467" t="s">
        <v>92</v>
      </c>
      <c r="G2467">
        <v>-384.66419999999999</v>
      </c>
      <c r="H2467" s="1">
        <v>-3.061653E-6</v>
      </c>
      <c r="I2467">
        <v>16.578139999999902</v>
      </c>
      <c r="J2467">
        <v>-398.70179999999999</v>
      </c>
      <c r="K2467">
        <v>1.1218379999999999</v>
      </c>
      <c r="L2467">
        <v>17.490690000000001</v>
      </c>
      <c r="M2467">
        <v>0.93796840000000004</v>
      </c>
      <c r="N2467">
        <v>0</v>
      </c>
      <c r="O2467">
        <v>-0.34642779999999901</v>
      </c>
      <c r="P2467">
        <v>0.94968059999999999</v>
      </c>
      <c r="Q2467">
        <v>0.14082030000000001</v>
      </c>
      <c r="R2467">
        <v>-0.279779</v>
      </c>
      <c r="S2467">
        <v>3.1372070000000001</v>
      </c>
      <c r="T2467">
        <v>-0.24789620000000001</v>
      </c>
      <c r="U2467">
        <v>-0.21374509999999999</v>
      </c>
      <c r="V2467">
        <v>-7.1088429999999994E-2</v>
      </c>
      <c r="W2467">
        <v>0.1528648</v>
      </c>
      <c r="X2467">
        <v>0.98568699999999998</v>
      </c>
      <c r="Y2467">
        <v>-0.2799991</v>
      </c>
      <c r="Z2467">
        <v>3.7818629999999999E-2</v>
      </c>
      <c r="AA2467">
        <v>0.95925499999999997</v>
      </c>
      <c r="AB2467">
        <v>35</v>
      </c>
      <c r="AC2467">
        <v>14.0375999999999</v>
      </c>
      <c r="AD2467">
        <v>-1.1218410616529999</v>
      </c>
      <c r="AE2467">
        <v>-0.91255000000000297</v>
      </c>
      <c r="AF2467">
        <v>-3.9821529075955402</v>
      </c>
      <c r="AG2467">
        <v>-1.1218410616529999</v>
      </c>
      <c r="AH2467">
        <v>13.3991109703788</v>
      </c>
      <c r="AI2467">
        <v>94.588479885655602</v>
      </c>
      <c r="AJ2467">
        <v>106.551702197222</v>
      </c>
      <c r="AK2467">
        <v>14.0232750790822</v>
      </c>
      <c r="AL2467">
        <v>81.207017736375903</v>
      </c>
      <c r="AM2467">
        <v>94.125069208178004</v>
      </c>
      <c r="AN2467">
        <v>1.0000000369639499</v>
      </c>
    </row>
    <row r="2468" spans="1:40" x14ac:dyDescent="0.3">
      <c r="A2468" t="str">
        <f>"20200111150853922"</f>
        <v>20200111150853922</v>
      </c>
      <c r="B2468" t="str">
        <f>"1578726533915715"</f>
        <v>1578726533915715</v>
      </c>
      <c r="C2468" t="s">
        <v>40</v>
      </c>
      <c r="D2468">
        <v>5.3146509999999996</v>
      </c>
      <c r="E2468">
        <v>0.41298210000000002</v>
      </c>
      <c r="F2468" t="s">
        <v>92</v>
      </c>
      <c r="G2468">
        <v>-384.5145</v>
      </c>
      <c r="H2468" s="1">
        <v>-3.1265559999999999E-6</v>
      </c>
      <c r="I2468">
        <v>16.610959999999999</v>
      </c>
      <c r="J2468">
        <v>-398.53930000000003</v>
      </c>
      <c r="K2468">
        <v>1.121837</v>
      </c>
      <c r="L2468">
        <v>17.435459999999999</v>
      </c>
      <c r="M2468">
        <v>0.9401275</v>
      </c>
      <c r="N2468">
        <v>0</v>
      </c>
      <c r="O2468">
        <v>-0.34052500000000002</v>
      </c>
      <c r="P2468">
        <v>0.95136299999999996</v>
      </c>
      <c r="Q2468">
        <v>0.14073569999999999</v>
      </c>
      <c r="R2468">
        <v>-0.274047599999999</v>
      </c>
      <c r="S2468">
        <v>3.138458</v>
      </c>
      <c r="T2468">
        <v>-0.2481691</v>
      </c>
      <c r="U2468">
        <v>-0.19461059999999999</v>
      </c>
      <c r="V2468">
        <v>-7.0834519999999998E-2</v>
      </c>
      <c r="W2468">
        <v>0.1527876</v>
      </c>
      <c r="X2468">
        <v>0.98571719999999896</v>
      </c>
      <c r="Y2468">
        <v>-0.27983049999999998</v>
      </c>
      <c r="Z2468">
        <v>3.741274E-2</v>
      </c>
      <c r="AA2468">
        <v>0.95932019999999996</v>
      </c>
      <c r="AB2468">
        <v>35</v>
      </c>
      <c r="AC2468">
        <v>14.024800000000001</v>
      </c>
      <c r="AD2468">
        <v>-1.1218401265560001</v>
      </c>
      <c r="AE2468">
        <v>-0.82449999999999601</v>
      </c>
      <c r="AF2468">
        <v>-3.9757156006226899</v>
      </c>
      <c r="AG2468">
        <v>-1.1218401265560001</v>
      </c>
      <c r="AH2468">
        <v>13.381902758726101</v>
      </c>
      <c r="AI2468">
        <v>94.5944747993791</v>
      </c>
      <c r="AJ2468">
        <v>106.546496811701</v>
      </c>
      <c r="AK2468">
        <v>14.0050048643543</v>
      </c>
      <c r="AL2468">
        <v>81.211493123894698</v>
      </c>
      <c r="AM2468">
        <v>94.110260587612899</v>
      </c>
      <c r="AN2468">
        <v>0.99999998915661503</v>
      </c>
    </row>
    <row r="2469" spans="1:40" x14ac:dyDescent="0.3">
      <c r="A2469" t="str">
        <f>"20200111150853934"</f>
        <v>20200111150853934</v>
      </c>
      <c r="B2469" t="str">
        <f>"1578726533926451"</f>
        <v>1578726533926451</v>
      </c>
      <c r="C2469" t="s">
        <v>40</v>
      </c>
      <c r="D2469">
        <v>5.2676350000000003</v>
      </c>
      <c r="E2469">
        <v>0.41312749999999998</v>
      </c>
      <c r="F2469" t="s">
        <v>92</v>
      </c>
      <c r="G2469">
        <v>-384.36660000000001</v>
      </c>
      <c r="H2469" s="1">
        <v>-3.1912E-6</v>
      </c>
      <c r="I2469">
        <v>16.64066</v>
      </c>
      <c r="J2469">
        <v>-398.36009999999999</v>
      </c>
      <c r="K2469">
        <v>1.121831</v>
      </c>
      <c r="L2469">
        <v>17.376249999999999</v>
      </c>
      <c r="M2469">
        <v>0.94245900000000005</v>
      </c>
      <c r="N2469">
        <v>0</v>
      </c>
      <c r="O2469">
        <v>-0.33401829999999999</v>
      </c>
      <c r="P2469">
        <v>0.95320830000000001</v>
      </c>
      <c r="Q2469">
        <v>0.1409186</v>
      </c>
      <c r="R2469">
        <v>-0.26746170000000002</v>
      </c>
      <c r="S2469">
        <v>3.1394039999999999</v>
      </c>
      <c r="T2469">
        <v>-0.2485</v>
      </c>
      <c r="U2469">
        <v>-0.17605589999999999</v>
      </c>
      <c r="V2469">
        <v>-7.0831080000000005E-2</v>
      </c>
      <c r="W2469">
        <v>0.15297040000000001</v>
      </c>
      <c r="X2469">
        <v>0.98568909999999998</v>
      </c>
      <c r="Y2469">
        <v>-0.27888170000000001</v>
      </c>
      <c r="Z2469">
        <v>3.6939729999999997E-2</v>
      </c>
      <c r="AA2469">
        <v>0.95961479999999999</v>
      </c>
      <c r="AB2469">
        <v>35</v>
      </c>
      <c r="AC2469">
        <v>13.9934999999999</v>
      </c>
      <c r="AD2469">
        <v>-1.1218341912000001</v>
      </c>
      <c r="AE2469">
        <v>-0.73558999999999797</v>
      </c>
      <c r="AF2469">
        <v>-3.95587128807112</v>
      </c>
      <c r="AG2469">
        <v>-1.1218341912000001</v>
      </c>
      <c r="AH2469">
        <v>13.349800990946701</v>
      </c>
      <c r="AI2469">
        <v>94.606416815890896</v>
      </c>
      <c r="AJ2469">
        <v>106.505839742502</v>
      </c>
      <c r="AK2469">
        <v>13.968701303206799</v>
      </c>
      <c r="AL2469">
        <v>81.200894910560507</v>
      </c>
      <c r="AM2469">
        <v>94.1101784294178</v>
      </c>
      <c r="AN2469">
        <v>0.999999993514468</v>
      </c>
    </row>
    <row r="2470" spans="1:40" x14ac:dyDescent="0.3">
      <c r="A2470" t="str">
        <f>"20200111150853946"</f>
        <v>20200111150853946</v>
      </c>
      <c r="B2470" t="str">
        <f>"1578726533936211"</f>
        <v>1578726533936211</v>
      </c>
      <c r="C2470" t="s">
        <v>40</v>
      </c>
      <c r="D2470">
        <v>5.2625970000000004</v>
      </c>
      <c r="E2470">
        <v>0.41327209999999998</v>
      </c>
      <c r="F2470" t="s">
        <v>92</v>
      </c>
      <c r="G2470">
        <v>-384.21519999999998</v>
      </c>
      <c r="H2470" s="1">
        <v>-3.2567020000000001E-6</v>
      </c>
      <c r="I2470">
        <v>16.674959999999999</v>
      </c>
      <c r="J2470">
        <v>-398.18520000000001</v>
      </c>
      <c r="K2470">
        <v>1.1218269999999999</v>
      </c>
      <c r="L2470">
        <v>17.319759999999999</v>
      </c>
      <c r="M2470">
        <v>0.94468600000000003</v>
      </c>
      <c r="N2470">
        <v>0</v>
      </c>
      <c r="O2470">
        <v>-0.32766650000000003</v>
      </c>
      <c r="P2470">
        <v>0.95483969999999996</v>
      </c>
      <c r="Q2470">
        <v>0.14106379999999999</v>
      </c>
      <c r="R2470">
        <v>-0.2614996</v>
      </c>
      <c r="S2470">
        <v>3.1404420000000002</v>
      </c>
      <c r="T2470">
        <v>-0.24906880000000001</v>
      </c>
      <c r="U2470">
        <v>-0.1557007</v>
      </c>
      <c r="V2470">
        <v>-7.0349449999999994E-2</v>
      </c>
      <c r="W2470">
        <v>0.15312919999999999</v>
      </c>
      <c r="X2470">
        <v>0.98569890000000004</v>
      </c>
      <c r="Y2470">
        <v>-0.27865119999999999</v>
      </c>
      <c r="Z2470">
        <v>3.6538170000000002E-2</v>
      </c>
      <c r="AA2470">
        <v>0.95969709999999997</v>
      </c>
      <c r="AB2470">
        <v>35</v>
      </c>
      <c r="AC2470">
        <v>13.97</v>
      </c>
      <c r="AD2470">
        <v>-1.121830256702</v>
      </c>
      <c r="AE2470">
        <v>-0.64480000000000004</v>
      </c>
      <c r="AF2470">
        <v>-3.94339528601594</v>
      </c>
      <c r="AG2470">
        <v>-1.121830256702</v>
      </c>
      <c r="AH2470">
        <v>13.3241653547087</v>
      </c>
      <c r="AI2470">
        <v>94.6156833822903</v>
      </c>
      <c r="AJ2470">
        <v>106.486548847631</v>
      </c>
      <c r="AK2470">
        <v>13.940668990627501</v>
      </c>
      <c r="AL2470">
        <v>81.191687563368404</v>
      </c>
      <c r="AM2470">
        <v>94.0822848168131</v>
      </c>
      <c r="AN2470">
        <v>0.99999995923457496</v>
      </c>
    </row>
    <row r="2471" spans="1:40" x14ac:dyDescent="0.3">
      <c r="A2471" t="str">
        <f>"20200111150853958"</f>
        <v>20200111150853958</v>
      </c>
      <c r="B2471" t="str">
        <f>"1578726533955731"</f>
        <v>1578726533955731</v>
      </c>
      <c r="C2471" t="s">
        <v>40</v>
      </c>
      <c r="D2471">
        <v>5.1891590000000001</v>
      </c>
      <c r="E2471">
        <v>0.41367500000000001</v>
      </c>
      <c r="F2471" t="s">
        <v>92</v>
      </c>
      <c r="G2471">
        <v>-383.99669999999998</v>
      </c>
      <c r="H2471" s="1">
        <v>-3.3554469999999999E-6</v>
      </c>
      <c r="I2471">
        <v>16.700530000000001</v>
      </c>
      <c r="J2471">
        <v>-398.00490000000002</v>
      </c>
      <c r="K2471">
        <v>1.1218239999999999</v>
      </c>
      <c r="L2471">
        <v>17.262419999999999</v>
      </c>
      <c r="M2471">
        <v>0.94693450000000001</v>
      </c>
      <c r="N2471">
        <v>0</v>
      </c>
      <c r="O2471">
        <v>-0.3211116</v>
      </c>
      <c r="P2471">
        <v>0.95642760000000004</v>
      </c>
      <c r="Q2471">
        <v>0.14105379999999901</v>
      </c>
      <c r="R2471">
        <v>-0.25563799999999998</v>
      </c>
      <c r="S2471">
        <v>3.141022</v>
      </c>
      <c r="T2471">
        <v>-0.24834790000000001</v>
      </c>
      <c r="U2471">
        <v>-0.13708499999999901</v>
      </c>
      <c r="V2471">
        <v>-6.9560120000000003E-2</v>
      </c>
      <c r="W2471">
        <v>0.1531429</v>
      </c>
      <c r="X2471">
        <v>0.98575279999999998</v>
      </c>
      <c r="Y2471">
        <v>-0.27771469999999998</v>
      </c>
      <c r="Z2471">
        <v>3.590728E-2</v>
      </c>
      <c r="AA2471">
        <v>0.95999230000000002</v>
      </c>
      <c r="AB2471">
        <v>35</v>
      </c>
      <c r="AC2471">
        <v>14.0082</v>
      </c>
      <c r="AD2471">
        <v>-1.121827355447</v>
      </c>
      <c r="AE2471">
        <v>-0.561890000000001</v>
      </c>
      <c r="AF2471">
        <v>-3.9412875128859199</v>
      </c>
      <c r="AG2471">
        <v>-1.121827355447</v>
      </c>
      <c r="AH2471">
        <v>13.3610859270083</v>
      </c>
      <c r="AI2471">
        <v>94.604187136125006</v>
      </c>
      <c r="AJ2471">
        <v>106.435140695903</v>
      </c>
      <c r="AK2471">
        <v>13.9753662214468</v>
      </c>
      <c r="AL2471">
        <v>81.190893341470598</v>
      </c>
      <c r="AM2471">
        <v>94.036413330038101</v>
      </c>
      <c r="AN2471">
        <v>0.99999997041133104</v>
      </c>
    </row>
    <row r="2472" spans="1:40" x14ac:dyDescent="0.3">
      <c r="A2472" t="str">
        <f>"20200111150853970"</f>
        <v>20200111150853970</v>
      </c>
      <c r="B2472" t="str">
        <f>"1578726533966467"</f>
        <v>1578726533966467</v>
      </c>
      <c r="C2472" t="s">
        <v>40</v>
      </c>
      <c r="D2472">
        <v>5.2081609999999996</v>
      </c>
      <c r="E2472">
        <v>0.41384209999999999</v>
      </c>
      <c r="F2472" t="s">
        <v>92</v>
      </c>
      <c r="G2472">
        <v>-383.8066</v>
      </c>
      <c r="H2472" s="1">
        <v>-3.4423250000000001E-6</v>
      </c>
      <c r="I2472">
        <v>16.71725</v>
      </c>
      <c r="J2472">
        <v>-397.84739999999999</v>
      </c>
      <c r="K2472">
        <v>1.121821</v>
      </c>
      <c r="L2472">
        <v>17.214200000000002</v>
      </c>
      <c r="M2472">
        <v>0.948855</v>
      </c>
      <c r="N2472">
        <v>0</v>
      </c>
      <c r="O2472">
        <v>-0.31539080000000003</v>
      </c>
      <c r="P2472">
        <v>0.95766099999999998</v>
      </c>
      <c r="Q2472">
        <v>0.14111960000000001</v>
      </c>
      <c r="R2472">
        <v>-0.25093919999999997</v>
      </c>
      <c r="S2472">
        <v>3.1410520000000002</v>
      </c>
      <c r="T2472">
        <v>-0.24818000000000001</v>
      </c>
      <c r="U2472">
        <v>-0.1206055</v>
      </c>
      <c r="V2472">
        <v>-6.8445019999999995E-2</v>
      </c>
      <c r="W2472">
        <v>0.15324179999999901</v>
      </c>
      <c r="X2472">
        <v>0.98581549999999996</v>
      </c>
      <c r="Y2472">
        <v>-0.27696870000000001</v>
      </c>
      <c r="Z2472">
        <v>3.5431369999999997E-2</v>
      </c>
      <c r="AA2472">
        <v>0.96022549999999995</v>
      </c>
      <c r="AB2472">
        <v>35</v>
      </c>
      <c r="AC2472">
        <v>14.0407999999999</v>
      </c>
      <c r="AD2472">
        <v>-1.1218244423249999</v>
      </c>
      <c r="AE2472">
        <v>-0.496950000000001</v>
      </c>
      <c r="AF2472">
        <v>-3.9321371864609098</v>
      </c>
      <c r="AG2472">
        <v>-1.1218244423249999</v>
      </c>
      <c r="AH2472">
        <v>13.3953801322647</v>
      </c>
      <c r="AI2472">
        <v>94.594219819483001</v>
      </c>
      <c r="AJ2472">
        <v>106.359299579558</v>
      </c>
      <c r="AK2472">
        <v>14.005584665426101</v>
      </c>
      <c r="AL2472">
        <v>81.185159233929298</v>
      </c>
      <c r="AM2472">
        <v>93.971663620475496</v>
      </c>
      <c r="AN2472">
        <v>0.99999998503514498</v>
      </c>
    </row>
    <row r="2473" spans="1:40" x14ac:dyDescent="0.3">
      <c r="A2473" t="str">
        <f>"20200111150853982"</f>
        <v>20200111150853982</v>
      </c>
      <c r="B2473" t="str">
        <f>"1578726533976228"</f>
        <v>1578726533976228</v>
      </c>
      <c r="C2473" t="s">
        <v>40</v>
      </c>
      <c r="D2473">
        <v>5.2611559999999997</v>
      </c>
      <c r="E2473">
        <v>0.41400480000000001</v>
      </c>
      <c r="F2473" t="s">
        <v>92</v>
      </c>
      <c r="G2473">
        <v>-383.61829999999998</v>
      </c>
      <c r="H2473" s="1">
        <v>-3.5283620000000002E-6</v>
      </c>
      <c r="I2473">
        <v>16.733979999999999</v>
      </c>
      <c r="J2473">
        <v>-397.6662</v>
      </c>
      <c r="K2473">
        <v>1.1218159999999999</v>
      </c>
      <c r="L2473">
        <v>17.159269999999999</v>
      </c>
      <c r="M2473">
        <v>0.9510189</v>
      </c>
      <c r="N2473">
        <v>0</v>
      </c>
      <c r="O2473">
        <v>-0.30880479999999999</v>
      </c>
      <c r="P2473">
        <v>0.95905989999999997</v>
      </c>
      <c r="Q2473">
        <v>0.14127509999999999</v>
      </c>
      <c r="R2473">
        <v>-0.24545020000000001</v>
      </c>
      <c r="S2473">
        <v>3.141327</v>
      </c>
      <c r="T2473">
        <v>-0.24766460000000001</v>
      </c>
      <c r="U2473">
        <v>-0.1060181</v>
      </c>
      <c r="V2473">
        <v>-6.7248959999999997E-2</v>
      </c>
      <c r="W2473">
        <v>0.15343309999999999</v>
      </c>
      <c r="X2473">
        <v>0.98586810000000002</v>
      </c>
      <c r="Y2473">
        <v>-0.2747986</v>
      </c>
      <c r="Z2473">
        <v>3.4780650000000003E-2</v>
      </c>
      <c r="AA2473">
        <v>0.96087250000000002</v>
      </c>
      <c r="AB2473">
        <v>35</v>
      </c>
      <c r="AC2473">
        <v>14.0479</v>
      </c>
      <c r="AD2473">
        <v>-1.1218195283619901</v>
      </c>
      <c r="AE2473">
        <v>-0.425290000000004</v>
      </c>
      <c r="AF2473">
        <v>-3.9090929028271701</v>
      </c>
      <c r="AG2473">
        <v>-1.1218195283619901</v>
      </c>
      <c r="AH2473">
        <v>13.4070970805508</v>
      </c>
      <c r="AI2473">
        <v>94.592635649776298</v>
      </c>
      <c r="AJ2473">
        <v>106.255043519759</v>
      </c>
      <c r="AK2473">
        <v>14.0103439823747</v>
      </c>
      <c r="AL2473">
        <v>81.1740677303994</v>
      </c>
      <c r="AM2473">
        <v>93.902268546540597</v>
      </c>
      <c r="AN2473">
        <v>1.0000000246971501</v>
      </c>
    </row>
    <row r="2474" spans="1:40" x14ac:dyDescent="0.3">
      <c r="A2474" t="str">
        <f>"20200111150853994"</f>
        <v>20200111150853994</v>
      </c>
      <c r="B2474" t="str">
        <f>"1578726533985988"</f>
        <v>1578726533985988</v>
      </c>
      <c r="C2474" t="s">
        <v>40</v>
      </c>
      <c r="D2474">
        <v>5.2254009999999997</v>
      </c>
      <c r="E2474">
        <v>0.41422439999999999</v>
      </c>
      <c r="F2474" t="s">
        <v>92</v>
      </c>
      <c r="G2474">
        <v>-383.39120000000003</v>
      </c>
      <c r="H2474" s="1">
        <v>-3.632088E-6</v>
      </c>
      <c r="I2474">
        <v>16.754639999999998</v>
      </c>
      <c r="J2474">
        <v>-397.47980000000001</v>
      </c>
      <c r="K2474">
        <v>1.1218079999999999</v>
      </c>
      <c r="L2474">
        <v>17.10464</v>
      </c>
      <c r="M2474">
        <v>0.95319209999999999</v>
      </c>
      <c r="N2474">
        <v>0</v>
      </c>
      <c r="O2474">
        <v>-0.30202990000000002</v>
      </c>
      <c r="P2474">
        <v>0.96042729999999998</v>
      </c>
      <c r="Q2474">
        <v>0.14126429999999901</v>
      </c>
      <c r="R2474">
        <v>-0.2400484</v>
      </c>
      <c r="S2474">
        <v>3.141632</v>
      </c>
      <c r="T2474">
        <v>-0.2468883</v>
      </c>
      <c r="U2474">
        <v>-8.9050290000000004E-2</v>
      </c>
      <c r="V2474">
        <v>-6.5777130000000003E-2</v>
      </c>
      <c r="W2474">
        <v>0.15346609999999999</v>
      </c>
      <c r="X2474">
        <v>0.98596220000000001</v>
      </c>
      <c r="Y2474">
        <v>-0.27318290000000001</v>
      </c>
      <c r="Z2474">
        <v>3.4102970000000003E-2</v>
      </c>
      <c r="AA2474">
        <v>0.96135740000000003</v>
      </c>
      <c r="AB2474">
        <v>35</v>
      </c>
      <c r="AC2474">
        <v>14.0885999999999</v>
      </c>
      <c r="AD2474">
        <v>-1.1218116320879901</v>
      </c>
      <c r="AE2474">
        <v>-0.35000000000000098</v>
      </c>
      <c r="AF2474">
        <v>-3.8972645753637498</v>
      </c>
      <c r="AG2474">
        <v>-1.1218116320879901</v>
      </c>
      <c r="AH2474">
        <v>13.4509954127591</v>
      </c>
      <c r="AI2474">
        <v>94.579916262042403</v>
      </c>
      <c r="AJ2474">
        <v>106.158311342167</v>
      </c>
      <c r="AK2474">
        <v>14.049071503211101</v>
      </c>
      <c r="AL2474">
        <v>81.172153796913307</v>
      </c>
      <c r="AM2474">
        <v>93.816754449215907</v>
      </c>
      <c r="AN2474">
        <v>0.99999996725454199</v>
      </c>
    </row>
    <row r="2475" spans="1:40" x14ac:dyDescent="0.3">
      <c r="A2475" t="str">
        <f>"20200111150854013"</f>
        <v>20200111150854013</v>
      </c>
      <c r="B2475" t="str">
        <f>"1578726534006483"</f>
        <v>1578726534006483</v>
      </c>
      <c r="C2475" t="s">
        <v>40</v>
      </c>
      <c r="D2475">
        <v>5.2949169999999999</v>
      </c>
      <c r="E2475">
        <v>0.4145102</v>
      </c>
      <c r="F2475" t="s">
        <v>92</v>
      </c>
      <c r="G2475">
        <v>-383.27069999999998</v>
      </c>
      <c r="H2475" s="1">
        <v>-3.685618E-6</v>
      </c>
      <c r="I2475">
        <v>16.773949999999999</v>
      </c>
      <c r="J2475">
        <v>-397.20240000000001</v>
      </c>
      <c r="K2475">
        <v>1.121804</v>
      </c>
      <c r="L2475">
        <v>17.025790000000001</v>
      </c>
      <c r="M2475">
        <v>0.95632910000000004</v>
      </c>
      <c r="N2475">
        <v>0</v>
      </c>
      <c r="O2475">
        <v>-0.29194560000000003</v>
      </c>
      <c r="P2475">
        <v>0.9623874</v>
      </c>
      <c r="Q2475">
        <v>0.1408644</v>
      </c>
      <c r="R2475">
        <v>-0.2323105</v>
      </c>
      <c r="S2475">
        <v>3.1418460000000001</v>
      </c>
      <c r="T2475">
        <v>-0.24804880000000001</v>
      </c>
      <c r="U2475">
        <v>-7.3120119999999997E-2</v>
      </c>
      <c r="V2475">
        <v>-6.3294980000000001E-2</v>
      </c>
      <c r="W2475">
        <v>0.15314049999999901</v>
      </c>
      <c r="X2475">
        <v>0.98617529999999998</v>
      </c>
      <c r="Y2475">
        <v>-0.26792519999999997</v>
      </c>
      <c r="Z2475">
        <v>3.3294900000000002E-2</v>
      </c>
      <c r="AA2475">
        <v>0.96286419999999995</v>
      </c>
      <c r="AB2475">
        <v>35</v>
      </c>
      <c r="AC2475">
        <v>13.931699999999999</v>
      </c>
      <c r="AD2475">
        <v>-1.1218076856179999</v>
      </c>
      <c r="AE2475">
        <v>-0.25184000000000101</v>
      </c>
      <c r="AF2475">
        <v>-3.80219933848156</v>
      </c>
      <c r="AG2475">
        <v>-1.1218076856179999</v>
      </c>
      <c r="AH2475">
        <v>13.3118865803433</v>
      </c>
      <c r="AI2475">
        <v>94.632591711087301</v>
      </c>
      <c r="AJ2475">
        <v>105.940633290637</v>
      </c>
      <c r="AK2475">
        <v>13.8896183036462</v>
      </c>
      <c r="AL2475">
        <v>81.191032709126702</v>
      </c>
      <c r="AM2475">
        <v>93.672336769984298</v>
      </c>
      <c r="AN2475">
        <v>0.99999999478177004</v>
      </c>
    </row>
    <row r="2476" spans="1:40" x14ac:dyDescent="0.3">
      <c r="A2476" t="str">
        <f>"20200111150854025"</f>
        <v>20200111150854025</v>
      </c>
      <c r="B2476" t="str">
        <f>"1578726534016243"</f>
        <v>1578726534016243</v>
      </c>
      <c r="C2476" t="s">
        <v>40</v>
      </c>
      <c r="D2476">
        <v>5.291525</v>
      </c>
      <c r="E2476">
        <v>0.41469990000000001</v>
      </c>
      <c r="F2476" t="s">
        <v>92</v>
      </c>
      <c r="G2476">
        <v>-383.24160000000001</v>
      </c>
      <c r="H2476" s="1">
        <v>-3.6945069999999999E-6</v>
      </c>
      <c r="I2476">
        <v>16.801369999999999</v>
      </c>
      <c r="J2476">
        <v>-397.02690000000001</v>
      </c>
      <c r="K2476">
        <v>1.1217980000000001</v>
      </c>
      <c r="L2476">
        <v>16.977450000000001</v>
      </c>
      <c r="M2476">
        <v>0.95825320000000003</v>
      </c>
      <c r="N2476">
        <v>0</v>
      </c>
      <c r="O2476">
        <v>-0.2855664</v>
      </c>
      <c r="P2476">
        <v>0.96349130000000005</v>
      </c>
      <c r="Q2476">
        <v>0.1411646</v>
      </c>
      <c r="R2476">
        <v>-0.2275018</v>
      </c>
      <c r="S2476">
        <v>3.142029</v>
      </c>
      <c r="T2476">
        <v>-0.252475</v>
      </c>
      <c r="U2476">
        <v>-5.0506589999999997E-2</v>
      </c>
      <c r="V2476">
        <v>-6.1638150000000003E-2</v>
      </c>
      <c r="W2476">
        <v>0.15348870000000001</v>
      </c>
      <c r="X2476">
        <v>0.98622609999999999</v>
      </c>
      <c r="Y2476">
        <v>-0.26839190000000002</v>
      </c>
      <c r="Z2476">
        <v>3.3418419999999997E-2</v>
      </c>
      <c r="AA2476">
        <v>0.96272990000000003</v>
      </c>
      <c r="AB2476">
        <v>35</v>
      </c>
      <c r="AC2476">
        <v>13.785299999999999</v>
      </c>
      <c r="AD2476">
        <v>-1.121801694507</v>
      </c>
      <c r="AE2476">
        <v>-0.17607999999999799</v>
      </c>
      <c r="AF2476">
        <v>-3.7434851653747501</v>
      </c>
      <c r="AG2476">
        <v>-1.121801694507</v>
      </c>
      <c r="AH2476">
        <v>13.1742065722337</v>
      </c>
      <c r="AI2476">
        <v>94.6825742937272</v>
      </c>
      <c r="AJ2476">
        <v>105.862637337441</v>
      </c>
      <c r="AK2476">
        <v>13.741609768621201</v>
      </c>
      <c r="AL2476">
        <v>81.170843512985897</v>
      </c>
      <c r="AM2476">
        <v>93.576277590121606</v>
      </c>
      <c r="AN2476">
        <v>0.99999998144216096</v>
      </c>
    </row>
    <row r="2477" spans="1:40" x14ac:dyDescent="0.3">
      <c r="A2477" t="str">
        <f>"20200111150854035"</f>
        <v>20200111150854035</v>
      </c>
      <c r="B2477" t="str">
        <f>"1578726534026004"</f>
        <v>1578726534026004</v>
      </c>
      <c r="C2477" t="s">
        <v>40</v>
      </c>
      <c r="D2477">
        <v>5.2804000000000002</v>
      </c>
      <c r="E2477">
        <v>0.41492499999999999</v>
      </c>
      <c r="F2477" t="s">
        <v>92</v>
      </c>
      <c r="G2477">
        <v>-383.06659999999999</v>
      </c>
      <c r="H2477" s="1">
        <v>-3.7745629999999999E-6</v>
      </c>
      <c r="I2477">
        <v>16.816369999999999</v>
      </c>
      <c r="J2477">
        <v>-396.85199999999998</v>
      </c>
      <c r="K2477">
        <v>1.1217870000000001</v>
      </c>
      <c r="L2477">
        <v>16.930479999999999</v>
      </c>
      <c r="M2477">
        <v>0.96012439999999999</v>
      </c>
      <c r="N2477">
        <v>0</v>
      </c>
      <c r="O2477">
        <v>-0.27921099999999999</v>
      </c>
      <c r="P2477">
        <v>0.96471280000000004</v>
      </c>
      <c r="Q2477">
        <v>0.14169889999999999</v>
      </c>
      <c r="R2477">
        <v>-0.22192529999999999</v>
      </c>
      <c r="S2477">
        <v>3.1421510000000001</v>
      </c>
      <c r="T2477">
        <v>-0.2524923</v>
      </c>
      <c r="U2477">
        <v>-3.6254880000000003E-2</v>
      </c>
      <c r="V2477">
        <v>-6.0795700000000001E-2</v>
      </c>
      <c r="W2477">
        <v>0.15404699999999999</v>
      </c>
      <c r="X2477">
        <v>0.98619129999999999</v>
      </c>
      <c r="Y2477">
        <v>-0.26640330000000001</v>
      </c>
      <c r="Z2477">
        <v>3.2851239999999997E-2</v>
      </c>
      <c r="AA2477">
        <v>0.96330170000000004</v>
      </c>
      <c r="AB2477">
        <v>35</v>
      </c>
      <c r="AC2477">
        <v>13.7853999999999</v>
      </c>
      <c r="AD2477">
        <v>-1.121790774563</v>
      </c>
      <c r="AE2477">
        <v>-0.11410999999999601</v>
      </c>
      <c r="AF2477">
        <v>-3.71525344525037</v>
      </c>
      <c r="AG2477">
        <v>-1.121790774563</v>
      </c>
      <c r="AH2477">
        <v>13.1816203795821</v>
      </c>
      <c r="AI2477">
        <v>94.682717508582201</v>
      </c>
      <c r="AJ2477">
        <v>105.74054566781</v>
      </c>
      <c r="AK2477">
        <v>13.741056674643101</v>
      </c>
      <c r="AL2477">
        <v>81.138469873136103</v>
      </c>
      <c r="AM2477">
        <v>93.527646639966605</v>
      </c>
      <c r="AN2477">
        <v>0.99999993777158802</v>
      </c>
    </row>
    <row r="2478" spans="1:40" x14ac:dyDescent="0.3">
      <c r="A2478" t="str">
        <f>"20200111150854048"</f>
        <v>20200111150854048</v>
      </c>
      <c r="B2478" t="str">
        <f>"1578726534046499"</f>
        <v>1578726534046499</v>
      </c>
      <c r="C2478" t="s">
        <v>40</v>
      </c>
      <c r="D2478">
        <v>5.3110860000000004</v>
      </c>
      <c r="E2478">
        <v>0.41541030000000001</v>
      </c>
      <c r="F2478" t="s">
        <v>92</v>
      </c>
      <c r="G2478">
        <v>-382.86500000000001</v>
      </c>
      <c r="H2478" s="1">
        <v>-3.8651770000000003E-6</v>
      </c>
      <c r="I2478">
        <v>16.84272</v>
      </c>
      <c r="J2478">
        <v>-396.67540000000002</v>
      </c>
      <c r="K2478">
        <v>1.121775</v>
      </c>
      <c r="L2478">
        <v>16.884609999999999</v>
      </c>
      <c r="M2478">
        <v>0.96196519999999996</v>
      </c>
      <c r="N2478">
        <v>0</v>
      </c>
      <c r="O2478">
        <v>-0.27280149999999997</v>
      </c>
      <c r="P2478">
        <v>0.96591800000000005</v>
      </c>
      <c r="Q2478">
        <v>0.14290639999999999</v>
      </c>
      <c r="R2478">
        <v>-0.21582419999999999</v>
      </c>
      <c r="S2478">
        <v>3.1421510000000001</v>
      </c>
      <c r="T2478">
        <v>-0.25200830000000002</v>
      </c>
      <c r="U2478">
        <v>-1.971436E-2</v>
      </c>
      <c r="V2478">
        <v>-6.0431829999999999E-2</v>
      </c>
      <c r="W2478">
        <v>0.15526300000000001</v>
      </c>
      <c r="X2478">
        <v>0.98602299999999998</v>
      </c>
      <c r="Y2478">
        <v>-0.26507819999999999</v>
      </c>
      <c r="Z2478">
        <v>3.2242899999999998E-2</v>
      </c>
      <c r="AA2478">
        <v>0.96368770000000004</v>
      </c>
      <c r="AB2478">
        <v>35</v>
      </c>
      <c r="AC2478">
        <v>13.8104</v>
      </c>
      <c r="AD2478">
        <v>-1.121778865177</v>
      </c>
      <c r="AE2478">
        <v>-4.1890000000002203E-2</v>
      </c>
      <c r="AF2478">
        <v>-3.70314561930204</v>
      </c>
      <c r="AG2478">
        <v>-1.121778865177</v>
      </c>
      <c r="AH2478">
        <v>13.2107354146495</v>
      </c>
      <c r="AI2478">
        <v>94.674257354793099</v>
      </c>
      <c r="AJ2478">
        <v>105.65889397999401</v>
      </c>
      <c r="AK2478">
        <v>13.765725752607</v>
      </c>
      <c r="AL2478">
        <v>81.067950123956706</v>
      </c>
      <c r="AM2478">
        <v>93.507183096531506</v>
      </c>
      <c r="AN2478">
        <v>0.99999998088757402</v>
      </c>
    </row>
    <row r="2479" spans="1:40" x14ac:dyDescent="0.3">
      <c r="A2479" t="str">
        <f>"20200111150854062"</f>
        <v>20200111150854062</v>
      </c>
      <c r="B2479" t="str">
        <f>"1578726534056261"</f>
        <v>1578726534056261</v>
      </c>
      <c r="C2479" t="s">
        <v>40</v>
      </c>
      <c r="D2479">
        <v>5.3201460000000003</v>
      </c>
      <c r="E2479">
        <v>0.41563420000000001</v>
      </c>
      <c r="F2479" t="s">
        <v>92</v>
      </c>
      <c r="G2479">
        <v>-382.6026</v>
      </c>
      <c r="H2479" s="1">
        <v>-3.9848130000000001E-6</v>
      </c>
      <c r="I2479">
        <v>16.86767</v>
      </c>
      <c r="J2479">
        <v>-396.49630000000002</v>
      </c>
      <c r="K2479">
        <v>1.1217549999999901</v>
      </c>
      <c r="L2479">
        <v>16.838840000000001</v>
      </c>
      <c r="M2479">
        <v>0.96378339999999996</v>
      </c>
      <c r="N2479">
        <v>0</v>
      </c>
      <c r="O2479">
        <v>-0.2663066</v>
      </c>
      <c r="P2479">
        <v>0.96729169999999998</v>
      </c>
      <c r="Q2479">
        <v>0.14414959999999999</v>
      </c>
      <c r="R2479">
        <v>-0.2087281</v>
      </c>
      <c r="S2479">
        <v>3.14209</v>
      </c>
      <c r="T2479">
        <v>-0.25046449999999998</v>
      </c>
      <c r="U2479">
        <v>-3.7841799999999998E-3</v>
      </c>
      <c r="V2479">
        <v>-6.1000560000000002E-2</v>
      </c>
      <c r="W2479">
        <v>0.15648619999999999</v>
      </c>
      <c r="X2479">
        <v>0.98579459999999997</v>
      </c>
      <c r="Y2479">
        <v>-0.26350750000000001</v>
      </c>
      <c r="Z2479">
        <v>3.1486279999999998E-2</v>
      </c>
      <c r="AA2479">
        <v>0.96414330000000004</v>
      </c>
      <c r="AB2479">
        <v>35</v>
      </c>
      <c r="AC2479">
        <v>13.893700000000001</v>
      </c>
      <c r="AD2479">
        <v>-1.1217589848129901</v>
      </c>
      <c r="AE2479">
        <v>2.88299999999992E-2</v>
      </c>
      <c r="AF2479">
        <v>-3.7040018035992501</v>
      </c>
      <c r="AG2479">
        <v>-1.1217589848129901</v>
      </c>
      <c r="AH2479">
        <v>13.2975114668369</v>
      </c>
      <c r="AI2479">
        <v>94.645921740655496</v>
      </c>
      <c r="AJ2479">
        <v>105.565098435536</v>
      </c>
      <c r="AK2479">
        <v>13.8492521022521</v>
      </c>
      <c r="AL2479">
        <v>80.9969988095975</v>
      </c>
      <c r="AM2479">
        <v>93.540924123505803</v>
      </c>
      <c r="AN2479">
        <v>0.99999999624995595</v>
      </c>
    </row>
    <row r="2480" spans="1:40" x14ac:dyDescent="0.3">
      <c r="A2480" t="str">
        <f>"20200111150854072"</f>
        <v>20200111150854072</v>
      </c>
      <c r="B2480" t="str">
        <f>"1578726534066019"</f>
        <v>1578726534066019</v>
      </c>
      <c r="C2480" t="s">
        <v>40</v>
      </c>
      <c r="D2480">
        <v>5.3209910000000002</v>
      </c>
      <c r="E2480">
        <v>0.41587109999999999</v>
      </c>
      <c r="F2480" t="s">
        <v>92</v>
      </c>
      <c r="G2480">
        <v>-382.28480000000002</v>
      </c>
      <c r="H2480" s="1">
        <v>-4.1265789999999996E-6</v>
      </c>
      <c r="I2480">
        <v>16.915299999999998</v>
      </c>
      <c r="J2480">
        <v>-396.30500000000001</v>
      </c>
      <c r="K2480">
        <v>1.1217330000000001</v>
      </c>
      <c r="L2480">
        <v>16.792020000000001</v>
      </c>
      <c r="M2480">
        <v>0.96566839999999998</v>
      </c>
      <c r="N2480">
        <v>0</v>
      </c>
      <c r="O2480">
        <v>-0.25938810000000001</v>
      </c>
      <c r="P2480">
        <v>0.96876110000000004</v>
      </c>
      <c r="Q2480">
        <v>0.14554810000000001</v>
      </c>
      <c r="R2480">
        <v>-0.200793</v>
      </c>
      <c r="S2480">
        <v>3.1420590000000002</v>
      </c>
      <c r="T2480">
        <v>-0.24801229999999999</v>
      </c>
      <c r="U2480">
        <v>1.690674E-2</v>
      </c>
      <c r="V2480">
        <v>-6.1990469999999999E-2</v>
      </c>
      <c r="W2480">
        <v>0.15785179999999999</v>
      </c>
      <c r="X2480">
        <v>0.98551509999999998</v>
      </c>
      <c r="Y2480">
        <v>-0.2629957</v>
      </c>
      <c r="Z2480">
        <v>3.063302E-2</v>
      </c>
      <c r="AA2480">
        <v>0.96431060000000002</v>
      </c>
      <c r="AB2480">
        <v>35</v>
      </c>
      <c r="AC2480">
        <v>14.0201999999999</v>
      </c>
      <c r="AD2480">
        <v>-1.1217371265789999</v>
      </c>
      <c r="AE2480">
        <v>0.123279999999997</v>
      </c>
      <c r="AF2480">
        <v>-3.7322112276027202</v>
      </c>
      <c r="AG2480">
        <v>-1.1217371265789999</v>
      </c>
      <c r="AH2480">
        <v>13.4223386564477</v>
      </c>
      <c r="AI2480">
        <v>94.603390769171099</v>
      </c>
      <c r="AJ2480">
        <v>105.539104850115</v>
      </c>
      <c r="AK2480">
        <v>13.9766544579509</v>
      </c>
      <c r="AL2480">
        <v>80.917771153712195</v>
      </c>
      <c r="AM2480">
        <v>93.599253869742995</v>
      </c>
      <c r="AN2480">
        <v>1.0000000107310301</v>
      </c>
    </row>
    <row r="2481" spans="1:40" x14ac:dyDescent="0.3">
      <c r="A2481" t="str">
        <f>"20200111150854091"</f>
        <v>20200111150854091</v>
      </c>
      <c r="B2481" t="str">
        <f>"1578726534086515"</f>
        <v>1578726534086515</v>
      </c>
      <c r="C2481" t="s">
        <v>40</v>
      </c>
      <c r="D2481">
        <v>5.3030949999999999</v>
      </c>
      <c r="E2481">
        <v>0.41642069999999998</v>
      </c>
      <c r="F2481" t="s">
        <v>92</v>
      </c>
      <c r="G2481">
        <v>-381.94200000000001</v>
      </c>
      <c r="H2481" s="1">
        <v>-4.278101E-6</v>
      </c>
      <c r="I2481">
        <v>16.974640000000001</v>
      </c>
      <c r="J2481">
        <v>-396.02890000000002</v>
      </c>
      <c r="K2481">
        <v>1.1216950000000001</v>
      </c>
      <c r="L2481">
        <v>16.726589999999899</v>
      </c>
      <c r="M2481">
        <v>0.96828950000000003</v>
      </c>
      <c r="N2481">
        <v>0</v>
      </c>
      <c r="O2481">
        <v>-0.24942610000000001</v>
      </c>
      <c r="P2481">
        <v>0.97112480000000001</v>
      </c>
      <c r="Q2481">
        <v>0.14575389999999999</v>
      </c>
      <c r="R2481">
        <v>-0.18887129999999999</v>
      </c>
      <c r="S2481">
        <v>3.1418460000000001</v>
      </c>
      <c r="T2481">
        <v>-0.24537539999999999</v>
      </c>
      <c r="U2481">
        <v>3.9947509999999999E-2</v>
      </c>
      <c r="V2481">
        <v>-6.3936699999999999E-2</v>
      </c>
      <c r="W2481">
        <v>0.15799730000000001</v>
      </c>
      <c r="X2481">
        <v>0.9853674</v>
      </c>
      <c r="Y2481">
        <v>-0.26020219999999999</v>
      </c>
      <c r="Z2481">
        <v>2.9447729999999998E-2</v>
      </c>
      <c r="AA2481">
        <v>0.96510499999999999</v>
      </c>
      <c r="AB2481">
        <v>35</v>
      </c>
      <c r="AC2481">
        <v>14.0869</v>
      </c>
      <c r="AD2481">
        <v>-1.121699278101</v>
      </c>
      <c r="AE2481">
        <v>0.24805000000000199</v>
      </c>
      <c r="AF2481">
        <v>-3.7305578647748998</v>
      </c>
      <c r="AG2481">
        <v>-1.121699278101</v>
      </c>
      <c r="AH2481">
        <v>13.494166324868999</v>
      </c>
      <c r="AI2481">
        <v>94.580719810042595</v>
      </c>
      <c r="AJ2481">
        <v>105.45383738549801</v>
      </c>
      <c r="AK2481">
        <v>14.0452054472747</v>
      </c>
      <c r="AL2481">
        <v>80.9093283994128</v>
      </c>
      <c r="AM2481">
        <v>93.712498423322799</v>
      </c>
      <c r="AN2481">
        <v>0.99999998069846896</v>
      </c>
    </row>
    <row r="2482" spans="1:40" x14ac:dyDescent="0.3">
      <c r="A2482" t="str">
        <f>"20200111150854104"</f>
        <v>20200111150854104</v>
      </c>
      <c r="B2482" t="str">
        <f>"1578726534096276"</f>
        <v>1578726534096276</v>
      </c>
      <c r="C2482" t="s">
        <v>40</v>
      </c>
      <c r="D2482">
        <v>5.3317439999999996</v>
      </c>
      <c r="E2482">
        <v>0.41673179999999999</v>
      </c>
      <c r="F2482" t="s">
        <v>92</v>
      </c>
      <c r="G2482">
        <v>-381.8349</v>
      </c>
      <c r="H2482" s="1">
        <v>-4.3136599999999996E-6</v>
      </c>
      <c r="I2482">
        <v>17.059519999999999</v>
      </c>
      <c r="J2482">
        <v>-395.839</v>
      </c>
      <c r="K2482">
        <v>1.121658</v>
      </c>
      <c r="L2482">
        <v>16.68317</v>
      </c>
      <c r="M2482">
        <v>0.97002299999999997</v>
      </c>
      <c r="N2482">
        <v>0</v>
      </c>
      <c r="O2482">
        <v>-0.2425977</v>
      </c>
      <c r="P2482">
        <v>0.97266699999999995</v>
      </c>
      <c r="Q2482">
        <v>0.14483379999999901</v>
      </c>
      <c r="R2482">
        <v>-0.18149889999999999</v>
      </c>
      <c r="S2482">
        <v>3.1407780000000001</v>
      </c>
      <c r="T2482">
        <v>-0.24820490000000001</v>
      </c>
      <c r="U2482">
        <v>7.3669429999999994E-2</v>
      </c>
      <c r="V2482">
        <v>-6.4463759999999995E-2</v>
      </c>
      <c r="W2482">
        <v>0.15706210000000001</v>
      </c>
      <c r="X2482">
        <v>0.98548259999999999</v>
      </c>
      <c r="Y2482">
        <v>-0.26373550000000001</v>
      </c>
      <c r="Z2482">
        <v>2.9412790000000001E-2</v>
      </c>
      <c r="AA2482">
        <v>0.96414650000000002</v>
      </c>
      <c r="AB2482">
        <v>35</v>
      </c>
      <c r="AC2482">
        <v>14.0040999999999</v>
      </c>
      <c r="AD2482">
        <v>-1.1216623136599999</v>
      </c>
      <c r="AE2482">
        <v>0.37635000000000202</v>
      </c>
      <c r="AF2482">
        <v>-3.7388418624812201</v>
      </c>
      <c r="AG2482">
        <v>-1.1216623136599999</v>
      </c>
      <c r="AH2482">
        <v>13.4084024373216</v>
      </c>
      <c r="AI2482">
        <v>94.606919907930802</v>
      </c>
      <c r="AJ2482">
        <v>105.58076689450699</v>
      </c>
      <c r="AK2482">
        <v>13.965039231584599</v>
      </c>
      <c r="AL2482">
        <v>80.963589231784695</v>
      </c>
      <c r="AM2482">
        <v>93.7425793287468</v>
      </c>
      <c r="AN2482">
        <v>1.00000001725625</v>
      </c>
    </row>
    <row r="2483" spans="1:40" x14ac:dyDescent="0.3">
      <c r="A2483" t="str">
        <f>"20200111150854117"</f>
        <v>20200111150854117</v>
      </c>
      <c r="B2483" t="str">
        <f>"1578726534106035"</f>
        <v>1578726534106035</v>
      </c>
      <c r="C2483" t="s">
        <v>40</v>
      </c>
      <c r="D2483">
        <v>5.4043349999999997</v>
      </c>
      <c r="E2483">
        <v>0.41692439999999997</v>
      </c>
      <c r="F2483" t="s">
        <v>92</v>
      </c>
      <c r="G2483">
        <v>-381.89370000000002</v>
      </c>
      <c r="H2483" s="1">
        <v>-4.2777029999999996E-6</v>
      </c>
      <c r="I2483">
        <v>17.10567</v>
      </c>
      <c r="J2483">
        <v>-395.63959999999997</v>
      </c>
      <c r="K2483">
        <v>1.12161</v>
      </c>
      <c r="L2483">
        <v>16.639039999999898</v>
      </c>
      <c r="M2483">
        <v>0.97178059999999999</v>
      </c>
      <c r="N2483">
        <v>0</v>
      </c>
      <c r="O2483">
        <v>-0.23545869999999999</v>
      </c>
      <c r="P2483">
        <v>0.97418990000000005</v>
      </c>
      <c r="Q2483">
        <v>0.14346689999999901</v>
      </c>
      <c r="R2483">
        <v>-0.17427339999999999</v>
      </c>
      <c r="S2483">
        <v>3.1396790000000001</v>
      </c>
      <c r="T2483">
        <v>-0.25253399999999998</v>
      </c>
      <c r="U2483">
        <v>9.5123289999999999E-2</v>
      </c>
      <c r="V2483">
        <v>-6.4525840000000001E-2</v>
      </c>
      <c r="W2483">
        <v>0.15569439999999901</v>
      </c>
      <c r="X2483">
        <v>0.98569549999999995</v>
      </c>
      <c r="Y2483">
        <v>-0.26320510000000003</v>
      </c>
      <c r="Z2483">
        <v>2.9353279999999999E-2</v>
      </c>
      <c r="AA2483">
        <v>0.96429319999999996</v>
      </c>
      <c r="AB2483">
        <v>35</v>
      </c>
      <c r="AC2483">
        <v>13.745899999999899</v>
      </c>
      <c r="AD2483">
        <v>-1.121614277703</v>
      </c>
      <c r="AE2483">
        <v>0.46663000000000199</v>
      </c>
      <c r="AF2483">
        <v>-3.6660455990598999</v>
      </c>
      <c r="AG2483">
        <v>-1.121614277703</v>
      </c>
      <c r="AH2483">
        <v>13.1619322556674</v>
      </c>
      <c r="AI2483">
        <v>94.692980738887897</v>
      </c>
      <c r="AJ2483">
        <v>105.56432757866401</v>
      </c>
      <c r="AK2483">
        <v>13.708915698373501</v>
      </c>
      <c r="AL2483">
        <v>81.042928383468606</v>
      </c>
      <c r="AM2483">
        <v>93.745366424506201</v>
      </c>
      <c r="AN2483">
        <v>0.99999997446965705</v>
      </c>
    </row>
    <row r="2484" spans="1:40" x14ac:dyDescent="0.3">
      <c r="A2484" t="str">
        <f>"20200111150854136"</f>
        <v>20200111150854136</v>
      </c>
      <c r="B2484" t="str">
        <f>"1578726534126531"</f>
        <v>1578726534126531</v>
      </c>
      <c r="C2484" t="s">
        <v>40</v>
      </c>
      <c r="D2484">
        <v>5.3052489999999999</v>
      </c>
      <c r="E2484">
        <v>0.4172575</v>
      </c>
      <c r="F2484" t="s">
        <v>92</v>
      </c>
      <c r="G2484">
        <v>-381.96210000000002</v>
      </c>
      <c r="H2484" s="1">
        <v>-4.2376879999999998E-6</v>
      </c>
      <c r="I2484">
        <v>17.14884</v>
      </c>
      <c r="J2484">
        <v>-395.36520000000002</v>
      </c>
      <c r="K2484">
        <v>1.1215250000000001</v>
      </c>
      <c r="L2484">
        <v>16.58109</v>
      </c>
      <c r="M2484">
        <v>0.97409120000000005</v>
      </c>
      <c r="N2484">
        <v>0</v>
      </c>
      <c r="O2484">
        <v>-0.2257102</v>
      </c>
      <c r="P2484">
        <v>0.97636520000000004</v>
      </c>
      <c r="Q2484">
        <v>0.140592299999999</v>
      </c>
      <c r="R2484">
        <v>-0.1641494</v>
      </c>
      <c r="S2484">
        <v>3.138306</v>
      </c>
      <c r="T2484">
        <v>-0.25735469999999999</v>
      </c>
      <c r="U2484">
        <v>0.11697390000000001</v>
      </c>
      <c r="V2484">
        <v>-6.4869319999999994E-2</v>
      </c>
      <c r="W2484">
        <v>0.152811999999999</v>
      </c>
      <c r="X2484">
        <v>0.986124</v>
      </c>
      <c r="Y2484">
        <v>-0.26023939999999901</v>
      </c>
      <c r="Z2484">
        <v>2.902097E-2</v>
      </c>
      <c r="AA2484">
        <v>0.96510790000000002</v>
      </c>
      <c r="AB2484">
        <v>35</v>
      </c>
      <c r="AC2484">
        <v>13.403099999999901</v>
      </c>
      <c r="AD2484">
        <v>-1.1215292376879999</v>
      </c>
      <c r="AE2484">
        <v>0.56774999999999998</v>
      </c>
      <c r="AF2484">
        <v>-3.5537784246549098</v>
      </c>
      <c r="AG2484">
        <v>-1.1215292376879999</v>
      </c>
      <c r="AH2484">
        <v>12.839258669482</v>
      </c>
      <c r="AI2484">
        <v>94.812166847256293</v>
      </c>
      <c r="AJ2484">
        <v>105.471556317978</v>
      </c>
      <c r="AK2484">
        <v>13.3691335584772</v>
      </c>
      <c r="AL2484">
        <v>81.210078942883101</v>
      </c>
      <c r="AM2484">
        <v>93.763614922937094</v>
      </c>
      <c r="AN2484">
        <v>1.0000000396986299</v>
      </c>
    </row>
    <row r="2485" spans="1:40" x14ac:dyDescent="0.3">
      <c r="A2485" t="str">
        <f>"20200111150854148"</f>
        <v>20200111150854148</v>
      </c>
      <c r="B2485" t="str">
        <f>"1578726534146052"</f>
        <v>1578726534146052</v>
      </c>
      <c r="C2485" t="s">
        <v>40</v>
      </c>
      <c r="D2485">
        <v>5.4987279999999998</v>
      </c>
      <c r="E2485">
        <v>0.4177825</v>
      </c>
      <c r="F2485" t="s">
        <v>92</v>
      </c>
      <c r="G2485">
        <v>-382.05290000000002</v>
      </c>
      <c r="H2485" s="1">
        <v>-4.1852329999999996E-6</v>
      </c>
      <c r="I2485">
        <v>17.202660000000002</v>
      </c>
      <c r="J2485">
        <v>-395.17829999999998</v>
      </c>
      <c r="K2485">
        <v>1.121454</v>
      </c>
      <c r="L2485">
        <v>16.543299999999999</v>
      </c>
      <c r="M2485">
        <v>0.97559169999999995</v>
      </c>
      <c r="N2485">
        <v>0</v>
      </c>
      <c r="O2485">
        <v>-0.21913469999999999</v>
      </c>
      <c r="P2485">
        <v>0.97759839999999998</v>
      </c>
      <c r="Q2485">
        <v>0.1398529</v>
      </c>
      <c r="R2485">
        <v>-0.15729749999999901</v>
      </c>
      <c r="S2485">
        <v>3.135284</v>
      </c>
      <c r="T2485">
        <v>-0.2641405</v>
      </c>
      <c r="U2485">
        <v>0.14639279999999999</v>
      </c>
      <c r="V2485">
        <v>-6.511343E-2</v>
      </c>
      <c r="W2485">
        <v>0.15206510000000001</v>
      </c>
      <c r="X2485">
        <v>0.98622330000000002</v>
      </c>
      <c r="Y2485">
        <v>-0.262727299999999</v>
      </c>
      <c r="Z2485">
        <v>2.9372390000000002E-2</v>
      </c>
      <c r="AA2485">
        <v>0.96442289999999997</v>
      </c>
      <c r="AB2485">
        <v>35</v>
      </c>
      <c r="AC2485">
        <v>13.1253999999999</v>
      </c>
      <c r="AD2485">
        <v>-1.1214581852329999</v>
      </c>
      <c r="AE2485">
        <v>0.65936000000000194</v>
      </c>
      <c r="AF2485">
        <v>-3.4944041724319401</v>
      </c>
      <c r="AG2485">
        <v>-1.1214581852329999</v>
      </c>
      <c r="AH2485">
        <v>12.570278188417999</v>
      </c>
      <c r="AI2485">
        <v>94.912818772992694</v>
      </c>
      <c r="AJ2485">
        <v>105.535367227924</v>
      </c>
      <c r="AK2485">
        <v>13.095053368190399</v>
      </c>
      <c r="AL2485">
        <v>81.253378645829002</v>
      </c>
      <c r="AM2485">
        <v>93.777357594691296</v>
      </c>
      <c r="AN2485">
        <v>0.99999997543363195</v>
      </c>
    </row>
    <row r="2486" spans="1:40" x14ac:dyDescent="0.3">
      <c r="A2486" t="str">
        <f>"20200111150854162"</f>
        <v>20200111150854162</v>
      </c>
      <c r="B2486" t="str">
        <f>"1578726534155812"</f>
        <v>1578726534155812</v>
      </c>
      <c r="C2486" t="s">
        <v>40</v>
      </c>
      <c r="D2486">
        <v>5.3850369999999996</v>
      </c>
      <c r="E2486">
        <v>0.41810459999999999</v>
      </c>
      <c r="F2486" t="s">
        <v>92</v>
      </c>
      <c r="G2486">
        <v>-382.11799999999999</v>
      </c>
      <c r="H2486" s="1">
        <v>-4.1504869999999998E-6</v>
      </c>
      <c r="I2486">
        <v>17.224930000000001</v>
      </c>
      <c r="J2486">
        <v>-394.96480000000003</v>
      </c>
      <c r="K2486">
        <v>1.1213709999999999</v>
      </c>
      <c r="L2486">
        <v>16.501279999999898</v>
      </c>
      <c r="M2486">
        <v>0.97724009999999994</v>
      </c>
      <c r="N2486">
        <v>0</v>
      </c>
      <c r="O2486">
        <v>-0.2116632</v>
      </c>
      <c r="P2486">
        <v>0.97892290000000004</v>
      </c>
      <c r="Q2486">
        <v>0.1388576</v>
      </c>
      <c r="R2486">
        <v>-0.1497607</v>
      </c>
      <c r="S2486">
        <v>3.1336059999999999</v>
      </c>
      <c r="T2486">
        <v>-0.26907550000000002</v>
      </c>
      <c r="U2486">
        <v>0.16354369999999999</v>
      </c>
      <c r="V2486">
        <v>-6.5137619999999993E-2</v>
      </c>
      <c r="W2486">
        <v>0.1510687</v>
      </c>
      <c r="X2486">
        <v>0.98637490000000005</v>
      </c>
      <c r="Y2486">
        <v>-0.2606058</v>
      </c>
      <c r="Z2486">
        <v>2.9212869999999998E-2</v>
      </c>
      <c r="AA2486">
        <v>0.96500330000000001</v>
      </c>
      <c r="AB2486">
        <v>35</v>
      </c>
      <c r="AC2486">
        <v>12.846799999999901</v>
      </c>
      <c r="AD2486">
        <v>-1.121375150487</v>
      </c>
      <c r="AE2486">
        <v>0.72365000000000201</v>
      </c>
      <c r="AF2486">
        <v>-3.4008878634275201</v>
      </c>
      <c r="AG2486">
        <v>-1.121375150487</v>
      </c>
      <c r="AH2486">
        <v>12.3089927167364</v>
      </c>
      <c r="AI2486">
        <v>95.018387446211094</v>
      </c>
      <c r="AJ2486">
        <v>105.445100382329</v>
      </c>
      <c r="AK2486">
        <v>12.8193144195939</v>
      </c>
      <c r="AL2486">
        <v>81.311136103421305</v>
      </c>
      <c r="AM2486">
        <v>93.778177748627797</v>
      </c>
      <c r="AN2486">
        <v>1.0000000525044801</v>
      </c>
    </row>
    <row r="2487" spans="1:40" x14ac:dyDescent="0.3">
      <c r="A2487" t="str">
        <f>"20200111150854180"</f>
        <v>20200111150854180</v>
      </c>
      <c r="B2487" t="str">
        <f>"1578726534176308"</f>
        <v>1578726534176308</v>
      </c>
      <c r="C2487" t="s">
        <v>40</v>
      </c>
      <c r="D2487">
        <v>5.4249729999999996</v>
      </c>
      <c r="E2487">
        <v>0.41865039999999998</v>
      </c>
      <c r="F2487" t="s">
        <v>92</v>
      </c>
      <c r="G2487">
        <v>-382.14949999999999</v>
      </c>
      <c r="H2487" s="1">
        <v>-4.1298160000000003E-6</v>
      </c>
      <c r="I2487">
        <v>17.257670000000001</v>
      </c>
      <c r="J2487">
        <v>-394.70100000000002</v>
      </c>
      <c r="K2487">
        <v>1.1212530000000001</v>
      </c>
      <c r="L2487">
        <v>16.451689999999999</v>
      </c>
      <c r="M2487">
        <v>0.9791725</v>
      </c>
      <c r="N2487">
        <v>0</v>
      </c>
      <c r="O2487">
        <v>-0.20253750000000001</v>
      </c>
      <c r="P2487">
        <v>0.98046829999999996</v>
      </c>
      <c r="Q2487">
        <v>0.1369368</v>
      </c>
      <c r="R2487">
        <v>-0.14117489999999999</v>
      </c>
      <c r="S2487">
        <v>3.1317750000000002</v>
      </c>
      <c r="T2487">
        <v>-0.27403840000000002</v>
      </c>
      <c r="U2487">
        <v>0.18484500000000001</v>
      </c>
      <c r="V2487">
        <v>-6.4539379999999993E-2</v>
      </c>
      <c r="W2487">
        <v>0.14916499999999999</v>
      </c>
      <c r="X2487">
        <v>0.98670380000000002</v>
      </c>
      <c r="Y2487">
        <v>-0.25815290000000002</v>
      </c>
      <c r="Z2487">
        <v>2.8872169999999999E-2</v>
      </c>
      <c r="AA2487">
        <v>0.96567259999999999</v>
      </c>
      <c r="AB2487">
        <v>35</v>
      </c>
      <c r="AC2487">
        <v>12.5514999999999</v>
      </c>
      <c r="AD2487">
        <v>-1.1212571298159999</v>
      </c>
      <c r="AE2487">
        <v>0.80598000000000103</v>
      </c>
      <c r="AF2487">
        <v>-3.3054058878107</v>
      </c>
      <c r="AG2487">
        <v>-1.1212571298159999</v>
      </c>
      <c r="AH2487">
        <v>12.032425924434801</v>
      </c>
      <c r="AI2487">
        <v>95.134661082856198</v>
      </c>
      <c r="AJ2487">
        <v>105.36070585855499</v>
      </c>
      <c r="AK2487">
        <v>12.528455581648799</v>
      </c>
      <c r="AL2487">
        <v>81.421459446129802</v>
      </c>
      <c r="AM2487">
        <v>93.742332849640405</v>
      </c>
      <c r="AN2487">
        <v>0.99999995886511095</v>
      </c>
    </row>
    <row r="2488" spans="1:40" x14ac:dyDescent="0.3">
      <c r="A2488" t="str">
        <f>"20200111150854192"</f>
        <v>20200111150854192</v>
      </c>
      <c r="B2488" t="str">
        <f>"1578726534186067"</f>
        <v>1578726534186067</v>
      </c>
      <c r="C2488" t="s">
        <v>40</v>
      </c>
      <c r="D2488">
        <v>5.4164019999999997</v>
      </c>
      <c r="E2488">
        <v>0.41892960000000001</v>
      </c>
      <c r="F2488" t="s">
        <v>92</v>
      </c>
      <c r="G2488">
        <v>-382.19850000000002</v>
      </c>
      <c r="H2488" s="1">
        <v>-4.1018140000000002E-6</v>
      </c>
      <c r="I2488">
        <v>17.2849</v>
      </c>
      <c r="J2488">
        <v>-394.50389999999999</v>
      </c>
      <c r="K2488">
        <v>1.1211519999999999</v>
      </c>
      <c r="L2488">
        <v>16.416779999999999</v>
      </c>
      <c r="M2488">
        <v>0.98053820000000003</v>
      </c>
      <c r="N2488">
        <v>0</v>
      </c>
      <c r="O2488">
        <v>-0.19581970000000001</v>
      </c>
      <c r="P2488">
        <v>0.98139609999999999</v>
      </c>
      <c r="Q2488">
        <v>0.1362342</v>
      </c>
      <c r="R2488">
        <v>-0.13528470000000001</v>
      </c>
      <c r="S2488">
        <v>3.1289980000000002</v>
      </c>
      <c r="T2488">
        <v>-0.28061649999999999</v>
      </c>
      <c r="U2488">
        <v>0.20852660000000001</v>
      </c>
      <c r="V2488">
        <v>-6.366376E-2</v>
      </c>
      <c r="W2488">
        <v>0.14848510000000001</v>
      </c>
      <c r="X2488">
        <v>0.9868633</v>
      </c>
      <c r="Y2488">
        <v>-0.2587991</v>
      </c>
      <c r="Z2488">
        <v>2.9020580000000001E-2</v>
      </c>
      <c r="AA2488">
        <v>0.96549510000000005</v>
      </c>
      <c r="AB2488">
        <v>35</v>
      </c>
      <c r="AC2488">
        <v>12.305399999999899</v>
      </c>
      <c r="AD2488">
        <v>-1.1211561018139999</v>
      </c>
      <c r="AE2488">
        <v>0.868120000000001</v>
      </c>
      <c r="AF2488">
        <v>-3.2344728274201602</v>
      </c>
      <c r="AG2488">
        <v>-1.1211561018139999</v>
      </c>
      <c r="AH2488">
        <v>11.7996404195127</v>
      </c>
      <c r="AI2488">
        <v>95.235718511400293</v>
      </c>
      <c r="AJ2488">
        <v>105.32916392273199</v>
      </c>
      <c r="AK2488">
        <v>12.286184090503999</v>
      </c>
      <c r="AL2488">
        <v>81.460854224192801</v>
      </c>
      <c r="AM2488">
        <v>93.6911061481171</v>
      </c>
      <c r="AN2488">
        <v>1.0000000360731101</v>
      </c>
    </row>
    <row r="2489" spans="1:40" x14ac:dyDescent="0.3">
      <c r="A2489" t="str">
        <f>"20200111150854207"</f>
        <v>20200111150854207</v>
      </c>
      <c r="B2489" t="str">
        <f>"1578726534195827"</f>
        <v>1578726534195827</v>
      </c>
      <c r="C2489" t="s">
        <v>40</v>
      </c>
      <c r="D2489">
        <v>5.3968920000000002</v>
      </c>
      <c r="E2489">
        <v>0.41920600000000002</v>
      </c>
      <c r="F2489" t="s">
        <v>92</v>
      </c>
      <c r="G2489">
        <v>-382.1361</v>
      </c>
      <c r="H2489" s="1">
        <v>-4.1271410000000003E-6</v>
      </c>
      <c r="I2489">
        <v>17.308429999999898</v>
      </c>
      <c r="J2489">
        <v>-394.29320000000001</v>
      </c>
      <c r="K2489">
        <v>1.121051</v>
      </c>
      <c r="L2489">
        <v>16.380489999999899</v>
      </c>
      <c r="M2489">
        <v>0.981935</v>
      </c>
      <c r="N2489">
        <v>0</v>
      </c>
      <c r="O2489">
        <v>-0.1886921</v>
      </c>
      <c r="P2489">
        <v>0.98234410000000005</v>
      </c>
      <c r="Q2489">
        <v>0.1356637</v>
      </c>
      <c r="R2489">
        <v>-0.12882370000000001</v>
      </c>
      <c r="S2489">
        <v>3.127319</v>
      </c>
      <c r="T2489">
        <v>-0.28349489999999999</v>
      </c>
      <c r="U2489">
        <v>0.22546389999999999</v>
      </c>
      <c r="V2489">
        <v>-6.2949989999999997E-2</v>
      </c>
      <c r="W2489">
        <v>0.14793149999999999</v>
      </c>
      <c r="X2489">
        <v>0.98699219999999999</v>
      </c>
      <c r="Y2489">
        <v>-0.2570211</v>
      </c>
      <c r="Z2489">
        <v>2.8612229999999999E-2</v>
      </c>
      <c r="AA2489">
        <v>0.96598209999999995</v>
      </c>
      <c r="AB2489">
        <v>35</v>
      </c>
      <c r="AC2489">
        <v>12.1571</v>
      </c>
      <c r="AD2489">
        <v>-1.1210551271410001</v>
      </c>
      <c r="AE2489">
        <v>0.92793999999999899</v>
      </c>
      <c r="AF2489">
        <v>-3.1785721717590198</v>
      </c>
      <c r="AG2489">
        <v>-1.1210551271410001</v>
      </c>
      <c r="AH2489">
        <v>11.664939861659301</v>
      </c>
      <c r="AI2489">
        <v>95.297540537230702</v>
      </c>
      <c r="AJ2489">
        <v>105.242431051263</v>
      </c>
      <c r="AK2489">
        <v>12.1421129802559</v>
      </c>
      <c r="AL2489">
        <v>81.492927208933295</v>
      </c>
      <c r="AM2489">
        <v>93.649360210672299</v>
      </c>
      <c r="AN2489">
        <v>1.0000000163970399</v>
      </c>
    </row>
    <row r="2490" spans="1:40" x14ac:dyDescent="0.3">
      <c r="A2490" t="str">
        <f>"20200111150854226"</f>
        <v>20200111150854226</v>
      </c>
      <c r="B2490" t="str">
        <f>"1578726534216323"</f>
        <v>1578726534216323</v>
      </c>
      <c r="C2490" t="s">
        <v>40</v>
      </c>
      <c r="D2490">
        <v>5.3879830000000002</v>
      </c>
      <c r="E2490">
        <v>0.41951309999999897</v>
      </c>
      <c r="F2490" t="s">
        <v>92</v>
      </c>
      <c r="G2490">
        <v>-382.03379999999999</v>
      </c>
      <c r="H2490" s="1">
        <v>-4.1701339999999998E-6</v>
      </c>
      <c r="I2490">
        <v>17.3386</v>
      </c>
      <c r="J2490">
        <v>-393.99349999999998</v>
      </c>
      <c r="K2490">
        <v>1.120906</v>
      </c>
      <c r="L2490">
        <v>16.331510000000002</v>
      </c>
      <c r="M2490">
        <v>0.98380520000000005</v>
      </c>
      <c r="N2490">
        <v>0</v>
      </c>
      <c r="O2490">
        <v>-0.1786866</v>
      </c>
      <c r="P2490">
        <v>0.98343100000000006</v>
      </c>
      <c r="Q2490">
        <v>0.13615239999999901</v>
      </c>
      <c r="R2490">
        <v>-0.11969</v>
      </c>
      <c r="S2490">
        <v>3.1254580000000001</v>
      </c>
      <c r="T2490">
        <v>-0.2858057</v>
      </c>
      <c r="U2490">
        <v>0.2442627</v>
      </c>
      <c r="V2490">
        <v>-6.2018959999999998E-2</v>
      </c>
      <c r="W2490">
        <v>0.14843990000000001</v>
      </c>
      <c r="X2490">
        <v>0.98697480000000004</v>
      </c>
      <c r="Y2490">
        <v>-0.25303120000000001</v>
      </c>
      <c r="Z2490">
        <v>2.7772649999999999E-2</v>
      </c>
      <c r="AA2490">
        <v>0.96705940000000001</v>
      </c>
      <c r="AB2490">
        <v>35</v>
      </c>
      <c r="AC2490">
        <v>11.9596999999999</v>
      </c>
      <c r="AD2490">
        <v>-1.1209101701340001</v>
      </c>
      <c r="AE2490">
        <v>1.00708999999999</v>
      </c>
      <c r="AF2490">
        <v>-3.1010802386197698</v>
      </c>
      <c r="AG2490">
        <v>-1.1209101701340001</v>
      </c>
      <c r="AH2490">
        <v>11.487017693845299</v>
      </c>
      <c r="AI2490">
        <v>95.381837472023307</v>
      </c>
      <c r="AJ2490">
        <v>105.107647929642</v>
      </c>
      <c r="AK2490">
        <v>11.9509294096561</v>
      </c>
      <c r="AL2490">
        <v>81.463472752361199</v>
      </c>
      <c r="AM2490">
        <v>93.595592063086102</v>
      </c>
      <c r="AN2490">
        <v>1.0000000055732601</v>
      </c>
    </row>
    <row r="2491" spans="1:40" x14ac:dyDescent="0.3">
      <c r="A2491" t="str">
        <f>"20200111150854237"</f>
        <v>20200111150854237</v>
      </c>
      <c r="B2491" t="str">
        <f>"1578726534226084"</f>
        <v>1578726534226084</v>
      </c>
      <c r="C2491" t="s">
        <v>40</v>
      </c>
      <c r="D2491">
        <v>7.4322889999999999</v>
      </c>
      <c r="E2491">
        <v>0.41951309999999897</v>
      </c>
      <c r="F2491" t="s">
        <v>92</v>
      </c>
      <c r="G2491">
        <v>-381.68810000000002</v>
      </c>
      <c r="H2491" s="1">
        <v>-4.3227000000000001E-6</v>
      </c>
      <c r="I2491">
        <v>17.39968</v>
      </c>
      <c r="J2491">
        <v>-393.81310000000002</v>
      </c>
      <c r="K2491">
        <v>1.1208209999999901</v>
      </c>
      <c r="L2491">
        <v>16.30322</v>
      </c>
      <c r="M2491">
        <v>0.9848692</v>
      </c>
      <c r="N2491">
        <v>0</v>
      </c>
      <c r="O2491">
        <v>-0.17272860000000001</v>
      </c>
      <c r="P2491">
        <v>0.9839523</v>
      </c>
      <c r="Q2491">
        <v>0.1371368</v>
      </c>
      <c r="R2491">
        <v>-0.1141554</v>
      </c>
      <c r="S2491">
        <v>3.1229550000000001</v>
      </c>
      <c r="T2491">
        <v>-0.28447359999999999</v>
      </c>
      <c r="U2491">
        <v>0.27108759999999998</v>
      </c>
      <c r="V2491">
        <v>-6.1564920000000002E-2</v>
      </c>
      <c r="W2491">
        <v>0.14943290000000001</v>
      </c>
      <c r="X2491">
        <v>0.98685339999999999</v>
      </c>
      <c r="Y2491">
        <v>-0.25551689999999999</v>
      </c>
      <c r="Z2491">
        <v>2.723567E-2</v>
      </c>
      <c r="AA2491">
        <v>0.96642090000000003</v>
      </c>
      <c r="AB2491">
        <v>35</v>
      </c>
      <c r="AC2491">
        <v>12.125</v>
      </c>
      <c r="AD2491">
        <v>-1.12082532269999</v>
      </c>
      <c r="AE2491">
        <v>1.09646</v>
      </c>
      <c r="AF2491">
        <v>-3.1478373290401298</v>
      </c>
      <c r="AG2491">
        <v>-1.12082532269999</v>
      </c>
      <c r="AH2491">
        <v>11.6545294388045</v>
      </c>
      <c r="AI2491">
        <v>95.304354192599106</v>
      </c>
      <c r="AJ2491">
        <v>105.11468125061801</v>
      </c>
      <c r="AK2491">
        <v>12.1240746324849</v>
      </c>
      <c r="AL2491">
        <v>81.405936553604306</v>
      </c>
      <c r="AM2491">
        <v>93.569775037030098</v>
      </c>
      <c r="AN2491">
        <v>1.0000000320342799</v>
      </c>
    </row>
    <row r="2492" spans="1:40" x14ac:dyDescent="0.3">
      <c r="A2492" t="str">
        <f>"20200111150854250"</f>
        <v>20200111150854250</v>
      </c>
      <c r="B2492" t="str">
        <f>"1578726534246579"</f>
        <v>1578726534246579</v>
      </c>
      <c r="C2492" t="s">
        <v>40</v>
      </c>
      <c r="D2492">
        <v>5.4976059999999896</v>
      </c>
      <c r="E2492">
        <v>0.37854910000000003</v>
      </c>
      <c r="F2492" t="s">
        <v>92</v>
      </c>
      <c r="G2492">
        <v>-381.37349999999998</v>
      </c>
      <c r="H2492" s="1">
        <v>-4.4617370000000004E-6</v>
      </c>
      <c r="I2492">
        <v>17.454260000000001</v>
      </c>
      <c r="J2492">
        <v>-393.62810000000002</v>
      </c>
      <c r="K2492">
        <v>1.1207320000000001</v>
      </c>
      <c r="L2492">
        <v>16.275879999999901</v>
      </c>
      <c r="M2492">
        <v>0.98590350000000004</v>
      </c>
      <c r="N2492">
        <v>0</v>
      </c>
      <c r="O2492">
        <v>-0.1667254</v>
      </c>
      <c r="P2492">
        <v>0.9844174</v>
      </c>
      <c r="Q2492">
        <v>0.13831070000000001</v>
      </c>
      <c r="R2492">
        <v>-0.1085951</v>
      </c>
      <c r="S2492">
        <v>3.1216430000000002</v>
      </c>
      <c r="T2492">
        <v>-0.28126590000000001</v>
      </c>
      <c r="U2492">
        <v>0.28884890000000002</v>
      </c>
      <c r="V2492">
        <v>-6.1095040000000003E-2</v>
      </c>
      <c r="W2492">
        <v>0.15061340000000001</v>
      </c>
      <c r="X2492">
        <v>0.98670310000000006</v>
      </c>
      <c r="Y2492">
        <v>-0.25518360000000001</v>
      </c>
      <c r="Z2492">
        <v>2.6386340000000001E-2</v>
      </c>
      <c r="AA2492">
        <v>0.96653250000000002</v>
      </c>
      <c r="AB2492">
        <v>35</v>
      </c>
      <c r="AC2492">
        <v>12.2546</v>
      </c>
      <c r="AD2492">
        <v>-1.1207364617369999</v>
      </c>
      <c r="AE2492">
        <v>1.17838</v>
      </c>
      <c r="AF2492">
        <v>-3.1788933230023102</v>
      </c>
      <c r="AG2492">
        <v>-1.1207364617369999</v>
      </c>
      <c r="AH2492">
        <v>11.7888601467127</v>
      </c>
      <c r="AI2492">
        <v>95.244419607344497</v>
      </c>
      <c r="AJ2492">
        <v>105.09100568942701</v>
      </c>
      <c r="AK2492">
        <v>12.2612656987134</v>
      </c>
      <c r="AL2492">
        <v>81.337524384861496</v>
      </c>
      <c r="AM2492">
        <v>93.543137460327301</v>
      </c>
      <c r="AN2492">
        <v>1.0000000038608801</v>
      </c>
    </row>
    <row r="2493" spans="1:40" x14ac:dyDescent="0.3">
      <c r="A2493" t="str">
        <f>"20200111150854269"</f>
        <v>20200111150854269</v>
      </c>
      <c r="B2493" t="str">
        <f>"1578726534266099"</f>
        <v>1578726534266099</v>
      </c>
      <c r="C2493" t="s">
        <v>40</v>
      </c>
      <c r="D2493">
        <v>5.422606</v>
      </c>
      <c r="E2493">
        <v>0.44518190000000002</v>
      </c>
      <c r="F2493" t="s">
        <v>93</v>
      </c>
      <c r="G2493">
        <v>-280.04239999999999</v>
      </c>
      <c r="H2493">
        <v>26.214559999999999</v>
      </c>
      <c r="I2493">
        <v>40.274500000000003</v>
      </c>
      <c r="J2493">
        <v>-393.35250000000002</v>
      </c>
      <c r="K2493">
        <v>1.120601</v>
      </c>
      <c r="L2493">
        <v>16.23676</v>
      </c>
      <c r="M2493">
        <v>0.98735890000000004</v>
      </c>
      <c r="N2493">
        <v>0</v>
      </c>
      <c r="O2493">
        <v>-0.157880399999999</v>
      </c>
      <c r="P2493">
        <v>0.98493010000000003</v>
      </c>
      <c r="Q2493">
        <v>0.14004029999999901</v>
      </c>
      <c r="R2493">
        <v>-0.1014974</v>
      </c>
      <c r="S2493">
        <v>3.0241389999999999</v>
      </c>
      <c r="T2493">
        <v>0.66810570000000002</v>
      </c>
      <c r="U2493">
        <v>0.63894649999999997</v>
      </c>
      <c r="V2493">
        <v>-5.9308189999999997E-2</v>
      </c>
      <c r="W2493">
        <v>0.1523823</v>
      </c>
      <c r="X2493">
        <v>0.98654050000000004</v>
      </c>
      <c r="Y2493">
        <v>-0.34687669999999998</v>
      </c>
      <c r="Z2493">
        <v>-7.1596469999999995E-2</v>
      </c>
      <c r="AA2493">
        <v>0.93517399999999995</v>
      </c>
      <c r="AB2493">
        <v>35</v>
      </c>
      <c r="AC2493">
        <v>113.31010000000001</v>
      </c>
      <c r="AD2493">
        <v>25.093959000000002</v>
      </c>
      <c r="AE2493">
        <v>24.037739999999999</v>
      </c>
      <c r="AF2493">
        <v>-39.761267290540701</v>
      </c>
      <c r="AG2493">
        <v>25.093959000000002</v>
      </c>
      <c r="AH2493">
        <v>103.247482399386</v>
      </c>
      <c r="AI2493">
        <v>77.220988749773696</v>
      </c>
      <c r="AJ2493">
        <v>111.062015201246</v>
      </c>
      <c r="AK2493">
        <v>113.449141806604</v>
      </c>
      <c r="AL2493">
        <v>81.2349902757134</v>
      </c>
      <c r="AM2493">
        <v>93.440329247575903</v>
      </c>
      <c r="AN2493">
        <v>0.99999999244730797</v>
      </c>
    </row>
    <row r="2494" spans="1:40" x14ac:dyDescent="0.3">
      <c r="A2494" t="str">
        <f>"20200111150854281"</f>
        <v>20200111150854281</v>
      </c>
      <c r="B2494" t="str">
        <f>"1578726534275860"</f>
        <v>1578726534275860</v>
      </c>
      <c r="C2494" t="s">
        <v>40</v>
      </c>
      <c r="D2494">
        <v>5.4697589999999998</v>
      </c>
      <c r="E2494">
        <v>0.44550269999999997</v>
      </c>
      <c r="F2494" t="s">
        <v>92</v>
      </c>
      <c r="G2494">
        <v>-382.97770000000003</v>
      </c>
      <c r="H2494" s="1">
        <v>-3.8444479999999996E-6</v>
      </c>
      <c r="I2494">
        <v>16.659400000000002</v>
      </c>
      <c r="J2494">
        <v>-393.16030000000001</v>
      </c>
      <c r="K2494">
        <v>1.120503</v>
      </c>
      <c r="L2494">
        <v>16.210660000000001</v>
      </c>
      <c r="M2494">
        <v>0.98831449999999998</v>
      </c>
      <c r="N2494">
        <v>0</v>
      </c>
      <c r="O2494">
        <v>-0.15178429999999901</v>
      </c>
      <c r="P2494">
        <v>0.98534560000000004</v>
      </c>
      <c r="Q2494">
        <v>0.1404608</v>
      </c>
      <c r="R2494">
        <v>-9.6771360000000001E-2</v>
      </c>
      <c r="S2494">
        <v>3.1066590000000001</v>
      </c>
      <c r="T2494">
        <v>-0.33555479999999999</v>
      </c>
      <c r="U2494">
        <v>0.12655640000000001</v>
      </c>
      <c r="V2494">
        <v>-5.7911589999999999E-2</v>
      </c>
      <c r="W2494">
        <v>0.1528352</v>
      </c>
      <c r="X2494">
        <v>0.98655340000000002</v>
      </c>
      <c r="Y2494">
        <v>-0.1899228</v>
      </c>
      <c r="Z2494">
        <v>2.6529609999999999E-2</v>
      </c>
      <c r="AA2494">
        <v>0.98144050000000005</v>
      </c>
      <c r="AB2494">
        <v>35</v>
      </c>
      <c r="AC2494">
        <v>10.1825999999999</v>
      </c>
      <c r="AD2494">
        <v>-1.120506844448</v>
      </c>
      <c r="AE2494">
        <v>0.44874000000000003</v>
      </c>
      <c r="AF2494">
        <v>-1.96549575329413</v>
      </c>
      <c r="AG2494">
        <v>-1.120506844448</v>
      </c>
      <c r="AH2494">
        <v>9.8771081182953999</v>
      </c>
      <c r="AI2494">
        <v>96.348802657468497</v>
      </c>
      <c r="AJ2494">
        <v>101.254557710109</v>
      </c>
      <c r="AK2494">
        <v>10.1329153714599</v>
      </c>
      <c r="AL2494">
        <v>81.208733359462201</v>
      </c>
      <c r="AM2494">
        <v>93.359459707609702</v>
      </c>
      <c r="AN2494">
        <v>0.99999998083346298</v>
      </c>
    </row>
    <row r="2495" spans="1:40" x14ac:dyDescent="0.3">
      <c r="A2495" t="str">
        <f>"20200111150854293"</f>
        <v>20200111150854293</v>
      </c>
      <c r="B2495" t="str">
        <f>"1578726534286595"</f>
        <v>1578726534286595</v>
      </c>
      <c r="C2495" t="s">
        <v>40</v>
      </c>
      <c r="D2495">
        <v>6.0346029999999997</v>
      </c>
      <c r="E2495">
        <v>0.44550269999999997</v>
      </c>
      <c r="F2495" t="s">
        <v>92</v>
      </c>
      <c r="G2495">
        <v>-383.04610000000002</v>
      </c>
      <c r="H2495" s="1">
        <v>-3.8112419999999999E-6</v>
      </c>
      <c r="I2495">
        <v>16.664110000000001</v>
      </c>
      <c r="J2495">
        <v>-392.96570000000003</v>
      </c>
      <c r="K2495">
        <v>1.120404</v>
      </c>
      <c r="L2495">
        <v>16.185879999999901</v>
      </c>
      <c r="M2495">
        <v>0.98922829999999995</v>
      </c>
      <c r="N2495">
        <v>0</v>
      </c>
      <c r="O2495">
        <v>-0.14571239999999999</v>
      </c>
      <c r="P2495">
        <v>0.98576779999999997</v>
      </c>
      <c r="Q2495">
        <v>0.1406664</v>
      </c>
      <c r="R2495">
        <v>-9.2058200000000007E-2</v>
      </c>
      <c r="S2495">
        <v>3.1073909999999998</v>
      </c>
      <c r="T2495">
        <v>-0.34425430000000001</v>
      </c>
      <c r="U2495">
        <v>0.13931270000000001</v>
      </c>
      <c r="V2495">
        <v>-5.652969E-2</v>
      </c>
      <c r="W2495">
        <v>0.1530717</v>
      </c>
      <c r="X2495">
        <v>0.9865969</v>
      </c>
      <c r="Y2495">
        <v>-0.18785470000000001</v>
      </c>
      <c r="Z2495">
        <v>2.6425899999999999E-2</v>
      </c>
      <c r="AA2495">
        <v>0.98184130000000003</v>
      </c>
      <c r="AB2495">
        <v>35</v>
      </c>
      <c r="AC2495">
        <v>9.9196000000000009</v>
      </c>
      <c r="AD2495">
        <v>-1.120407811242</v>
      </c>
      <c r="AE2495">
        <v>0.47823000000000299</v>
      </c>
      <c r="AF2495">
        <v>-1.89456098518396</v>
      </c>
      <c r="AG2495">
        <v>-1.120407811242</v>
      </c>
      <c r="AH2495">
        <v>9.6215545081283604</v>
      </c>
      <c r="AI2495">
        <v>96.517996087236696</v>
      </c>
      <c r="AJ2495">
        <v>101.139486466349</v>
      </c>
      <c r="AK2495">
        <v>9.8701056804351701</v>
      </c>
      <c r="AL2495">
        <v>81.195021710772394</v>
      </c>
      <c r="AM2495">
        <v>93.279328311903896</v>
      </c>
      <c r="AN2495">
        <v>0.99999999714099796</v>
      </c>
    </row>
    <row r="2496" spans="1:40" x14ac:dyDescent="0.3">
      <c r="A2496" t="str">
        <f>"20200111150854306"</f>
        <v>20200111150854306</v>
      </c>
      <c r="B2496" t="str">
        <f>"1578726534296355"</f>
        <v>1578726534296355</v>
      </c>
      <c r="C2496" t="s">
        <v>40</v>
      </c>
      <c r="D2496">
        <v>5.4695210000000003</v>
      </c>
      <c r="E2496">
        <v>0.44543709999999997</v>
      </c>
      <c r="F2496" t="s">
        <v>92</v>
      </c>
      <c r="G2496">
        <v>-382.82839999999999</v>
      </c>
      <c r="H2496" s="1">
        <v>-3.9095859999999998E-6</v>
      </c>
      <c r="I2496">
        <v>16.68985</v>
      </c>
      <c r="J2496">
        <v>-392.78190000000001</v>
      </c>
      <c r="K2496">
        <v>1.120309</v>
      </c>
      <c r="L2496">
        <v>16.163360000000001</v>
      </c>
      <c r="M2496">
        <v>0.99004910000000002</v>
      </c>
      <c r="N2496">
        <v>0</v>
      </c>
      <c r="O2496">
        <v>-0.1400286</v>
      </c>
      <c r="P2496">
        <v>0.98607940000000005</v>
      </c>
      <c r="Q2496">
        <v>0.14110729999999999</v>
      </c>
      <c r="R2496">
        <v>-8.7956049999999994E-2</v>
      </c>
      <c r="S2496">
        <v>3.1067200000000001</v>
      </c>
      <c r="T2496">
        <v>-0.34336549999999999</v>
      </c>
      <c r="U2496">
        <v>0.15444949999999999</v>
      </c>
      <c r="V2496">
        <v>-5.4929760000000001E-2</v>
      </c>
      <c r="W2496">
        <v>0.15354760000000001</v>
      </c>
      <c r="X2496">
        <v>0.98661330000000003</v>
      </c>
      <c r="Y2496">
        <v>-0.18704750000000001</v>
      </c>
      <c r="Z2496">
        <v>2.5695530000000001E-2</v>
      </c>
      <c r="AA2496">
        <v>0.98201479999999997</v>
      </c>
      <c r="AB2496">
        <v>35</v>
      </c>
      <c r="AC2496">
        <v>9.9535000000000196</v>
      </c>
      <c r="AD2496">
        <v>-1.120312909586</v>
      </c>
      <c r="AE2496">
        <v>0.52648999999999802</v>
      </c>
      <c r="AF2496">
        <v>-1.8913187214357901</v>
      </c>
      <c r="AG2496">
        <v>-1.120312909586</v>
      </c>
      <c r="AH2496">
        <v>9.6596503304280805</v>
      </c>
      <c r="AI2496">
        <v>96.493318633449903</v>
      </c>
      <c r="AJ2496">
        <v>101.078126748657</v>
      </c>
      <c r="AK2496">
        <v>9.9066155687791699</v>
      </c>
      <c r="AL2496">
        <v>81.167428239637005</v>
      </c>
      <c r="AM2496">
        <v>93.186656415276204</v>
      </c>
      <c r="AN2496">
        <v>0.99999997386815298</v>
      </c>
    </row>
    <row r="2497" spans="1:40" x14ac:dyDescent="0.3">
      <c r="A2497" t="str">
        <f>"20200111150854317"</f>
        <v>20200111150854317</v>
      </c>
      <c r="B2497" t="str">
        <f>"1578726534306116"</f>
        <v>1578726534306116</v>
      </c>
      <c r="C2497" t="s">
        <v>40</v>
      </c>
      <c r="D2497">
        <v>5.450202</v>
      </c>
      <c r="E2497">
        <v>0.44631310000000002</v>
      </c>
      <c r="F2497" t="s">
        <v>92</v>
      </c>
      <c r="G2497">
        <v>-381.87729999999999</v>
      </c>
      <c r="H2497" s="1">
        <v>-4.3477940000000004E-6</v>
      </c>
      <c r="I2497">
        <v>16.754290000000001</v>
      </c>
      <c r="J2497">
        <v>-392.59559999999999</v>
      </c>
      <c r="K2497">
        <v>1.1202099999999999</v>
      </c>
      <c r="L2497">
        <v>16.14142</v>
      </c>
      <c r="M2497">
        <v>0.99084000000000005</v>
      </c>
      <c r="N2497">
        <v>0</v>
      </c>
      <c r="O2497">
        <v>-0.1343191</v>
      </c>
      <c r="P2497">
        <v>0.9863208</v>
      </c>
      <c r="Q2497">
        <v>0.14202779999999901</v>
      </c>
      <c r="R2497">
        <v>-8.3663539999999995E-2</v>
      </c>
      <c r="S2497">
        <v>3.1029659999999999</v>
      </c>
      <c r="T2497">
        <v>-0.3187914</v>
      </c>
      <c r="U2497">
        <v>0.16815189999999999</v>
      </c>
      <c r="V2497">
        <v>-5.3500890000000002E-2</v>
      </c>
      <c r="W2497">
        <v>0.15449839999999901</v>
      </c>
      <c r="X2497">
        <v>0.98654339999999996</v>
      </c>
      <c r="Y2497">
        <v>-0.18607470000000001</v>
      </c>
      <c r="Z2497">
        <v>2.326224E-2</v>
      </c>
      <c r="AA2497">
        <v>0.98226020000000003</v>
      </c>
      <c r="AB2497">
        <v>35</v>
      </c>
      <c r="AC2497">
        <v>10.718299999999999</v>
      </c>
      <c r="AD2497">
        <v>-1.1202143477940001</v>
      </c>
      <c r="AE2497">
        <v>0.61287000000000003</v>
      </c>
      <c r="AF2497">
        <v>-2.0250792991162898</v>
      </c>
      <c r="AG2497">
        <v>-1.1202143477940001</v>
      </c>
      <c r="AH2497">
        <v>10.4253181692933</v>
      </c>
      <c r="AI2497">
        <v>96.021282198545606</v>
      </c>
      <c r="AJ2497">
        <v>100.992600241546</v>
      </c>
      <c r="AK2497">
        <v>10.679095714699301</v>
      </c>
      <c r="AL2497">
        <v>81.112293649042996</v>
      </c>
      <c r="AM2497">
        <v>93.104146697067193</v>
      </c>
      <c r="AN2497">
        <v>0.999999990458456</v>
      </c>
    </row>
    <row r="2498" spans="1:40" x14ac:dyDescent="0.3">
      <c r="A2498" t="str">
        <f>"20200111150854338"</f>
        <v>20200111150854338</v>
      </c>
      <c r="B2498" t="str">
        <f>"1578726534336371"</f>
        <v>1578726534336371</v>
      </c>
      <c r="C2498" t="s">
        <v>40</v>
      </c>
      <c r="D2498">
        <v>5.5231849999999998</v>
      </c>
      <c r="E2498">
        <v>0.44875710000000002</v>
      </c>
      <c r="F2498" t="s">
        <v>92</v>
      </c>
      <c r="G2498">
        <v>-381.48610000000002</v>
      </c>
      <c r="H2498" s="1">
        <v>-4.530496E-6</v>
      </c>
      <c r="I2498">
        <v>16.76681</v>
      </c>
      <c r="J2498">
        <v>-392.28969999999998</v>
      </c>
      <c r="K2498">
        <v>1.120053</v>
      </c>
      <c r="L2498">
        <v>16.107970000000002</v>
      </c>
      <c r="M2498">
        <v>0.99204619999999999</v>
      </c>
      <c r="N2498">
        <v>0</v>
      </c>
      <c r="O2498">
        <v>-0.12510450000000001</v>
      </c>
      <c r="P2498">
        <v>0.98662819999999996</v>
      </c>
      <c r="Q2498">
        <v>0.14467430000000001</v>
      </c>
      <c r="R2498">
        <v>-7.5062100000000007E-2</v>
      </c>
      <c r="S2498">
        <v>3.1014710000000001</v>
      </c>
      <c r="T2498">
        <v>-0.31273190000000001</v>
      </c>
      <c r="U2498">
        <v>0.1745911</v>
      </c>
      <c r="V2498">
        <v>-5.2884849999999997E-2</v>
      </c>
      <c r="W2498">
        <v>0.15714690000000001</v>
      </c>
      <c r="X2498">
        <v>0.98615830000000004</v>
      </c>
      <c r="Y2498">
        <v>-0.179143</v>
      </c>
      <c r="Z2498">
        <v>2.1562230000000002E-2</v>
      </c>
      <c r="AA2498">
        <v>0.98358670000000004</v>
      </c>
      <c r="AB2498">
        <v>35</v>
      </c>
      <c r="AC2498">
        <v>10.8035999999999</v>
      </c>
      <c r="AD2498">
        <v>-1.1200575304960001</v>
      </c>
      <c r="AE2498">
        <v>0.65883999999999698</v>
      </c>
      <c r="AF2498">
        <v>-1.9841252769783899</v>
      </c>
      <c r="AG2498">
        <v>-1.1200575304960001</v>
      </c>
      <c r="AH2498">
        <v>10.523581474172699</v>
      </c>
      <c r="AI2498">
        <v>95.970878059192302</v>
      </c>
      <c r="AJ2498">
        <v>100.67725680156001</v>
      </c>
      <c r="AK2498">
        <v>10.7674067922558</v>
      </c>
      <c r="AL2498">
        <v>80.958669974156095</v>
      </c>
      <c r="AM2498">
        <v>93.069668432198398</v>
      </c>
      <c r="AN2498">
        <v>1.000000074099</v>
      </c>
    </row>
    <row r="2499" spans="1:40" x14ac:dyDescent="0.3">
      <c r="A2499" t="str">
        <f>"20200111150854350"</f>
        <v>20200111150854350</v>
      </c>
      <c r="B2499" t="str">
        <f>"1578726534346131"</f>
        <v>1578726534346131</v>
      </c>
      <c r="C2499" t="s">
        <v>40</v>
      </c>
      <c r="D2499">
        <v>5.4730660000000002</v>
      </c>
      <c r="E2499">
        <v>0.4494456</v>
      </c>
      <c r="F2499" t="s">
        <v>92</v>
      </c>
      <c r="G2499">
        <v>-381.63900000000001</v>
      </c>
      <c r="H2499" s="1">
        <v>-4.4644080000000002E-6</v>
      </c>
      <c r="I2499">
        <v>16.731670000000001</v>
      </c>
      <c r="J2499">
        <v>-392.11149999999998</v>
      </c>
      <c r="K2499">
        <v>1.119958</v>
      </c>
      <c r="L2499">
        <v>16.09</v>
      </c>
      <c r="M2499">
        <v>0.99269569999999996</v>
      </c>
      <c r="N2499">
        <v>0</v>
      </c>
      <c r="O2499">
        <v>-0.1198409</v>
      </c>
      <c r="P2499">
        <v>0.98687619999999998</v>
      </c>
      <c r="Q2499">
        <v>0.14577509999999999</v>
      </c>
      <c r="R2499">
        <v>-6.9459759999999995E-2</v>
      </c>
      <c r="S2499">
        <v>3.1023559999999999</v>
      </c>
      <c r="T2499">
        <v>-0.32625279999999901</v>
      </c>
      <c r="U2499">
        <v>0.1816711</v>
      </c>
      <c r="V2499">
        <v>-5.3221129999999998E-2</v>
      </c>
      <c r="W2499">
        <v>0.15823129999999999</v>
      </c>
      <c r="X2499">
        <v>0.98596669999999997</v>
      </c>
      <c r="Y2499">
        <v>-0.176058399999999</v>
      </c>
      <c r="Z2499">
        <v>2.177105E-2</v>
      </c>
      <c r="AA2499">
        <v>0.98413899999999999</v>
      </c>
      <c r="AB2499">
        <v>35</v>
      </c>
      <c r="AC2499">
        <v>10.472499999999901</v>
      </c>
      <c r="AD2499">
        <v>-1.119962464408</v>
      </c>
      <c r="AE2499">
        <v>0.64167000000000096</v>
      </c>
      <c r="AF2499">
        <v>-1.8708828985182999</v>
      </c>
      <c r="AG2499">
        <v>-1.119962464408</v>
      </c>
      <c r="AH2499">
        <v>10.203842170698101</v>
      </c>
      <c r="AI2499">
        <v>96.161743760172001</v>
      </c>
      <c r="AJ2499">
        <v>100.389827521192</v>
      </c>
      <c r="AK2499">
        <v>10.434218408015401</v>
      </c>
      <c r="AL2499">
        <v>80.895750409753006</v>
      </c>
      <c r="AM2499">
        <v>93.089749053312005</v>
      </c>
      <c r="AN2499">
        <v>0.99999998324352801</v>
      </c>
    </row>
    <row r="2500" spans="1:40" x14ac:dyDescent="0.3">
      <c r="A2500" t="str">
        <f>"20200111150854370"</f>
        <v>20200111150854370</v>
      </c>
      <c r="B2500" t="str">
        <f>"1578726534366159"</f>
        <v>1578726534366159</v>
      </c>
      <c r="C2500" t="s">
        <v>40</v>
      </c>
      <c r="D2500">
        <v>5.4886249999999999</v>
      </c>
      <c r="E2500">
        <v>0.45122499999999999</v>
      </c>
      <c r="F2500" t="s">
        <v>92</v>
      </c>
      <c r="G2500">
        <v>-381.15719999999999</v>
      </c>
      <c r="H2500" s="1">
        <v>-4.6850229999999996E-6</v>
      </c>
      <c r="I2500">
        <v>16.772120000000001</v>
      </c>
      <c r="J2500">
        <v>-391.81450000000001</v>
      </c>
      <c r="K2500">
        <v>1.1197889999999999</v>
      </c>
      <c r="L2500">
        <v>16.061710000000001</v>
      </c>
      <c r="M2500">
        <v>0.99370270000000005</v>
      </c>
      <c r="N2500">
        <v>0</v>
      </c>
      <c r="O2500">
        <v>-0.1111883</v>
      </c>
      <c r="P2500">
        <v>0.98741440000000003</v>
      </c>
      <c r="Q2500">
        <v>0.1464646</v>
      </c>
      <c r="R2500">
        <v>-5.9675239999999997E-2</v>
      </c>
      <c r="S2500">
        <v>3.1002809999999998</v>
      </c>
      <c r="T2500">
        <v>-0.31696980000000002</v>
      </c>
      <c r="U2500">
        <v>0.19305420000000001</v>
      </c>
      <c r="V2500">
        <v>-5.4341800000000003E-2</v>
      </c>
      <c r="W2500">
        <v>0.15888339999999901</v>
      </c>
      <c r="X2500">
        <v>0.98580069999999997</v>
      </c>
      <c r="Y2500">
        <v>-0.1712805</v>
      </c>
      <c r="Z2500">
        <v>2.0045190000000001E-2</v>
      </c>
      <c r="AA2500">
        <v>0.98501839999999996</v>
      </c>
      <c r="AB2500">
        <v>35</v>
      </c>
      <c r="AC2500">
        <v>10.657299999999999</v>
      </c>
      <c r="AD2500">
        <v>-1.1197936850229999</v>
      </c>
      <c r="AE2500">
        <v>0.71040999999999899</v>
      </c>
      <c r="AF2500">
        <v>-1.8705252188861401</v>
      </c>
      <c r="AG2500">
        <v>-1.1197936850229999</v>
      </c>
      <c r="AH2500">
        <v>10.3979197639391</v>
      </c>
      <c r="AI2500">
        <v>96.050339017072204</v>
      </c>
      <c r="AJ2500">
        <v>100.19810068734699</v>
      </c>
      <c r="AK2500">
        <v>10.624007619953099</v>
      </c>
      <c r="AL2500">
        <v>80.857909220251699</v>
      </c>
      <c r="AM2500">
        <v>93.155209560827899</v>
      </c>
      <c r="AN2500">
        <v>0.999999993071645</v>
      </c>
    </row>
    <row r="2501" spans="1:40" x14ac:dyDescent="0.3">
      <c r="A2501" t="str">
        <f>"20200111150854382"</f>
        <v>20200111150854382</v>
      </c>
      <c r="B2501" t="str">
        <f>"1578726534375919"</f>
        <v>1578726534375919</v>
      </c>
      <c r="C2501" t="s">
        <v>40</v>
      </c>
      <c r="D2501">
        <v>5.4879819999999997</v>
      </c>
      <c r="E2501">
        <v>0.45197039999999999</v>
      </c>
      <c r="F2501" t="s">
        <v>92</v>
      </c>
      <c r="G2501">
        <v>-380.7593</v>
      </c>
      <c r="H2501" s="1">
        <v>-4.8669339999999996E-6</v>
      </c>
      <c r="I2501">
        <v>16.806850000000001</v>
      </c>
      <c r="J2501">
        <v>-391.60939999999999</v>
      </c>
      <c r="K2501">
        <v>1.119661</v>
      </c>
      <c r="L2501">
        <v>16.04346</v>
      </c>
      <c r="M2501">
        <v>0.99434350000000005</v>
      </c>
      <c r="N2501">
        <v>0</v>
      </c>
      <c r="O2501">
        <v>-0.10530630000000001</v>
      </c>
      <c r="P2501">
        <v>0.98786189999999996</v>
      </c>
      <c r="Q2501">
        <v>0.14583879999999999</v>
      </c>
      <c r="R2501">
        <v>-5.3478280000000003E-2</v>
      </c>
      <c r="S2501">
        <v>3.0974119999999998</v>
      </c>
      <c r="T2501">
        <v>-0.3137392</v>
      </c>
      <c r="U2501">
        <v>0.20877080000000001</v>
      </c>
      <c r="V2501">
        <v>-5.463937E-2</v>
      </c>
      <c r="W2501">
        <v>0.15824639999999901</v>
      </c>
      <c r="X2501">
        <v>0.9858867</v>
      </c>
      <c r="Y2501">
        <v>-0.1705469</v>
      </c>
      <c r="Z2501">
        <v>1.922863E-2</v>
      </c>
      <c r="AA2501">
        <v>0.98516190000000003</v>
      </c>
      <c r="AB2501">
        <v>35</v>
      </c>
      <c r="AC2501">
        <v>10.8500999999999</v>
      </c>
      <c r="AD2501">
        <v>-1.1196658669340001</v>
      </c>
      <c r="AE2501">
        <v>0.76339000000000101</v>
      </c>
      <c r="AF2501">
        <v>-1.8818963379993301</v>
      </c>
      <c r="AG2501">
        <v>-1.1196658669340001</v>
      </c>
      <c r="AH2501">
        <v>10.597070096806601</v>
      </c>
      <c r="AI2501">
        <v>95.939138806923793</v>
      </c>
      <c r="AJ2501">
        <v>100.069972673591</v>
      </c>
      <c r="AK2501">
        <v>10.820955600924799</v>
      </c>
      <c r="AL2501">
        <v>80.894874216046901</v>
      </c>
      <c r="AM2501">
        <v>93.172175790519503</v>
      </c>
      <c r="AN2501">
        <v>0.99999998455192296</v>
      </c>
    </row>
    <row r="2502" spans="1:40" x14ac:dyDescent="0.3">
      <c r="A2502" t="str">
        <f>"20200111150854395"</f>
        <v>20200111150854395</v>
      </c>
      <c r="B2502" t="str">
        <f>"1578726534385678"</f>
        <v>1578726534385678</v>
      </c>
      <c r="C2502" t="s">
        <v>40</v>
      </c>
      <c r="D2502">
        <v>5.4815259999999997</v>
      </c>
      <c r="E2502">
        <v>0.4526096</v>
      </c>
      <c r="F2502" t="s">
        <v>92</v>
      </c>
      <c r="G2502">
        <v>-380.61939999999998</v>
      </c>
      <c r="H2502" s="1">
        <v>-4.9284339999999998E-6</v>
      </c>
      <c r="I2502">
        <v>16.833100000000002</v>
      </c>
      <c r="J2502">
        <v>-391.40519999999998</v>
      </c>
      <c r="K2502">
        <v>1.119521</v>
      </c>
      <c r="L2502">
        <v>16.02664</v>
      </c>
      <c r="M2502">
        <v>0.99493640000000005</v>
      </c>
      <c r="N2502">
        <v>0</v>
      </c>
      <c r="O2502">
        <v>-9.955174E-2</v>
      </c>
      <c r="P2502">
        <v>0.98824900000000004</v>
      </c>
      <c r="Q2502">
        <v>0.1451432</v>
      </c>
      <c r="R2502">
        <v>-4.7927289999999997E-2</v>
      </c>
      <c r="S2502">
        <v>3.0954899999999999</v>
      </c>
      <c r="T2502">
        <v>-0.31536839999999999</v>
      </c>
      <c r="U2502">
        <v>0.2224121</v>
      </c>
      <c r="V2502">
        <v>-5.4415600000000001E-2</v>
      </c>
      <c r="W2502">
        <v>0.15755229999999901</v>
      </c>
      <c r="X2502">
        <v>0.98601030000000001</v>
      </c>
      <c r="Y2502">
        <v>-0.169229399999999</v>
      </c>
      <c r="Z2502">
        <v>1.86879E-2</v>
      </c>
      <c r="AA2502">
        <v>0.98539949999999998</v>
      </c>
      <c r="AB2502">
        <v>35</v>
      </c>
      <c r="AC2502">
        <v>10.785799999999901</v>
      </c>
      <c r="AD2502">
        <v>-1.119525928434</v>
      </c>
      <c r="AE2502">
        <v>0.80646000000000095</v>
      </c>
      <c r="AF2502">
        <v>-1.85641160287162</v>
      </c>
      <c r="AG2502">
        <v>-1.119525928434</v>
      </c>
      <c r="AH2502">
        <v>10.539005399683001</v>
      </c>
      <c r="AI2502">
        <v>95.972347576628195</v>
      </c>
      <c r="AJ2502">
        <v>99.989984895342005</v>
      </c>
      <c r="AK2502">
        <v>10.759657855074201</v>
      </c>
      <c r="AL2502">
        <v>80.935149031971207</v>
      </c>
      <c r="AM2502">
        <v>93.158815618918197</v>
      </c>
      <c r="AN2502">
        <v>1.0000000482323601</v>
      </c>
    </row>
    <row r="2503" spans="1:40" x14ac:dyDescent="0.3">
      <c r="A2503" t="str">
        <f>"20200111150854415"</f>
        <v>20200111150854415</v>
      </c>
      <c r="B2503" t="str">
        <f>"1578726534406174"</f>
        <v>1578726534406174</v>
      </c>
      <c r="C2503" t="s">
        <v>40</v>
      </c>
      <c r="D2503">
        <v>5.4614510000000003</v>
      </c>
      <c r="E2503">
        <v>0.45378829999999998</v>
      </c>
      <c r="F2503" t="s">
        <v>92</v>
      </c>
      <c r="G2503">
        <v>-380.46319999999997</v>
      </c>
      <c r="H2503" s="1">
        <v>-4.9976399999999996E-6</v>
      </c>
      <c r="I2503">
        <v>16.858979999999999</v>
      </c>
      <c r="J2503">
        <v>-391.1044</v>
      </c>
      <c r="K2503">
        <v>1.1193059999999999</v>
      </c>
      <c r="L2503">
        <v>16.003910000000001</v>
      </c>
      <c r="M2503">
        <v>0.99573420000000001</v>
      </c>
      <c r="N2503">
        <v>0</v>
      </c>
      <c r="O2503">
        <v>-9.1233519999999999E-2</v>
      </c>
      <c r="P2503">
        <v>0.98884749999999999</v>
      </c>
      <c r="Q2503">
        <v>0.143511</v>
      </c>
      <c r="R2503">
        <v>-3.9822440000000001E-2</v>
      </c>
      <c r="S2503">
        <v>3.0935359999999998</v>
      </c>
      <c r="T2503">
        <v>-0.31651360000000001</v>
      </c>
      <c r="U2503">
        <v>0.235321</v>
      </c>
      <c r="V2503">
        <v>-5.4165100000000001E-2</v>
      </c>
      <c r="W2503">
        <v>0.15592149999999999</v>
      </c>
      <c r="X2503">
        <v>0.98628320000000003</v>
      </c>
      <c r="Y2503">
        <v>-0.1651801</v>
      </c>
      <c r="Z2503">
        <v>1.7712169999999999E-2</v>
      </c>
      <c r="AA2503">
        <v>0.98610439999999999</v>
      </c>
      <c r="AB2503">
        <v>35</v>
      </c>
      <c r="AC2503">
        <v>10.6412</v>
      </c>
      <c r="AD2503">
        <v>-1.11931099764</v>
      </c>
      <c r="AE2503">
        <v>0.855069999999997</v>
      </c>
      <c r="AF2503">
        <v>-1.8026130429485201</v>
      </c>
      <c r="AG2503">
        <v>-1.11931099764</v>
      </c>
      <c r="AH2503">
        <v>10.4044161559234</v>
      </c>
      <c r="AI2503">
        <v>96.050826633298499</v>
      </c>
      <c r="AJ2503">
        <v>99.829184845430603</v>
      </c>
      <c r="AK2503">
        <v>10.6185755371277</v>
      </c>
      <c r="AL2503">
        <v>81.029755519558194</v>
      </c>
      <c r="AM2503">
        <v>93.143435116087701</v>
      </c>
      <c r="AN2503">
        <v>0.99999996141124903</v>
      </c>
    </row>
    <row r="2504" spans="1:40" x14ac:dyDescent="0.3">
      <c r="A2504" t="str">
        <f>"20200111150854428"</f>
        <v>20200111150854428</v>
      </c>
      <c r="B2504" t="str">
        <f>"1578726534425695"</f>
        <v>1578726534425695</v>
      </c>
      <c r="C2504" t="s">
        <v>40</v>
      </c>
      <c r="D2504">
        <v>5.4893960000000002</v>
      </c>
      <c r="E2504">
        <v>0.45463599999999998</v>
      </c>
      <c r="F2504" t="s">
        <v>92</v>
      </c>
      <c r="G2504">
        <v>-380.27730000000003</v>
      </c>
      <c r="H2504" s="1">
        <v>-5.0802960000000002E-6</v>
      </c>
      <c r="I2504">
        <v>16.888660000000002</v>
      </c>
      <c r="J2504">
        <v>-390.91739999999999</v>
      </c>
      <c r="K2504">
        <v>1.119167</v>
      </c>
      <c r="L2504">
        <v>15.99103</v>
      </c>
      <c r="M2504">
        <v>0.99618390000000001</v>
      </c>
      <c r="N2504">
        <v>0</v>
      </c>
      <c r="O2504">
        <v>-8.6187760000000002E-2</v>
      </c>
      <c r="P2504">
        <v>0.98915359999999997</v>
      </c>
      <c r="Q2504">
        <v>0.14275379999999999</v>
      </c>
      <c r="R2504">
        <v>-3.4595040000000001E-2</v>
      </c>
      <c r="S2504">
        <v>3.090363</v>
      </c>
      <c r="T2504">
        <v>-0.3194823</v>
      </c>
      <c r="U2504">
        <v>0.25253300000000001</v>
      </c>
      <c r="V2504">
        <v>-5.4320779999999999E-2</v>
      </c>
      <c r="W2504">
        <v>0.15515880000000001</v>
      </c>
      <c r="X2504">
        <v>0.98639489999999996</v>
      </c>
      <c r="Y2504">
        <v>-0.16571610000000001</v>
      </c>
      <c r="Z2504">
        <v>1.7401110000000001E-2</v>
      </c>
      <c r="AA2504">
        <v>0.98602000000000001</v>
      </c>
      <c r="AB2504">
        <v>35</v>
      </c>
      <c r="AC2504">
        <v>10.640099999999901</v>
      </c>
      <c r="AD2504">
        <v>-1.1191720802959999</v>
      </c>
      <c r="AE2504">
        <v>0.89763000000000204</v>
      </c>
      <c r="AF2504">
        <v>-1.7917391409499499</v>
      </c>
      <c r="AG2504">
        <v>-1.1191720802959999</v>
      </c>
      <c r="AH2504">
        <v>10.4087813655535</v>
      </c>
      <c r="AI2504">
        <v>96.048687628770693</v>
      </c>
      <c r="AJ2504">
        <v>99.767019731916406</v>
      </c>
      <c r="AK2504">
        <v>10.620998296319399</v>
      </c>
      <c r="AL2504">
        <v>81.0739933008294</v>
      </c>
      <c r="AM2504">
        <v>93.152095437536701</v>
      </c>
      <c r="AN2504">
        <v>0.99999994955162796</v>
      </c>
    </row>
    <row r="2505" spans="1:40" x14ac:dyDescent="0.3">
      <c r="A2505" t="str">
        <f>"20200111150854442"</f>
        <v>20200111150854442</v>
      </c>
      <c r="B2505" t="str">
        <f>"1578726534436432"</f>
        <v>1578726534436432</v>
      </c>
      <c r="C2505" t="s">
        <v>40</v>
      </c>
      <c r="D2505">
        <v>6.26966</v>
      </c>
      <c r="E2505">
        <v>0.45463599999999998</v>
      </c>
      <c r="F2505" t="s">
        <v>92</v>
      </c>
      <c r="G2505">
        <v>-380.08069999999998</v>
      </c>
      <c r="H2505" s="1">
        <v>-5.1696719999999999E-6</v>
      </c>
      <c r="I2505">
        <v>16.908470000000001</v>
      </c>
      <c r="J2505">
        <v>-390.7038</v>
      </c>
      <c r="K2505">
        <v>1.119003</v>
      </c>
      <c r="L2505">
        <v>15.977169999999999</v>
      </c>
      <c r="M2505">
        <v>0.99665910000000002</v>
      </c>
      <c r="N2505">
        <v>0</v>
      </c>
      <c r="O2505">
        <v>-8.0509419999999998E-2</v>
      </c>
      <c r="P2505">
        <v>0.98942660000000004</v>
      </c>
      <c r="Q2505">
        <v>0.14210709999999999</v>
      </c>
      <c r="R2505">
        <v>-2.899409E-2</v>
      </c>
      <c r="S2505">
        <v>3.088104</v>
      </c>
      <c r="T2505">
        <v>-0.31892949999999998</v>
      </c>
      <c r="U2505">
        <v>0.26144410000000001</v>
      </c>
      <c r="V2505">
        <v>-5.4214400000000003E-2</v>
      </c>
      <c r="W2505">
        <v>0.15451210000000001</v>
      </c>
      <c r="X2505">
        <v>0.98650230000000005</v>
      </c>
      <c r="Y2505">
        <v>-0.16302829999999999</v>
      </c>
      <c r="Z2505">
        <v>1.6660399999999999E-2</v>
      </c>
      <c r="AA2505">
        <v>0.98648069999999999</v>
      </c>
      <c r="AB2505">
        <v>35</v>
      </c>
      <c r="AC2505">
        <v>10.623100000000001</v>
      </c>
      <c r="AD2505">
        <v>-1.119008169672</v>
      </c>
      <c r="AE2505">
        <v>0.93130000000000002</v>
      </c>
      <c r="AF2505">
        <v>-1.76419063732814</v>
      </c>
      <c r="AG2505">
        <v>-1.119008169672</v>
      </c>
      <c r="AH2505">
        <v>10.399115898634699</v>
      </c>
      <c r="AI2505">
        <v>96.055871552328099</v>
      </c>
      <c r="AJ2505">
        <v>99.628450172270902</v>
      </c>
      <c r="AK2505">
        <v>10.606892068926999</v>
      </c>
      <c r="AL2505">
        <v>81.111499144029395</v>
      </c>
      <c r="AM2505">
        <v>93.145593082049302</v>
      </c>
      <c r="AN2505">
        <v>0.99999998905952903</v>
      </c>
    </row>
    <row r="2506" spans="1:40" x14ac:dyDescent="0.3">
      <c r="A2506" t="str">
        <f>"20200111150854459"</f>
        <v>20200111150854459</v>
      </c>
      <c r="B2506" t="str">
        <f>"1578726534455951"</f>
        <v>1578726534455951</v>
      </c>
      <c r="C2506" t="s">
        <v>40</v>
      </c>
      <c r="D2506">
        <v>5.4272879999999999</v>
      </c>
      <c r="E2506">
        <v>0.45333010000000001</v>
      </c>
      <c r="F2506" t="s">
        <v>94</v>
      </c>
      <c r="G2506">
        <v>-379.95229999999998</v>
      </c>
      <c r="H2506" s="1">
        <v>-7.1286639999999997E-7</v>
      </c>
      <c r="I2506">
        <v>16.94661</v>
      </c>
      <c r="J2506">
        <v>-390.43029999999999</v>
      </c>
      <c r="K2506">
        <v>1.1187780000000001</v>
      </c>
      <c r="L2506">
        <v>15.96115</v>
      </c>
      <c r="M2506">
        <v>0.99720549999999997</v>
      </c>
      <c r="N2506">
        <v>0</v>
      </c>
      <c r="O2506">
        <v>-7.3439329999999997E-2</v>
      </c>
      <c r="P2506">
        <v>0.98983520000000003</v>
      </c>
      <c r="Q2506">
        <v>0.1402216</v>
      </c>
      <c r="R2506">
        <v>-2.3753969999999999E-2</v>
      </c>
      <c r="S2506">
        <v>3.0863649999999998</v>
      </c>
      <c r="T2506">
        <v>-0.32122590000000001</v>
      </c>
      <c r="U2506">
        <v>0.27828979999999998</v>
      </c>
      <c r="V2506">
        <v>-5.2330460000000002E-2</v>
      </c>
      <c r="W2506">
        <v>0.15266830000000001</v>
      </c>
      <c r="X2506">
        <v>0.98689099999999996</v>
      </c>
      <c r="Y2506">
        <v>-0.16145000000000001</v>
      </c>
      <c r="Z2506">
        <v>1.5971760000000002E-2</v>
      </c>
      <c r="AA2506">
        <v>0.98675170000000001</v>
      </c>
      <c r="AB2506">
        <v>35</v>
      </c>
      <c r="AC2506">
        <v>10.478</v>
      </c>
      <c r="AD2506">
        <v>-1.1187787128664</v>
      </c>
      <c r="AE2506">
        <v>0.985459999999999</v>
      </c>
      <c r="AF2506">
        <v>-1.7327862654895401</v>
      </c>
      <c r="AG2506">
        <v>-1.1187787128664</v>
      </c>
      <c r="AH2506">
        <v>10.261361475719299</v>
      </c>
      <c r="AI2506">
        <v>96.136088573569197</v>
      </c>
      <c r="AJ2506">
        <v>99.584837301412406</v>
      </c>
      <c r="AK2506">
        <v>10.4666018069671</v>
      </c>
      <c r="AL2506">
        <v>81.218409451686</v>
      </c>
      <c r="AM2506">
        <v>93.035298830012707</v>
      </c>
      <c r="AN2506">
        <v>0.99999996637485</v>
      </c>
    </row>
    <row r="2507" spans="1:40" x14ac:dyDescent="0.3">
      <c r="A2507" t="str">
        <f>"20200111150854473"</f>
        <v>20200111150854473</v>
      </c>
      <c r="B2507" t="str">
        <f>"1578726534465711"</f>
        <v>1578726534465711</v>
      </c>
      <c r="C2507" t="s">
        <v>40</v>
      </c>
      <c r="D2507">
        <v>5.4437829999999998</v>
      </c>
      <c r="E2507">
        <v>0.45294410000000002</v>
      </c>
      <c r="F2507" t="s">
        <v>94</v>
      </c>
      <c r="G2507">
        <v>-379.83280000000002</v>
      </c>
      <c r="H2507" s="1">
        <v>-7.4160759999999996E-7</v>
      </c>
      <c r="I2507">
        <v>17.011089999999999</v>
      </c>
      <c r="J2507">
        <v>-390.21690000000001</v>
      </c>
      <c r="K2507">
        <v>1.1185940000000001</v>
      </c>
      <c r="L2507">
        <v>15.950229999999999</v>
      </c>
      <c r="M2507">
        <v>0.99758469999999999</v>
      </c>
      <c r="N2507">
        <v>0</v>
      </c>
      <c r="O2507">
        <v>-6.8101670000000003E-2</v>
      </c>
      <c r="P2507">
        <v>0.99012239999999996</v>
      </c>
      <c r="Q2507">
        <v>0.1387428</v>
      </c>
      <c r="R2507">
        <v>-2.0214240000000001E-2</v>
      </c>
      <c r="S2507">
        <v>3.0842900000000002</v>
      </c>
      <c r="T2507">
        <v>-0.32560790000000001</v>
      </c>
      <c r="U2507">
        <v>0.30557250000000002</v>
      </c>
      <c r="V2507">
        <v>-5.0487570000000002E-2</v>
      </c>
      <c r="W2507">
        <v>0.15122749999999999</v>
      </c>
      <c r="X2507">
        <v>0.9872088</v>
      </c>
      <c r="Y2507">
        <v>-0.16485469999999999</v>
      </c>
      <c r="Z2507">
        <v>1.581142E-2</v>
      </c>
      <c r="AA2507">
        <v>0.98619109999999999</v>
      </c>
      <c r="AB2507">
        <v>35</v>
      </c>
      <c r="AC2507">
        <v>10.384099999999901</v>
      </c>
      <c r="AD2507">
        <v>-1.1185947416076001</v>
      </c>
      <c r="AE2507">
        <v>1.0608599999999999</v>
      </c>
      <c r="AF2507">
        <v>-1.7455906770665499</v>
      </c>
      <c r="AG2507">
        <v>-1.1185947416076001</v>
      </c>
      <c r="AH2507">
        <v>10.170930121973701</v>
      </c>
      <c r="AI2507">
        <v>96.186409757071601</v>
      </c>
      <c r="AJ2507">
        <v>99.738537656913095</v>
      </c>
      <c r="AK2507">
        <v>10.3800848047541</v>
      </c>
      <c r="AL2507">
        <v>81.301931178883606</v>
      </c>
      <c r="AM2507">
        <v>92.927654896878806</v>
      </c>
      <c r="AN2507">
        <v>0.99999998313909699</v>
      </c>
    </row>
    <row r="2508" spans="1:40" x14ac:dyDescent="0.3">
      <c r="A2508" t="str">
        <f>"20200111150854494"</f>
        <v>20200111150854494</v>
      </c>
      <c r="B2508" t="str">
        <f>"1578726534486207"</f>
        <v>1578726534486207</v>
      </c>
      <c r="C2508" t="s">
        <v>40</v>
      </c>
      <c r="D2508">
        <v>5.4441579999999998</v>
      </c>
      <c r="E2508">
        <v>0.45242949999999998</v>
      </c>
      <c r="F2508" t="s">
        <v>94</v>
      </c>
      <c r="G2508">
        <v>-379.74180000000001</v>
      </c>
      <c r="H2508" s="1">
        <v>-7.6909109999999998E-7</v>
      </c>
      <c r="I2508">
        <v>17.039100000000001</v>
      </c>
      <c r="J2508">
        <v>-389.91239999999999</v>
      </c>
      <c r="K2508">
        <v>1.1183299999999901</v>
      </c>
      <c r="L2508">
        <v>15.9361</v>
      </c>
      <c r="M2508">
        <v>0.99806490000000003</v>
      </c>
      <c r="N2508">
        <v>0</v>
      </c>
      <c r="O2508">
        <v>-6.0666110000000002E-2</v>
      </c>
      <c r="P2508">
        <v>0.99047339999999995</v>
      </c>
      <c r="Q2508">
        <v>0.13658219999999999</v>
      </c>
      <c r="R2508">
        <v>-1.7539969999999998E-2</v>
      </c>
      <c r="S2508">
        <v>3.082611</v>
      </c>
      <c r="T2508">
        <v>-0.329179</v>
      </c>
      <c r="U2508">
        <v>0.32043460000000001</v>
      </c>
      <c r="V2508">
        <v>-4.5661319999999998E-2</v>
      </c>
      <c r="W2508">
        <v>0.14916599999999999</v>
      </c>
      <c r="X2508">
        <v>0.98775729999999995</v>
      </c>
      <c r="Y2508">
        <v>-0.162292299999999</v>
      </c>
      <c r="Z2508">
        <v>1.506305E-2</v>
      </c>
      <c r="AA2508">
        <v>0.98662780000000005</v>
      </c>
      <c r="AB2508">
        <v>35</v>
      </c>
      <c r="AC2508">
        <v>10.170599999999901</v>
      </c>
      <c r="AD2508">
        <v>-1.11833076909109</v>
      </c>
      <c r="AE2508">
        <v>1.103</v>
      </c>
      <c r="AF2508">
        <v>-1.6977480209901199</v>
      </c>
      <c r="AG2508">
        <v>-1.11833076909109</v>
      </c>
      <c r="AH2508">
        <v>9.96585019764081</v>
      </c>
      <c r="AI2508">
        <v>96.3125399991862</v>
      </c>
      <c r="AJ2508">
        <v>99.667900059864493</v>
      </c>
      <c r="AK2508">
        <v>10.171095428403399</v>
      </c>
      <c r="AL2508">
        <v>81.4214015784613</v>
      </c>
      <c r="AM2508">
        <v>92.646743017126298</v>
      </c>
      <c r="AN2508">
        <v>0.99999996770171495</v>
      </c>
    </row>
    <row r="2509" spans="1:40" x14ac:dyDescent="0.3">
      <c r="A2509" t="str">
        <f>"20200111150854508"</f>
        <v>20200111150854508</v>
      </c>
      <c r="B2509" t="str">
        <f>"1578726534495967"</f>
        <v>1578726534495967</v>
      </c>
      <c r="C2509" t="s">
        <v>40</v>
      </c>
      <c r="D2509">
        <v>5.5169240000000004</v>
      </c>
      <c r="E2509">
        <v>0.45242949999999998</v>
      </c>
      <c r="F2509" t="s">
        <v>94</v>
      </c>
      <c r="G2509">
        <v>-379.69779999999997</v>
      </c>
      <c r="H2509" s="1">
        <v>-7.8484569999999996E-7</v>
      </c>
      <c r="I2509">
        <v>17.04336</v>
      </c>
      <c r="J2509">
        <v>-389.6909</v>
      </c>
      <c r="K2509">
        <v>1.1181299999999901</v>
      </c>
      <c r="L2509">
        <v>15.92712</v>
      </c>
      <c r="M2509">
        <v>0.99836879999999995</v>
      </c>
      <c r="N2509">
        <v>0</v>
      </c>
      <c r="O2509">
        <v>-5.5448959999999999E-2</v>
      </c>
      <c r="P2509">
        <v>0.99053360000000001</v>
      </c>
      <c r="Q2509">
        <v>0.1364813</v>
      </c>
      <c r="R2509">
        <v>-1.470403E-2</v>
      </c>
      <c r="S2509">
        <v>3.081299</v>
      </c>
      <c r="T2509">
        <v>-0.33735349999999997</v>
      </c>
      <c r="U2509">
        <v>0.3340149</v>
      </c>
      <c r="V2509">
        <v>-4.3244869999999998E-2</v>
      </c>
      <c r="W2509">
        <v>0.14910899999999999</v>
      </c>
      <c r="X2509">
        <v>0.98787469999999999</v>
      </c>
      <c r="Y2509">
        <v>-0.16145190000000001</v>
      </c>
      <c r="Z2509">
        <v>1.48243E-2</v>
      </c>
      <c r="AA2509">
        <v>0.98676929999999996</v>
      </c>
      <c r="AB2509">
        <v>35</v>
      </c>
      <c r="AC2509">
        <v>9.9931000000000196</v>
      </c>
      <c r="AD2509">
        <v>-1.1181307848456901</v>
      </c>
      <c r="AE2509">
        <v>1.1162399999999899</v>
      </c>
      <c r="AF2509">
        <v>-1.64829920533758</v>
      </c>
      <c r="AG2509">
        <v>-1.1181307848456901</v>
      </c>
      <c r="AH2509">
        <v>9.7947098250577493</v>
      </c>
      <c r="AI2509">
        <v>96.422956737402501</v>
      </c>
      <c r="AJ2509">
        <v>99.552495964703098</v>
      </c>
      <c r="AK2509">
        <v>9.9951711981045595</v>
      </c>
      <c r="AL2509">
        <v>81.424704807615996</v>
      </c>
      <c r="AM2509">
        <v>92.506560440856603</v>
      </c>
      <c r="AN2509">
        <v>1.0000000177812001</v>
      </c>
    </row>
    <row r="2510" spans="1:40" x14ac:dyDescent="0.3">
      <c r="A2510" t="str">
        <f>"20200111150854529"</f>
        <v>20200111150854529</v>
      </c>
      <c r="B2510" t="str">
        <f>"1578726534526225"</f>
        <v>1578726534526225</v>
      </c>
      <c r="C2510" t="s">
        <v>40</v>
      </c>
      <c r="D2510">
        <v>5.4769420000000002</v>
      </c>
      <c r="E2510">
        <v>0.45246429999999999</v>
      </c>
      <c r="F2510" t="s">
        <v>94</v>
      </c>
      <c r="G2510">
        <v>-379.49169999999998</v>
      </c>
      <c r="H2510" s="1">
        <v>-8.5895989999999996E-7</v>
      </c>
      <c r="I2510">
        <v>17.0624</v>
      </c>
      <c r="J2510">
        <v>-389.38170000000002</v>
      </c>
      <c r="K2510">
        <v>1.1178360000000001</v>
      </c>
      <c r="L2510">
        <v>15.91629</v>
      </c>
      <c r="M2510">
        <v>0.99873339999999999</v>
      </c>
      <c r="N2510">
        <v>0</v>
      </c>
      <c r="O2510">
        <v>-4.844855E-2</v>
      </c>
      <c r="P2510">
        <v>0.9903921</v>
      </c>
      <c r="Q2510">
        <v>0.1378065</v>
      </c>
      <c r="R2510">
        <v>-1.1538939999999999E-2</v>
      </c>
      <c r="S2510">
        <v>3.080292</v>
      </c>
      <c r="T2510">
        <v>-0.33768819999999999</v>
      </c>
      <c r="U2510">
        <v>0.34286499999999998</v>
      </c>
      <c r="V2510">
        <v>-3.9372560000000001E-2</v>
      </c>
      <c r="W2510">
        <v>0.1504993</v>
      </c>
      <c r="X2510">
        <v>0.98782579999999998</v>
      </c>
      <c r="Y2510">
        <v>-0.15743180000000001</v>
      </c>
      <c r="Z2510">
        <v>1.38593E-2</v>
      </c>
      <c r="AA2510">
        <v>0.98743259999999999</v>
      </c>
      <c r="AB2510">
        <v>35</v>
      </c>
      <c r="AC2510">
        <v>9.8900000000000396</v>
      </c>
      <c r="AD2510">
        <v>-1.1178368589598999</v>
      </c>
      <c r="AE2510">
        <v>1.14611</v>
      </c>
      <c r="AF2510">
        <v>-1.6037476426289901</v>
      </c>
      <c r="AG2510">
        <v>-1.1178368589598999</v>
      </c>
      <c r="AH2510">
        <v>9.7005678357857992</v>
      </c>
      <c r="AI2510">
        <v>96.486159607192107</v>
      </c>
      <c r="AJ2510">
        <v>99.387519027795705</v>
      </c>
      <c r="AK2510">
        <v>9.8955839686786202</v>
      </c>
      <c r="AL2510">
        <v>81.344137389742002</v>
      </c>
      <c r="AM2510">
        <v>92.282475368116707</v>
      </c>
      <c r="AN2510">
        <v>1.0000000244635401</v>
      </c>
    </row>
    <row r="2511" spans="1:40" x14ac:dyDescent="0.3">
      <c r="A2511" t="str">
        <f>"20200111150854544"</f>
        <v>20200111150854544</v>
      </c>
      <c r="B2511" t="str">
        <f>"1578726534535983"</f>
        <v>1578726534535983</v>
      </c>
      <c r="C2511" t="s">
        <v>40</v>
      </c>
      <c r="D2511">
        <v>5.5589870000000001</v>
      </c>
      <c r="E2511">
        <v>0.45234209999999903</v>
      </c>
      <c r="F2511" t="s">
        <v>94</v>
      </c>
      <c r="G2511">
        <v>-379.11439999999999</v>
      </c>
      <c r="H2511" s="1">
        <v>-9.9652030000000006E-7</v>
      </c>
      <c r="I2511">
        <v>17.08981</v>
      </c>
      <c r="J2511">
        <v>-389.13240000000002</v>
      </c>
      <c r="K2511">
        <v>1.117583</v>
      </c>
      <c r="L2511">
        <v>15.90887</v>
      </c>
      <c r="M2511">
        <v>0.99898129999999996</v>
      </c>
      <c r="N2511">
        <v>0</v>
      </c>
      <c r="O2511">
        <v>-4.3049259999999999E-2</v>
      </c>
      <c r="P2511">
        <v>0.99026950000000002</v>
      </c>
      <c r="Q2511">
        <v>0.13895389999999999</v>
      </c>
      <c r="R2511">
        <v>-7.6529909999999996E-3</v>
      </c>
      <c r="S2511">
        <v>3.0798649999999999</v>
      </c>
      <c r="T2511">
        <v>-0.33531569999999999</v>
      </c>
      <c r="U2511">
        <v>0.35202030000000001</v>
      </c>
      <c r="V2511">
        <v>-3.7822590000000003E-2</v>
      </c>
      <c r="W2511">
        <v>0.15166489999999999</v>
      </c>
      <c r="X2511">
        <v>0.98770800000000003</v>
      </c>
      <c r="Y2511">
        <v>-0.1550704</v>
      </c>
      <c r="Z2511">
        <v>1.304987E-2</v>
      </c>
      <c r="AA2511">
        <v>0.98781719999999895</v>
      </c>
      <c r="AB2511">
        <v>35</v>
      </c>
      <c r="AC2511">
        <v>10.018000000000001</v>
      </c>
      <c r="AD2511">
        <v>-1.1175839965203</v>
      </c>
      <c r="AE2511">
        <v>1.1809399999999901</v>
      </c>
      <c r="AF2511">
        <v>-1.5916156573818701</v>
      </c>
      <c r="AG2511">
        <v>-1.1175839965203</v>
      </c>
      <c r="AH2511">
        <v>9.8371218356721695</v>
      </c>
      <c r="AI2511">
        <v>96.399004214035898</v>
      </c>
      <c r="AJ2511">
        <v>99.190632706087797</v>
      </c>
      <c r="AK2511">
        <v>10.0275221465703</v>
      </c>
      <c r="AL2511">
        <v>81.276577199039195</v>
      </c>
      <c r="AM2511">
        <v>92.192972477000396</v>
      </c>
      <c r="AN2511">
        <v>0.99999994173515705</v>
      </c>
    </row>
    <row r="2512" spans="1:40" x14ac:dyDescent="0.3">
      <c r="A2512" t="str">
        <f>"20200111150854560"</f>
        <v>20200111150854560</v>
      </c>
      <c r="B2512" t="str">
        <f>"1578726534555628"</f>
        <v>1578726534555628</v>
      </c>
      <c r="C2512" t="s">
        <v>40</v>
      </c>
      <c r="D2512">
        <v>6.0602119999999999</v>
      </c>
      <c r="E2512">
        <v>0.45241160000000002</v>
      </c>
      <c r="F2512" t="s">
        <v>94</v>
      </c>
      <c r="G2512">
        <v>-378.81869999999998</v>
      </c>
      <c r="H2512" s="1">
        <v>-1.0993570000000001E-6</v>
      </c>
      <c r="I2512">
        <v>17.130220000000001</v>
      </c>
      <c r="J2512">
        <v>-388.89850000000001</v>
      </c>
      <c r="K2512">
        <v>1.11734</v>
      </c>
      <c r="L2512">
        <v>15.902889999999999</v>
      </c>
      <c r="M2512">
        <v>0.99918010000000002</v>
      </c>
      <c r="N2512">
        <v>0</v>
      </c>
      <c r="O2512">
        <v>-3.8168500000000001E-2</v>
      </c>
      <c r="P2512">
        <v>0.99001099999999997</v>
      </c>
      <c r="Q2512">
        <v>0.14087359999999999</v>
      </c>
      <c r="R2512">
        <v>-5.7550550000000002E-3</v>
      </c>
      <c r="S2512">
        <v>3.0791019999999998</v>
      </c>
      <c r="T2512">
        <v>-0.33364680000000002</v>
      </c>
      <c r="U2512">
        <v>0.364624</v>
      </c>
      <c r="V2512">
        <v>-3.4813049999999998E-2</v>
      </c>
      <c r="W2512">
        <v>0.15362679999999901</v>
      </c>
      <c r="X2512">
        <v>0.98751549999999999</v>
      </c>
      <c r="Y2512">
        <v>-0.15430639999999901</v>
      </c>
      <c r="Z2512">
        <v>1.241855E-2</v>
      </c>
      <c r="AA2512">
        <v>0.98794499999999996</v>
      </c>
      <c r="AB2512">
        <v>35</v>
      </c>
      <c r="AC2512">
        <v>10.079800000000001</v>
      </c>
      <c r="AD2512">
        <v>-1.1173410993570001</v>
      </c>
      <c r="AE2512">
        <v>1.22733</v>
      </c>
      <c r="AF2512">
        <v>-1.5919262098304401</v>
      </c>
      <c r="AG2512">
        <v>-1.1173410993570001</v>
      </c>
      <c r="AH2512">
        <v>9.9056652265803002</v>
      </c>
      <c r="AI2512">
        <v>96.354797045267603</v>
      </c>
      <c r="AJ2512">
        <v>99.129862408334006</v>
      </c>
      <c r="AK2512">
        <v>10.094794885035499</v>
      </c>
      <c r="AL2512">
        <v>81.162836180896505</v>
      </c>
      <c r="AM2512">
        <v>92.0190216242367</v>
      </c>
      <c r="AN2512">
        <v>1.00000000243439</v>
      </c>
    </row>
    <row r="2513" spans="1:40" x14ac:dyDescent="0.3">
      <c r="A2513" t="str">
        <f>"20200111150854573"</f>
        <v>20200111150854573</v>
      </c>
      <c r="B2513" t="str">
        <f>"1578726534566364"</f>
        <v>1578726534566364</v>
      </c>
      <c r="C2513" t="s">
        <v>40</v>
      </c>
      <c r="D2513">
        <v>5.5034510000000001</v>
      </c>
      <c r="E2513">
        <v>0.45242399999999999</v>
      </c>
      <c r="F2513" t="s">
        <v>94</v>
      </c>
      <c r="G2513">
        <v>-378.39109999999999</v>
      </c>
      <c r="H2513" s="1">
        <v>-1.2538890000000001E-6</v>
      </c>
      <c r="I2513">
        <v>17.16658</v>
      </c>
      <c r="J2513">
        <v>-388.67860000000002</v>
      </c>
      <c r="K2513">
        <v>1.1170960000000001</v>
      </c>
      <c r="L2513">
        <v>15.89847</v>
      </c>
      <c r="M2513">
        <v>0.99933640000000001</v>
      </c>
      <c r="N2513">
        <v>0</v>
      </c>
      <c r="O2513">
        <v>-3.3840809999999999E-2</v>
      </c>
      <c r="P2513">
        <v>0.98990800000000001</v>
      </c>
      <c r="Q2513">
        <v>0.14169039999999999</v>
      </c>
      <c r="R2513">
        <v>-2.4707319999999998E-3</v>
      </c>
      <c r="S2513">
        <v>3.0790099999999998</v>
      </c>
      <c r="T2513">
        <v>-0.32741579999999998</v>
      </c>
      <c r="U2513">
        <v>0.37030030000000003</v>
      </c>
      <c r="V2513">
        <v>-3.3724200000000003E-2</v>
      </c>
      <c r="W2513">
        <v>0.154450799999999</v>
      </c>
      <c r="X2513">
        <v>0.98742470000000004</v>
      </c>
      <c r="Y2513">
        <v>-0.1519056</v>
      </c>
      <c r="Z2513">
        <v>1.1602579999999999E-2</v>
      </c>
      <c r="AA2513">
        <v>0.98832690000000001</v>
      </c>
      <c r="AB2513">
        <v>35</v>
      </c>
      <c r="AC2513">
        <v>10.2875</v>
      </c>
      <c r="AD2513">
        <v>-1.1170972538889901</v>
      </c>
      <c r="AE2513">
        <v>1.2681099999999901</v>
      </c>
      <c r="AF2513">
        <v>-1.59700355436043</v>
      </c>
      <c r="AG2513">
        <v>-1.1170972538889901</v>
      </c>
      <c r="AH2513">
        <v>10.121133594248199</v>
      </c>
      <c r="AI2513">
        <v>96.222033775673395</v>
      </c>
      <c r="AJ2513">
        <v>98.966715638530701</v>
      </c>
      <c r="AK2513">
        <v>10.3070690237286</v>
      </c>
      <c r="AL2513">
        <v>81.115053742043699</v>
      </c>
      <c r="AM2513">
        <v>91.956102115153399</v>
      </c>
      <c r="AN2513">
        <v>0.99999995472818404</v>
      </c>
    </row>
    <row r="2514" spans="1:40" x14ac:dyDescent="0.3">
      <c r="A2514" t="str">
        <f>"20200111150854586"</f>
        <v>20200111150854586</v>
      </c>
      <c r="B2514" t="str">
        <f>"1578726534576124"</f>
        <v>1578726534576124</v>
      </c>
      <c r="C2514" t="s">
        <v>40</v>
      </c>
      <c r="D2514">
        <v>5.467149</v>
      </c>
      <c r="E2514">
        <v>0.45254319999999998</v>
      </c>
      <c r="F2514" t="s">
        <v>94</v>
      </c>
      <c r="G2514">
        <v>-378.1583</v>
      </c>
      <c r="H2514" s="1">
        <v>-1.334835E-6</v>
      </c>
      <c r="I2514">
        <v>17.198329999999999</v>
      </c>
      <c r="J2514">
        <v>-388.48270000000002</v>
      </c>
      <c r="K2514">
        <v>1.1168739999999999</v>
      </c>
      <c r="L2514">
        <v>15.895079999999901</v>
      </c>
      <c r="M2514">
        <v>0.99945580000000001</v>
      </c>
      <c r="N2514">
        <v>0</v>
      </c>
      <c r="O2514">
        <v>-3.0118800000000001E-2</v>
      </c>
      <c r="P2514">
        <v>0.98976830000000005</v>
      </c>
      <c r="Q2514">
        <v>0.14268330000000001</v>
      </c>
      <c r="R2514">
        <v>4.2470870000000001E-4</v>
      </c>
      <c r="S2514">
        <v>3.0782780000000001</v>
      </c>
      <c r="T2514">
        <v>-0.32686510000000002</v>
      </c>
      <c r="U2514">
        <v>0.38034059999999997</v>
      </c>
      <c r="V2514">
        <v>-3.2858270000000002E-2</v>
      </c>
      <c r="W2514">
        <v>0.15544759999999999</v>
      </c>
      <c r="X2514">
        <v>0.98729750000000005</v>
      </c>
      <c r="Y2514">
        <v>-0.15145600000000001</v>
      </c>
      <c r="Z2514">
        <v>1.1167069999999999E-2</v>
      </c>
      <c r="AA2514">
        <v>0.98840090000000003</v>
      </c>
      <c r="AB2514">
        <v>35</v>
      </c>
      <c r="AC2514">
        <v>10.324400000000001</v>
      </c>
      <c r="AD2514">
        <v>-1.116875334835</v>
      </c>
      <c r="AE2514">
        <v>1.30325</v>
      </c>
      <c r="AF2514">
        <v>-1.59526943464975</v>
      </c>
      <c r="AG2514">
        <v>-1.116875334835</v>
      </c>
      <c r="AH2514">
        <v>10.163387446143799</v>
      </c>
      <c r="AI2514">
        <v>96.195926581607296</v>
      </c>
      <c r="AJ2514">
        <v>98.920498175244205</v>
      </c>
      <c r="AK2514">
        <v>10.3482722936307</v>
      </c>
      <c r="AL2514">
        <v>81.057243391018801</v>
      </c>
      <c r="AM2514">
        <v>91.906158546258098</v>
      </c>
      <c r="AN2514">
        <v>0.99999998787970101</v>
      </c>
    </row>
    <row r="2515" spans="1:40" x14ac:dyDescent="0.3">
      <c r="A2515" t="str">
        <f>"20200111150854606"</f>
        <v>20200111150854606</v>
      </c>
      <c r="B2515" t="str">
        <f>"1578726534595643"</f>
        <v>1578726534595643</v>
      </c>
      <c r="C2515" t="s">
        <v>40</v>
      </c>
      <c r="D2515">
        <v>5.5328670000000004</v>
      </c>
      <c r="E2515">
        <v>0.45274950000000003</v>
      </c>
      <c r="F2515" t="s">
        <v>94</v>
      </c>
      <c r="G2515">
        <v>-377.92360000000002</v>
      </c>
      <c r="H2515" s="1">
        <v>-1.417156E-6</v>
      </c>
      <c r="I2515">
        <v>17.227689999999999</v>
      </c>
      <c r="J2515">
        <v>-388.18180000000001</v>
      </c>
      <c r="K2515">
        <v>1.1165149999999999</v>
      </c>
      <c r="L2515">
        <v>15.891019999999999</v>
      </c>
      <c r="M2515">
        <v>0.99960450000000001</v>
      </c>
      <c r="N2515">
        <v>0</v>
      </c>
      <c r="O2515">
        <v>-2.4717240000000001E-2</v>
      </c>
      <c r="P2515">
        <v>0.98932949999999997</v>
      </c>
      <c r="Q2515">
        <v>0.1455813</v>
      </c>
      <c r="R2515">
        <v>5.7706759999999998E-3</v>
      </c>
      <c r="S2515">
        <v>3.0777589999999999</v>
      </c>
      <c r="T2515">
        <v>-0.32554539999999998</v>
      </c>
      <c r="U2515">
        <v>0.38842769999999999</v>
      </c>
      <c r="V2515">
        <v>-3.2748949999999999E-2</v>
      </c>
      <c r="W2515">
        <v>0.1583292</v>
      </c>
      <c r="X2515">
        <v>0.98684309999999997</v>
      </c>
      <c r="Y2515">
        <v>-0.14874490000000001</v>
      </c>
      <c r="Z2515">
        <v>1.0412009999999999E-2</v>
      </c>
      <c r="AA2515">
        <v>0.98882080000000006</v>
      </c>
      <c r="AB2515">
        <v>35</v>
      </c>
      <c r="AC2515">
        <v>10.258199999999899</v>
      </c>
      <c r="AD2515">
        <v>-1.116516417156</v>
      </c>
      <c r="AE2515">
        <v>1.33666999999999</v>
      </c>
      <c r="AF2515">
        <v>-1.5715325022540201</v>
      </c>
      <c r="AG2515">
        <v>-1.116516417156</v>
      </c>
      <c r="AH2515">
        <v>10.1043217871783</v>
      </c>
      <c r="AI2515">
        <v>96.231224117863505</v>
      </c>
      <c r="AJ2515">
        <v>98.840425531240498</v>
      </c>
      <c r="AK2515">
        <v>10.2865758196917</v>
      </c>
      <c r="AL2515">
        <v>80.890069388729998</v>
      </c>
      <c r="AM2515">
        <v>91.900695527656197</v>
      </c>
      <c r="AN2515">
        <v>0.99999996665817503</v>
      </c>
    </row>
    <row r="2516" spans="1:40" x14ac:dyDescent="0.3">
      <c r="A2516" t="str">
        <f>"20200111150854620"</f>
        <v>20200111150854620</v>
      </c>
      <c r="B2516" t="str">
        <f>"1578726534616140"</f>
        <v>1578726534616140</v>
      </c>
      <c r="C2516" t="s">
        <v>40</v>
      </c>
      <c r="D2516">
        <v>5.4488379999999896</v>
      </c>
      <c r="E2516">
        <v>0.45302809999999999</v>
      </c>
      <c r="F2516" t="s">
        <v>94</v>
      </c>
      <c r="G2516">
        <v>-377.45299999999997</v>
      </c>
      <c r="H2516" s="1">
        <v>-1.596083E-6</v>
      </c>
      <c r="I2516">
        <v>17.295760000000001</v>
      </c>
      <c r="J2516">
        <v>-387.97489999999999</v>
      </c>
      <c r="K2516">
        <v>1.11625</v>
      </c>
      <c r="L2516">
        <v>15.888820000000001</v>
      </c>
      <c r="M2516">
        <v>0.99968559999999995</v>
      </c>
      <c r="N2516">
        <v>0</v>
      </c>
      <c r="O2516">
        <v>-2.1207429999999999E-2</v>
      </c>
      <c r="P2516">
        <v>0.98917379999999999</v>
      </c>
      <c r="Q2516">
        <v>0.146403799999999</v>
      </c>
      <c r="R2516">
        <v>1.005148E-2</v>
      </c>
      <c r="S2516">
        <v>3.0771480000000002</v>
      </c>
      <c r="T2516">
        <v>-0.3202295</v>
      </c>
      <c r="U2516">
        <v>0.4028931</v>
      </c>
      <c r="V2516">
        <v>-3.3458880000000003E-2</v>
      </c>
      <c r="W2516">
        <v>0.15913150000000001</v>
      </c>
      <c r="X2516">
        <v>0.98669030000000002</v>
      </c>
      <c r="Y2516">
        <v>-0.14991399999999999</v>
      </c>
      <c r="Z2516">
        <v>9.9393499999999996E-3</v>
      </c>
      <c r="AA2516">
        <v>0.98864909999999995</v>
      </c>
      <c r="AB2516">
        <v>35</v>
      </c>
      <c r="AC2516">
        <v>10.521899999999899</v>
      </c>
      <c r="AD2516">
        <v>-1.116251596083</v>
      </c>
      <c r="AE2516">
        <v>1.4069400000000001</v>
      </c>
      <c r="AF2516">
        <v>-1.6119623923964701</v>
      </c>
      <c r="AG2516">
        <v>-1.116251596083</v>
      </c>
      <c r="AH2516">
        <v>10.374976268856001</v>
      </c>
      <c r="AI2516">
        <v>96.068616067078295</v>
      </c>
      <c r="AJ2516">
        <v>98.831446458350001</v>
      </c>
      <c r="AK2516">
        <v>10.558625524166599</v>
      </c>
      <c r="AL2516">
        <v>80.843511382621102</v>
      </c>
      <c r="AM2516">
        <v>91.942167983026806</v>
      </c>
      <c r="AN2516">
        <v>1.00000003952859</v>
      </c>
    </row>
    <row r="2517" spans="1:40" x14ac:dyDescent="0.3">
      <c r="A2517" t="str">
        <f>"20200111150854638"</f>
        <v>20200111150854638</v>
      </c>
      <c r="B2517" t="str">
        <f>"1578726534625900"</f>
        <v>1578726534625900</v>
      </c>
      <c r="C2517" t="s">
        <v>40</v>
      </c>
      <c r="D2517">
        <v>5.4781519999999997</v>
      </c>
      <c r="E2517">
        <v>0.45312469999999999</v>
      </c>
      <c r="F2517" t="s">
        <v>94</v>
      </c>
      <c r="G2517">
        <v>-377.18560000000002</v>
      </c>
      <c r="H2517" s="1">
        <v>-1.7152699999999999E-6</v>
      </c>
      <c r="I2517">
        <v>17.336369999999999</v>
      </c>
      <c r="J2517">
        <v>-387.68950000000001</v>
      </c>
      <c r="K2517">
        <v>1.1158520000000001</v>
      </c>
      <c r="L2517">
        <v>15.88693</v>
      </c>
      <c r="M2517">
        <v>0.99977020000000005</v>
      </c>
      <c r="N2517">
        <v>0</v>
      </c>
      <c r="O2517">
        <v>-1.6784279999999999E-2</v>
      </c>
      <c r="P2517">
        <v>0.98910589999999998</v>
      </c>
      <c r="Q2517">
        <v>0.14629879999999901</v>
      </c>
      <c r="R2517">
        <v>1.631583E-2</v>
      </c>
      <c r="S2517">
        <v>3.075745</v>
      </c>
      <c r="T2517">
        <v>-0.31821579999999999</v>
      </c>
      <c r="U2517">
        <v>0.41265869999999999</v>
      </c>
      <c r="V2517">
        <v>-3.518727E-2</v>
      </c>
      <c r="W2517">
        <v>0.1589921</v>
      </c>
      <c r="X2517">
        <v>0.98665259999999999</v>
      </c>
      <c r="Y2517">
        <v>-0.14872369999999999</v>
      </c>
      <c r="Z2517">
        <v>9.3638130000000003E-3</v>
      </c>
      <c r="AA2517">
        <v>0.9888344</v>
      </c>
      <c r="AB2517">
        <v>35</v>
      </c>
      <c r="AC2517">
        <v>10.5038999999999</v>
      </c>
      <c r="AD2517">
        <v>-1.1158537152700001</v>
      </c>
      <c r="AE2517">
        <v>1.4494400000000001</v>
      </c>
      <c r="AF2517">
        <v>-1.6077469763657899</v>
      </c>
      <c r="AG2517">
        <v>-1.1158537152700001</v>
      </c>
      <c r="AH2517">
        <v>10.363322198399301</v>
      </c>
      <c r="AI2517">
        <v>96.073452217787107</v>
      </c>
      <c r="AJ2517">
        <v>98.818464379966002</v>
      </c>
      <c r="AK2517">
        <v>10.546488839501601</v>
      </c>
      <c r="AL2517">
        <v>80.851600976828195</v>
      </c>
      <c r="AM2517">
        <v>92.042489913913499</v>
      </c>
      <c r="AN2517">
        <v>0.99999999245961102</v>
      </c>
    </row>
    <row r="2518" spans="1:40" x14ac:dyDescent="0.3">
      <c r="A2518" t="str">
        <f>"20200111150854654"</f>
        <v>20200111150854654</v>
      </c>
      <c r="B2518" t="str">
        <f>"1578726534646395"</f>
        <v>1578726534646395</v>
      </c>
      <c r="C2518" t="s">
        <v>40</v>
      </c>
      <c r="D2518">
        <v>5.4777239999999896</v>
      </c>
      <c r="E2518">
        <v>0.45325939999999998</v>
      </c>
      <c r="F2518" t="s">
        <v>94</v>
      </c>
      <c r="G2518">
        <v>-376.87720000000002</v>
      </c>
      <c r="H2518" s="1">
        <v>-1.850113E-6</v>
      </c>
      <c r="I2518">
        <v>17.39799</v>
      </c>
      <c r="J2518">
        <v>-387.48399999999998</v>
      </c>
      <c r="K2518">
        <v>1.11555</v>
      </c>
      <c r="L2518">
        <v>15.886229999999999</v>
      </c>
      <c r="M2518">
        <v>0.99981489999999995</v>
      </c>
      <c r="N2518">
        <v>0</v>
      </c>
      <c r="O2518">
        <v>-1.3892089999999999E-2</v>
      </c>
      <c r="P2518">
        <v>0.98917999999999995</v>
      </c>
      <c r="Q2518">
        <v>0.14538519999999999</v>
      </c>
      <c r="R2518">
        <v>1.9645949999999999E-2</v>
      </c>
      <c r="S2518">
        <v>3.072845</v>
      </c>
      <c r="T2518">
        <v>-0.31712630000000003</v>
      </c>
      <c r="U2518">
        <v>0.42944339999999998</v>
      </c>
      <c r="V2518">
        <v>-3.5525689999999999E-2</v>
      </c>
      <c r="W2518">
        <v>0.1580712</v>
      </c>
      <c r="X2518">
        <v>0.98678849999999996</v>
      </c>
      <c r="Y2518">
        <v>-0.1512944</v>
      </c>
      <c r="Z2518">
        <v>9.1724500000000004E-3</v>
      </c>
      <c r="AA2518">
        <v>0.98844620000000005</v>
      </c>
      <c r="AB2518">
        <v>35</v>
      </c>
      <c r="AC2518">
        <v>10.6068</v>
      </c>
      <c r="AD2518">
        <v>-1.115551850113</v>
      </c>
      <c r="AE2518">
        <v>1.51176</v>
      </c>
      <c r="AF2518">
        <v>-1.6411853655912301</v>
      </c>
      <c r="AG2518">
        <v>-1.115551850113</v>
      </c>
      <c r="AH2518">
        <v>10.4712520832948</v>
      </c>
      <c r="AI2518">
        <v>96.008250276669699</v>
      </c>
      <c r="AJ2518">
        <v>98.907642720031703</v>
      </c>
      <c r="AK2518">
        <v>10.6576294515444</v>
      </c>
      <c r="AL2518">
        <v>80.905041095612006</v>
      </c>
      <c r="AM2518">
        <v>92.061833306748497</v>
      </c>
      <c r="AN2518">
        <v>1.00000006132583</v>
      </c>
    </row>
    <row r="2519" spans="1:40" x14ac:dyDescent="0.3">
      <c r="A2519" t="str">
        <f>"20200111150854666"</f>
        <v>20200111150854666</v>
      </c>
      <c r="B2519" t="str">
        <f>"1578726534656156"</f>
        <v>1578726534656156</v>
      </c>
      <c r="C2519" t="s">
        <v>40</v>
      </c>
      <c r="D2519">
        <v>5.5280239999999896</v>
      </c>
      <c r="E2519">
        <v>0.4532813</v>
      </c>
      <c r="F2519" t="s">
        <v>94</v>
      </c>
      <c r="G2519">
        <v>-376.72210000000001</v>
      </c>
      <c r="H2519" s="1">
        <v>-1.919047E-6</v>
      </c>
      <c r="I2519">
        <v>17.42287</v>
      </c>
      <c r="J2519">
        <v>-387.24590000000001</v>
      </c>
      <c r="K2519">
        <v>1.115173</v>
      </c>
      <c r="L2519">
        <v>15.8858</v>
      </c>
      <c r="M2519">
        <v>0.99985360000000001</v>
      </c>
      <c r="N2519">
        <v>0</v>
      </c>
      <c r="O2519">
        <v>-1.080235E-2</v>
      </c>
      <c r="P2519">
        <v>0.9892126</v>
      </c>
      <c r="Q2519">
        <v>0.14469470000000001</v>
      </c>
      <c r="R2519">
        <v>2.2844650000000001E-2</v>
      </c>
      <c r="S2519">
        <v>3.0708920000000002</v>
      </c>
      <c r="T2519">
        <v>-0.31831930000000003</v>
      </c>
      <c r="U2519">
        <v>0.43847659999999999</v>
      </c>
      <c r="V2519">
        <v>-3.5510819999999998E-2</v>
      </c>
      <c r="W2519">
        <v>0.15738189999999999</v>
      </c>
      <c r="X2519">
        <v>0.98689910000000003</v>
      </c>
      <c r="Y2519">
        <v>-0.15118670000000001</v>
      </c>
      <c r="Z2519">
        <v>8.8871729999999999E-3</v>
      </c>
      <c r="AA2519">
        <v>0.98846520000000004</v>
      </c>
      <c r="AB2519">
        <v>35</v>
      </c>
      <c r="AC2519">
        <v>10.5237999999999</v>
      </c>
      <c r="AD2519">
        <v>-1.1151749190469999</v>
      </c>
      <c r="AE2519">
        <v>1.5370699999999999</v>
      </c>
      <c r="AF2519">
        <v>-1.6327212041824599</v>
      </c>
      <c r="AG2519">
        <v>-1.1151749190469999</v>
      </c>
      <c r="AH2519">
        <v>10.392322519694501</v>
      </c>
      <c r="AI2519">
        <v>96.0511692535121</v>
      </c>
      <c r="AJ2519">
        <v>98.928663638058794</v>
      </c>
      <c r="AK2519">
        <v>10.578740992387001</v>
      </c>
      <c r="AL2519">
        <v>80.945034743139104</v>
      </c>
      <c r="AM2519">
        <v>92.060740258737297</v>
      </c>
      <c r="AN2519">
        <v>0.99999995718274504</v>
      </c>
    </row>
    <row r="2520" spans="1:40" x14ac:dyDescent="0.3">
      <c r="A2520" t="str">
        <f>"20200111150854684"</f>
        <v>20200111150854684</v>
      </c>
      <c r="B2520" t="str">
        <f>"1578726534675676"</f>
        <v>1578726534675676</v>
      </c>
      <c r="C2520" t="s">
        <v>40</v>
      </c>
      <c r="D2520">
        <v>5.3221790000000002</v>
      </c>
      <c r="E2520">
        <v>0.45338970000000001</v>
      </c>
      <c r="F2520" t="s">
        <v>94</v>
      </c>
      <c r="G2520">
        <v>-376.62540000000001</v>
      </c>
      <c r="H2520" s="1">
        <v>-1.9625069999999998E-6</v>
      </c>
      <c r="I2520">
        <v>17.435449999999999</v>
      </c>
      <c r="J2520">
        <v>-386.98930000000001</v>
      </c>
      <c r="K2520">
        <v>1.11473</v>
      </c>
      <c r="L2520">
        <v>15.885770000000001</v>
      </c>
      <c r="M2520">
        <v>0.99988149999999998</v>
      </c>
      <c r="N2520">
        <v>0</v>
      </c>
      <c r="O2520">
        <v>-7.8503959999999904E-3</v>
      </c>
      <c r="P2520">
        <v>0.98917670000000002</v>
      </c>
      <c r="Q2520">
        <v>0.144401</v>
      </c>
      <c r="R2520">
        <v>2.6038269999999999E-2</v>
      </c>
      <c r="S2520">
        <v>3.0695190000000001</v>
      </c>
      <c r="T2520">
        <v>-0.32230530000000002</v>
      </c>
      <c r="U2520">
        <v>0.447876</v>
      </c>
      <c r="V2520">
        <v>-3.5608019999999997E-2</v>
      </c>
      <c r="W2520">
        <v>0.15708989999999901</v>
      </c>
      <c r="X2520">
        <v>0.98694219999999999</v>
      </c>
      <c r="Y2520">
        <v>-0.15128939999999999</v>
      </c>
      <c r="Z2520">
        <v>8.6976180000000007E-3</v>
      </c>
      <c r="AA2520">
        <v>0.98845119999999997</v>
      </c>
      <c r="AB2520">
        <v>35</v>
      </c>
      <c r="AC2520">
        <v>10.363899999999999</v>
      </c>
      <c r="AD2520">
        <v>-1.114731962507</v>
      </c>
      <c r="AE2520">
        <v>1.54967999999999</v>
      </c>
      <c r="AF2520">
        <v>-1.61275027561004</v>
      </c>
      <c r="AG2520">
        <v>-1.114731962507</v>
      </c>
      <c r="AH2520">
        <v>10.235588411515799</v>
      </c>
      <c r="AI2520">
        <v>96.140278766113795</v>
      </c>
      <c r="AJ2520">
        <v>98.9540822953592</v>
      </c>
      <c r="AK2520">
        <v>10.4216534642864</v>
      </c>
      <c r="AL2520">
        <v>80.961976567671101</v>
      </c>
      <c r="AM2520">
        <v>92.066285860288403</v>
      </c>
      <c r="AN2520">
        <v>1.0000000369555799</v>
      </c>
    </row>
    <row r="2521" spans="1:40" x14ac:dyDescent="0.3">
      <c r="A2521" t="str">
        <f>"20200111150854696"</f>
        <v>20200111150854696</v>
      </c>
      <c r="B2521" t="str">
        <f>"1578726534686412"</f>
        <v>1578726534686412</v>
      </c>
      <c r="C2521" t="s">
        <v>40</v>
      </c>
      <c r="D2521">
        <v>5.3070009999999996</v>
      </c>
      <c r="E2521">
        <v>0.4630128</v>
      </c>
      <c r="F2521" t="s">
        <v>94</v>
      </c>
      <c r="G2521">
        <v>-376.38170000000002</v>
      </c>
      <c r="H2521" s="1">
        <v>-2.072436E-6</v>
      </c>
      <c r="I2521">
        <v>17.46519</v>
      </c>
      <c r="J2521">
        <v>-386.78460000000001</v>
      </c>
      <c r="K2521">
        <v>1.1143639999999999</v>
      </c>
      <c r="L2521">
        <v>15.88611</v>
      </c>
      <c r="M2521">
        <v>0.99989589999999995</v>
      </c>
      <c r="N2521">
        <v>0</v>
      </c>
      <c r="O2521">
        <v>-5.7817839999999999E-3</v>
      </c>
      <c r="P2521">
        <v>0.98900920000000003</v>
      </c>
      <c r="Q2521">
        <v>0.14503350000000001</v>
      </c>
      <c r="R2521">
        <v>2.8742319999999998E-2</v>
      </c>
      <c r="S2521">
        <v>3.0678709999999998</v>
      </c>
      <c r="T2521">
        <v>-0.32239519999999999</v>
      </c>
      <c r="U2521">
        <v>0.4567871</v>
      </c>
      <c r="V2521">
        <v>-3.6127190000000003E-2</v>
      </c>
      <c r="W2521">
        <v>0.15772</v>
      </c>
      <c r="X2521">
        <v>0.9868228</v>
      </c>
      <c r="Y2521">
        <v>-0.1521362</v>
      </c>
      <c r="Z2521">
        <v>8.5312630000000007E-3</v>
      </c>
      <c r="AA2521">
        <v>0.9883227</v>
      </c>
      <c r="AB2521">
        <v>35</v>
      </c>
      <c r="AC2521">
        <v>10.402899999999899</v>
      </c>
      <c r="AD2521">
        <v>-1.1143660724359901</v>
      </c>
      <c r="AE2521">
        <v>1.57907999999999</v>
      </c>
      <c r="AF2521">
        <v>-1.6210241059655499</v>
      </c>
      <c r="AG2521">
        <v>-1.1143660724359901</v>
      </c>
      <c r="AH2521">
        <v>10.2783096449296</v>
      </c>
      <c r="AI2521">
        <v>96.112818829341805</v>
      </c>
      <c r="AJ2521">
        <v>98.962472608551195</v>
      </c>
      <c r="AK2521">
        <v>10.4648545165507</v>
      </c>
      <c r="AL2521">
        <v>80.925418484928201</v>
      </c>
      <c r="AM2521">
        <v>92.096639338865302</v>
      </c>
      <c r="AN2521">
        <v>1.00000000542856</v>
      </c>
    </row>
    <row r="2522" spans="1:40" x14ac:dyDescent="0.3">
      <c r="A2522" t="str">
        <f>"20200111150854708"</f>
        <v>20200111150854708</v>
      </c>
      <c r="B2522" t="str">
        <f>"1578726534705932"</f>
        <v>1578726534705932</v>
      </c>
      <c r="C2522" t="s">
        <v>40</v>
      </c>
      <c r="D2522">
        <v>5.2622499999999999</v>
      </c>
      <c r="E2522">
        <v>0.46573560000000003</v>
      </c>
      <c r="F2522" t="s">
        <v>95</v>
      </c>
      <c r="G2522">
        <v>-363.30149999999998</v>
      </c>
      <c r="H2522" s="1">
        <v>-3.3005450000000002E-6</v>
      </c>
      <c r="I2522">
        <v>18.862870000000001</v>
      </c>
      <c r="J2522">
        <v>-386.6035</v>
      </c>
      <c r="K2522">
        <v>1.114045</v>
      </c>
      <c r="L2522">
        <v>15.886570000000001</v>
      </c>
      <c r="M2522">
        <v>0.99990420000000002</v>
      </c>
      <c r="N2522">
        <v>0</v>
      </c>
      <c r="O2522">
        <v>-4.2000129999999998E-3</v>
      </c>
      <c r="P2522">
        <v>0.98877669999999995</v>
      </c>
      <c r="Q2522">
        <v>0.14612310000000001</v>
      </c>
      <c r="R2522">
        <v>3.1123029999999999E-2</v>
      </c>
      <c r="S2522">
        <v>3.043304</v>
      </c>
      <c r="T2522">
        <v>-0.144416299999999</v>
      </c>
      <c r="U2522">
        <v>0.38577270000000002</v>
      </c>
      <c r="V2522">
        <v>-3.6825579999999997E-2</v>
      </c>
      <c r="W2522">
        <v>0.1588067</v>
      </c>
      <c r="X2522">
        <v>0.98662269999999996</v>
      </c>
      <c r="Y2522">
        <v>-0.12977239999999901</v>
      </c>
      <c r="Z2522">
        <v>3.2635519999999999E-3</v>
      </c>
      <c r="AA2522">
        <v>0.99153849999999999</v>
      </c>
      <c r="AB2522">
        <v>35</v>
      </c>
      <c r="AC2522">
        <v>23.302</v>
      </c>
      <c r="AD2522">
        <v>-1.1140483005449999</v>
      </c>
      <c r="AE2522">
        <v>2.9763000000000002</v>
      </c>
      <c r="AF2522">
        <v>-3.06725264286105</v>
      </c>
      <c r="AG2522">
        <v>-1.1140483005449999</v>
      </c>
      <c r="AH2522">
        <v>23.237032264243499</v>
      </c>
      <c r="AI2522">
        <v>92.7212495085939</v>
      </c>
      <c r="AJ2522">
        <v>97.519484010352301</v>
      </c>
      <c r="AK2522">
        <v>23.465055099883699</v>
      </c>
      <c r="AL2522">
        <v>80.862360583972702</v>
      </c>
      <c r="AM2522">
        <v>92.137566170522803</v>
      </c>
      <c r="AN2522">
        <v>1.0000000217312499</v>
      </c>
    </row>
    <row r="2523" spans="1:40" x14ac:dyDescent="0.3">
      <c r="A2523" t="str">
        <f>"20200111150854728"</f>
        <v>20200111150854728</v>
      </c>
      <c r="B2523" t="str">
        <f>"1578726534726427"</f>
        <v>1578726534726427</v>
      </c>
      <c r="C2523" t="s">
        <v>40</v>
      </c>
      <c r="D2523">
        <v>5.3086409999999997</v>
      </c>
      <c r="E2523">
        <v>0.46663660000000001</v>
      </c>
      <c r="F2523" t="s">
        <v>94</v>
      </c>
      <c r="G2523">
        <v>-370.65170000000001</v>
      </c>
      <c r="H2523" s="1">
        <v>-4.7174489999999998E-6</v>
      </c>
      <c r="I2523">
        <v>17.82367</v>
      </c>
      <c r="J2523">
        <v>-386.30770000000001</v>
      </c>
      <c r="K2523">
        <v>1.1135250000000001</v>
      </c>
      <c r="L2523">
        <v>15.88754</v>
      </c>
      <c r="M2523">
        <v>0.99991149999999995</v>
      </c>
      <c r="N2523">
        <v>0</v>
      </c>
      <c r="O2523">
        <v>-1.9722759999999998E-3</v>
      </c>
      <c r="P2523">
        <v>0.9885389</v>
      </c>
      <c r="Q2523">
        <v>0.14714050000000001</v>
      </c>
      <c r="R2523">
        <v>3.3776899999999999E-2</v>
      </c>
      <c r="S2523">
        <v>3.0538940000000001</v>
      </c>
      <c r="T2523">
        <v>-0.21328</v>
      </c>
      <c r="U2523">
        <v>0.3708496</v>
      </c>
      <c r="V2523">
        <v>-3.707481E-2</v>
      </c>
      <c r="W2523">
        <v>0.1598338</v>
      </c>
      <c r="X2523">
        <v>0.98644750000000003</v>
      </c>
      <c r="Y2523">
        <v>-0.1222091</v>
      </c>
      <c r="Z2523">
        <v>4.3838180000000003E-3</v>
      </c>
      <c r="AA2523">
        <v>0.99249469999999995</v>
      </c>
      <c r="AB2523">
        <v>35</v>
      </c>
      <c r="AC2523">
        <v>15.656000000000001</v>
      </c>
      <c r="AD2523">
        <v>-1.113529717449</v>
      </c>
      <c r="AE2523">
        <v>1.9361299999999999</v>
      </c>
      <c r="AF2523">
        <v>-1.95725476863326</v>
      </c>
      <c r="AG2523">
        <v>-1.113529717449</v>
      </c>
      <c r="AH2523">
        <v>15.574549886817399</v>
      </c>
      <c r="AI2523">
        <v>94.057695203393905</v>
      </c>
      <c r="AJ2523">
        <v>97.162814738958104</v>
      </c>
      <c r="AK2523">
        <v>15.736498938389801</v>
      </c>
      <c r="AL2523">
        <v>80.802750742753403</v>
      </c>
      <c r="AM2523">
        <v>92.152401195538999</v>
      </c>
      <c r="AN2523">
        <v>1.00000002770761</v>
      </c>
    </row>
    <row r="2524" spans="1:40" x14ac:dyDescent="0.3">
      <c r="A2524" t="str">
        <f>"20200111150854742"</f>
        <v>20200111150854742</v>
      </c>
      <c r="B2524" t="str">
        <f>"1578726534736188"</f>
        <v>1578726534736188</v>
      </c>
      <c r="C2524" t="s">
        <v>40</v>
      </c>
      <c r="D2524">
        <v>5.2836030000000003</v>
      </c>
      <c r="E2524">
        <v>0.46705160000000001</v>
      </c>
      <c r="F2524" t="s">
        <v>94</v>
      </c>
      <c r="G2524">
        <v>-371.38909999999998</v>
      </c>
      <c r="H2524" s="1">
        <v>-4.3907990000000001E-6</v>
      </c>
      <c r="I2524">
        <v>17.700150000000001</v>
      </c>
      <c r="J2524">
        <v>-386.10039999999998</v>
      </c>
      <c r="K2524">
        <v>1.1131580000000001</v>
      </c>
      <c r="L2524">
        <v>15.888339999999999</v>
      </c>
      <c r="M2524">
        <v>0.99991350000000001</v>
      </c>
      <c r="N2524">
        <v>0</v>
      </c>
      <c r="O2524">
        <v>-6.8337409999999997E-4</v>
      </c>
      <c r="P2524">
        <v>0.98850289999999996</v>
      </c>
      <c r="Q2524">
        <v>0.1472299</v>
      </c>
      <c r="R2524">
        <v>3.4433449999999997E-2</v>
      </c>
      <c r="S2524">
        <v>3.0560299999999998</v>
      </c>
      <c r="T2524">
        <v>-0.22810359999999999</v>
      </c>
      <c r="U2524">
        <v>0.37130740000000001</v>
      </c>
      <c r="V2524">
        <v>-3.631028E-2</v>
      </c>
      <c r="W2524">
        <v>0.1599402</v>
      </c>
      <c r="X2524">
        <v>0.98645870000000002</v>
      </c>
      <c r="Y2524">
        <v>-0.12095789999999999</v>
      </c>
      <c r="Z2524">
        <v>4.5422170000000003E-3</v>
      </c>
      <c r="AA2524">
        <v>0.99264719999999995</v>
      </c>
      <c r="AB2524">
        <v>35</v>
      </c>
      <c r="AC2524">
        <v>14.7112999999999</v>
      </c>
      <c r="AD2524">
        <v>-1.113162390799</v>
      </c>
      <c r="AE2524">
        <v>1.8118099999999999</v>
      </c>
      <c r="AF2524">
        <v>-1.8116461285211201</v>
      </c>
      <c r="AG2524">
        <v>-1.113162390799</v>
      </c>
      <c r="AH2524">
        <v>14.627559259379099</v>
      </c>
      <c r="AI2524">
        <v>94.318968535710496</v>
      </c>
      <c r="AJ2524">
        <v>97.060219139525998</v>
      </c>
      <c r="AK2524">
        <v>14.781295007201599</v>
      </c>
      <c r="AL2524">
        <v>80.796575094835205</v>
      </c>
      <c r="AM2524">
        <v>92.108032483319903</v>
      </c>
      <c r="AN2524">
        <v>1.0000000354077001</v>
      </c>
    </row>
    <row r="2525" spans="1:40" x14ac:dyDescent="0.3">
      <c r="A2525" t="str">
        <f>"20200111150854754"</f>
        <v>20200111150854754</v>
      </c>
      <c r="B2525" t="str">
        <f>"1578726534745948"</f>
        <v>1578726534745948</v>
      </c>
      <c r="C2525" t="s">
        <v>40</v>
      </c>
      <c r="D2525">
        <v>5.2895490000000001</v>
      </c>
      <c r="E2525">
        <v>0.46753869999999997</v>
      </c>
      <c r="F2525" t="s">
        <v>94</v>
      </c>
      <c r="G2525">
        <v>-371.62869999999998</v>
      </c>
      <c r="H2525" s="1">
        <v>-4.2882020000000004E-6</v>
      </c>
      <c r="I2525">
        <v>17.64</v>
      </c>
      <c r="J2525">
        <v>-385.8954</v>
      </c>
      <c r="K2525">
        <v>1.1128020000000001</v>
      </c>
      <c r="L2525">
        <v>15.88922</v>
      </c>
      <c r="M2525">
        <v>0.99991390000000002</v>
      </c>
      <c r="N2525">
        <v>0</v>
      </c>
      <c r="O2525">
        <v>2.8038709999999998E-4</v>
      </c>
      <c r="P2525">
        <v>0.9884425</v>
      </c>
      <c r="Q2525">
        <v>0.14757790000000001</v>
      </c>
      <c r="R2525">
        <v>3.4671319999999999E-2</v>
      </c>
      <c r="S2525">
        <v>3.0570369999999998</v>
      </c>
      <c r="T2525">
        <v>-0.23514779999999999</v>
      </c>
      <c r="U2525">
        <v>0.37002560000000001</v>
      </c>
      <c r="V2525">
        <v>-3.5454859999999998E-2</v>
      </c>
      <c r="W2525">
        <v>0.16030539999999999</v>
      </c>
      <c r="X2525">
        <v>0.98643049999999999</v>
      </c>
      <c r="Y2525">
        <v>-0.11953800000000001</v>
      </c>
      <c r="Z2525">
        <v>4.5525829999999998E-3</v>
      </c>
      <c r="AA2525">
        <v>0.99281920000000001</v>
      </c>
      <c r="AB2525">
        <v>35</v>
      </c>
      <c r="AC2525">
        <v>14.2667</v>
      </c>
      <c r="AD2525">
        <v>-1.112806288202</v>
      </c>
      <c r="AE2525">
        <v>1.75077999999999</v>
      </c>
      <c r="AF2525">
        <v>-1.7363719637936801</v>
      </c>
      <c r="AG2525">
        <v>-1.112806288202</v>
      </c>
      <c r="AH2525">
        <v>14.182185535485001</v>
      </c>
      <c r="AI2525">
        <v>94.453406678927493</v>
      </c>
      <c r="AJ2525">
        <v>96.980173047938493</v>
      </c>
      <c r="AK2525">
        <v>14.331354157742</v>
      </c>
      <c r="AL2525">
        <v>80.775376831141301</v>
      </c>
      <c r="AM2525">
        <v>92.058472183247304</v>
      </c>
      <c r="AN2525">
        <v>0.99999999984851395</v>
      </c>
    </row>
    <row r="2526" spans="1:40" x14ac:dyDescent="0.3">
      <c r="A2526" t="str">
        <f>"20200111150854774"</f>
        <v>20200111150854774</v>
      </c>
      <c r="B2526" t="str">
        <f>"1578726534766444"</f>
        <v>1578726534766444</v>
      </c>
      <c r="C2526" t="s">
        <v>40</v>
      </c>
      <c r="D2526">
        <v>5.3644970000000001</v>
      </c>
      <c r="E2526">
        <v>0.4679507</v>
      </c>
      <c r="F2526" t="s">
        <v>94</v>
      </c>
      <c r="G2526">
        <v>-371.51580000000001</v>
      </c>
      <c r="H2526" s="1">
        <v>-4.3460899999999999E-6</v>
      </c>
      <c r="I2526">
        <v>17.614529999999998</v>
      </c>
      <c r="J2526">
        <v>-385.5992</v>
      </c>
      <c r="K2526">
        <v>1.1123270000000001</v>
      </c>
      <c r="L2526">
        <v>15.890470000000001</v>
      </c>
      <c r="M2526">
        <v>0.99991350000000001</v>
      </c>
      <c r="N2526">
        <v>0</v>
      </c>
      <c r="O2526">
        <v>1.3157119999999999E-3</v>
      </c>
      <c r="P2526">
        <v>0.98816809999999999</v>
      </c>
      <c r="Q2526">
        <v>0.14959339999999999</v>
      </c>
      <c r="R2526">
        <v>3.3852220000000002E-2</v>
      </c>
      <c r="S2526">
        <v>3.0575260000000002</v>
      </c>
      <c r="T2526">
        <v>-0.23661579999999999</v>
      </c>
      <c r="U2526">
        <v>0.36685180000000001</v>
      </c>
      <c r="V2526">
        <v>-3.3427039999999998E-2</v>
      </c>
      <c r="W2526">
        <v>0.1623436</v>
      </c>
      <c r="X2526">
        <v>0.98616789999999999</v>
      </c>
      <c r="Y2526">
        <v>-0.1174799</v>
      </c>
      <c r="Z2526">
        <v>4.4215189999999996E-3</v>
      </c>
      <c r="AA2526">
        <v>0.99306539999999999</v>
      </c>
      <c r="AB2526">
        <v>35</v>
      </c>
      <c r="AC2526">
        <v>14.0833999999999</v>
      </c>
      <c r="AD2526">
        <v>-1.11233134609</v>
      </c>
      <c r="AE2526">
        <v>1.7240599999999899</v>
      </c>
      <c r="AF2526">
        <v>-1.6951090661214001</v>
      </c>
      <c r="AG2526">
        <v>-1.11233134609</v>
      </c>
      <c r="AH2526">
        <v>13.999614607297501</v>
      </c>
      <c r="AI2526">
        <v>94.510056376009501</v>
      </c>
      <c r="AJ2526">
        <v>96.903910740195897</v>
      </c>
      <c r="AK2526">
        <v>14.1456666482141</v>
      </c>
      <c r="AL2526">
        <v>80.657046303721401</v>
      </c>
      <c r="AM2526">
        <v>91.941348253330403</v>
      </c>
      <c r="AN2526">
        <v>0.99999996922726497</v>
      </c>
    </row>
    <row r="2527" spans="1:40" x14ac:dyDescent="0.3">
      <c r="A2527" t="str">
        <f>"20200111150854786"</f>
        <v>20200111150854786</v>
      </c>
      <c r="B2527" t="str">
        <f>"1578726534776205"</f>
        <v>1578726534776205</v>
      </c>
      <c r="C2527" t="s">
        <v>40</v>
      </c>
      <c r="D2527">
        <v>5.3706569999999996</v>
      </c>
      <c r="E2527">
        <v>0.4679507</v>
      </c>
      <c r="F2527" t="s">
        <v>94</v>
      </c>
      <c r="G2527">
        <v>-370.98669999999998</v>
      </c>
      <c r="H2527" s="1">
        <v>-4.5956849999999997E-6</v>
      </c>
      <c r="I2527">
        <v>17.61749</v>
      </c>
      <c r="J2527">
        <v>-385.39249999999998</v>
      </c>
      <c r="K2527">
        <v>1.112006</v>
      </c>
      <c r="L2527">
        <v>15.891299999999999</v>
      </c>
      <c r="M2527">
        <v>0.99991300000000005</v>
      </c>
      <c r="N2527">
        <v>0</v>
      </c>
      <c r="O2527">
        <v>1.768957E-3</v>
      </c>
      <c r="P2527">
        <v>0.98788949999999998</v>
      </c>
      <c r="Q2527">
        <v>0.15150620000000001</v>
      </c>
      <c r="R2527">
        <v>3.3469539999999999E-2</v>
      </c>
      <c r="S2527">
        <v>3.0587770000000001</v>
      </c>
      <c r="T2527">
        <v>-0.23284050000000001</v>
      </c>
      <c r="U2527">
        <v>0.36151119999999998</v>
      </c>
      <c r="V2527">
        <v>-3.2472769999999998E-2</v>
      </c>
      <c r="W2527">
        <v>0.1642662</v>
      </c>
      <c r="X2527">
        <v>0.98588140000000002</v>
      </c>
      <c r="Y2527">
        <v>-0.1152903</v>
      </c>
      <c r="Z2527">
        <v>4.2325970000000003E-3</v>
      </c>
      <c r="AA2527">
        <v>0.99332279999999995</v>
      </c>
      <c r="AB2527">
        <v>35</v>
      </c>
      <c r="AC2527">
        <v>14.405799999999999</v>
      </c>
      <c r="AD2527">
        <v>-1.1120105956849999</v>
      </c>
      <c r="AE2527">
        <v>1.7261899999999999</v>
      </c>
      <c r="AF2527">
        <v>-1.6907698919560299</v>
      </c>
      <c r="AG2527">
        <v>-1.1120105956849999</v>
      </c>
      <c r="AH2527">
        <v>14.324684633488401</v>
      </c>
      <c r="AI2527">
        <v>94.408430294672399</v>
      </c>
      <c r="AJ2527">
        <v>96.731585172794198</v>
      </c>
      <c r="AK2527">
        <v>14.4669229707412</v>
      </c>
      <c r="AL2527">
        <v>80.5453908032013</v>
      </c>
      <c r="AM2527">
        <v>91.886515224310799</v>
      </c>
      <c r="AN2527">
        <v>1.0000000000599301</v>
      </c>
    </row>
    <row r="2528" spans="1:40" x14ac:dyDescent="0.3">
      <c r="A2528" t="str">
        <f>"20200111150854807"</f>
        <v>20200111150854807</v>
      </c>
      <c r="B2528" t="str">
        <f>"1578726534795724"</f>
        <v>1578726534795724</v>
      </c>
      <c r="C2528" t="s">
        <v>40</v>
      </c>
      <c r="D2528">
        <v>5.3044560000000001</v>
      </c>
      <c r="E2528">
        <v>0.4867727</v>
      </c>
      <c r="F2528" t="s">
        <v>94</v>
      </c>
      <c r="G2528">
        <v>-370.39569999999998</v>
      </c>
      <c r="H2528" s="1">
        <v>-4.8678759999999998E-6</v>
      </c>
      <c r="I2528">
        <v>17.658000000000001</v>
      </c>
      <c r="J2528">
        <v>-385.0874</v>
      </c>
      <c r="K2528">
        <v>1.1115520000000001</v>
      </c>
      <c r="L2528">
        <v>15.8924</v>
      </c>
      <c r="M2528">
        <v>0.99991260000000004</v>
      </c>
      <c r="N2528">
        <v>0</v>
      </c>
      <c r="O2528">
        <v>2.0783640000000001E-3</v>
      </c>
      <c r="P2528">
        <v>0.98732690000000001</v>
      </c>
      <c r="Q2528">
        <v>0.15536159999999999</v>
      </c>
      <c r="R2528">
        <v>3.2378780000000003E-2</v>
      </c>
      <c r="S2528">
        <v>3.0593870000000001</v>
      </c>
      <c r="T2528">
        <v>-0.22685250000000001</v>
      </c>
      <c r="U2528">
        <v>0.36041260000000003</v>
      </c>
      <c r="V2528">
        <v>-3.0899550000000001E-2</v>
      </c>
      <c r="W2528">
        <v>0.1681327</v>
      </c>
      <c r="X2528">
        <v>0.98528000000000004</v>
      </c>
      <c r="Y2528">
        <v>-0.1146272</v>
      </c>
      <c r="Z2528">
        <v>4.0760170000000004E-3</v>
      </c>
      <c r="AA2528">
        <v>0.99340019999999996</v>
      </c>
      <c r="AB2528">
        <v>35</v>
      </c>
      <c r="AC2528">
        <v>14.691700000000001</v>
      </c>
      <c r="AD2528">
        <v>-1.1115568678759999</v>
      </c>
      <c r="AE2528">
        <v>1.7656000000000001</v>
      </c>
      <c r="AF2528">
        <v>-1.72532329107474</v>
      </c>
      <c r="AG2528">
        <v>-1.1115568678759999</v>
      </c>
      <c r="AH2528">
        <v>14.612881101438299</v>
      </c>
      <c r="AI2528">
        <v>94.320044421172199</v>
      </c>
      <c r="AJ2528">
        <v>96.733661837196195</v>
      </c>
      <c r="AK2528">
        <v>14.7563068961722</v>
      </c>
      <c r="AL2528">
        <v>80.3207323173839</v>
      </c>
      <c r="AM2528">
        <v>91.796274897780194</v>
      </c>
      <c r="AN2528">
        <v>1.00000003269974</v>
      </c>
    </row>
    <row r="2529" spans="1:40" x14ac:dyDescent="0.3">
      <c r="A2529" t="str">
        <f>"20200111150854821"</f>
        <v>20200111150854821</v>
      </c>
      <c r="B2529" t="str">
        <f>"1578726534816220"</f>
        <v>1578726534816220</v>
      </c>
      <c r="C2529" t="s">
        <v>40</v>
      </c>
      <c r="D2529">
        <v>5.3976189999999997</v>
      </c>
      <c r="E2529">
        <v>0.48892370000000002</v>
      </c>
      <c r="F2529" t="s">
        <v>96</v>
      </c>
      <c r="G2529">
        <v>-279.68</v>
      </c>
      <c r="H2529">
        <v>0.2454633</v>
      </c>
      <c r="I2529">
        <v>23.046220000000002</v>
      </c>
      <c r="J2529">
        <v>-384.88330000000002</v>
      </c>
      <c r="K2529">
        <v>1.111256</v>
      </c>
      <c r="L2529">
        <v>15.89301</v>
      </c>
      <c r="M2529">
        <v>0.99991289999999999</v>
      </c>
      <c r="N2529">
        <v>0</v>
      </c>
      <c r="O2529">
        <v>2.0938649999999999E-3</v>
      </c>
      <c r="P2529">
        <v>0.98710790000000004</v>
      </c>
      <c r="Q2529">
        <v>0.15688170000000001</v>
      </c>
      <c r="R2529">
        <v>3.172262E-2</v>
      </c>
      <c r="S2529">
        <v>3.0356450000000001</v>
      </c>
      <c r="T2529">
        <v>-2.4942519999999999E-2</v>
      </c>
      <c r="U2529">
        <v>0.20602419999999999</v>
      </c>
      <c r="V2529">
        <v>-3.0106020000000001E-2</v>
      </c>
      <c r="W2529">
        <v>0.1696597</v>
      </c>
      <c r="X2529">
        <v>0.9850428</v>
      </c>
      <c r="Y2529">
        <v>-6.5621059999999995E-2</v>
      </c>
      <c r="Z2529">
        <v>2.5208959999999998E-4</v>
      </c>
      <c r="AA2529">
        <v>0.99784459999999997</v>
      </c>
      <c r="AB2529">
        <v>35</v>
      </c>
      <c r="AC2529">
        <v>105.2033</v>
      </c>
      <c r="AD2529">
        <v>-0.86579269999999997</v>
      </c>
      <c r="AE2529">
        <v>7.1532099999999996</v>
      </c>
      <c r="AF2529">
        <v>-6.93242674395053</v>
      </c>
      <c r="AG2529">
        <v>-0.86579269999999997</v>
      </c>
      <c r="AH2529">
        <v>105.210955519028</v>
      </c>
      <c r="AI2529">
        <v>90.470462598952693</v>
      </c>
      <c r="AJ2529">
        <v>93.769811427517595</v>
      </c>
      <c r="AK2529">
        <v>105.442654076927</v>
      </c>
      <c r="AL2529">
        <v>80.2319666216314</v>
      </c>
      <c r="AM2529">
        <v>91.750595090517706</v>
      </c>
      <c r="AN2529">
        <v>1.0000000520380801</v>
      </c>
    </row>
    <row r="2530" spans="1:40" x14ac:dyDescent="0.3">
      <c r="A2530" t="str">
        <f>"20200111150854838"</f>
        <v>20200111150854838</v>
      </c>
      <c r="B2530" t="str">
        <f>"1578726534835740"</f>
        <v>1578726534835740</v>
      </c>
      <c r="C2530" t="s">
        <v>40</v>
      </c>
      <c r="D2530">
        <v>5.296964</v>
      </c>
      <c r="E2530">
        <v>0.48911139999999997</v>
      </c>
      <c r="F2530" t="s">
        <v>96</v>
      </c>
      <c r="G2530">
        <v>-279.68</v>
      </c>
      <c r="H2530">
        <v>0.1090351</v>
      </c>
      <c r="I2530">
        <v>22.371639999999999</v>
      </c>
      <c r="J2530">
        <v>-384.6</v>
      </c>
      <c r="K2530">
        <v>1.1108750000000001</v>
      </c>
      <c r="L2530">
        <v>15.89359</v>
      </c>
      <c r="M2530">
        <v>0.99991379999999996</v>
      </c>
      <c r="N2530">
        <v>0</v>
      </c>
      <c r="O2530">
        <v>1.8055650000000001E-3</v>
      </c>
      <c r="P2530">
        <v>0.98682590000000003</v>
      </c>
      <c r="Q2530">
        <v>0.15900539999999999</v>
      </c>
      <c r="R2530">
        <v>2.9870259999999999E-2</v>
      </c>
      <c r="S2530">
        <v>3.0377809999999998</v>
      </c>
      <c r="T2530">
        <v>-2.8939369999999999E-2</v>
      </c>
      <c r="U2530">
        <v>0.18707280000000001</v>
      </c>
      <c r="V2530">
        <v>-2.837667E-2</v>
      </c>
      <c r="W2530">
        <v>0.1717928</v>
      </c>
      <c r="X2530">
        <v>0.9847243</v>
      </c>
      <c r="Y2530">
        <v>-5.9660589999999999E-2</v>
      </c>
      <c r="Z2530">
        <v>2.6671719999999999E-4</v>
      </c>
      <c r="AA2530">
        <v>0.99821870000000001</v>
      </c>
      <c r="AB2530">
        <v>35</v>
      </c>
      <c r="AC2530">
        <v>104.92</v>
      </c>
      <c r="AD2530">
        <v>-1.0018399</v>
      </c>
      <c r="AE2530">
        <v>6.4780499999999996</v>
      </c>
      <c r="AF2530">
        <v>-6.2880123987703298</v>
      </c>
      <c r="AG2530">
        <v>-1.0018399</v>
      </c>
      <c r="AH2530">
        <v>104.921996449573</v>
      </c>
      <c r="AI2530">
        <v>90.546088135535499</v>
      </c>
      <c r="AJ2530">
        <v>93.429654243014099</v>
      </c>
      <c r="AK2530">
        <v>105.115023293897</v>
      </c>
      <c r="AL2530">
        <v>80.107927123462105</v>
      </c>
      <c r="AM2530">
        <v>91.650628106065696</v>
      </c>
      <c r="AN2530">
        <v>0.99999997427130904</v>
      </c>
    </row>
    <row r="2531" spans="1:40" x14ac:dyDescent="0.3">
      <c r="A2531" t="str">
        <f>"20200111150854851"</f>
        <v>20200111150854851</v>
      </c>
      <c r="B2531" t="str">
        <f>"1578726534846476"</f>
        <v>1578726534846476</v>
      </c>
      <c r="C2531" t="s">
        <v>40</v>
      </c>
      <c r="D2531">
        <v>5.2745389999999999</v>
      </c>
      <c r="E2531">
        <v>0.48894759999999998</v>
      </c>
      <c r="F2531" t="s">
        <v>96</v>
      </c>
      <c r="G2531">
        <v>-279.68</v>
      </c>
      <c r="H2531">
        <v>1.2776299999999901</v>
      </c>
      <c r="I2531">
        <v>22.136310000000002</v>
      </c>
      <c r="J2531">
        <v>-384.41919999999999</v>
      </c>
      <c r="K2531">
        <v>1.1106499999999999</v>
      </c>
      <c r="L2531">
        <v>15.893739999999999</v>
      </c>
      <c r="M2531">
        <v>0.99991439999999998</v>
      </c>
      <c r="N2531">
        <v>0</v>
      </c>
      <c r="O2531">
        <v>1.4583790000000001E-3</v>
      </c>
      <c r="P2531">
        <v>0.98665130000000001</v>
      </c>
      <c r="Q2531">
        <v>0.16023490000000001</v>
      </c>
      <c r="R2531">
        <v>2.9052700000000001E-2</v>
      </c>
      <c r="S2531">
        <v>3.0338129999999999</v>
      </c>
      <c r="T2531">
        <v>4.8218970000000003E-3</v>
      </c>
      <c r="U2531">
        <v>0.18051149999999999</v>
      </c>
      <c r="V2531">
        <v>-2.7806170000000002E-2</v>
      </c>
      <c r="W2531">
        <v>0.17302529999999999</v>
      </c>
      <c r="X2531">
        <v>0.98452479999999998</v>
      </c>
      <c r="Y2531">
        <v>-5.7938749999999997E-2</v>
      </c>
      <c r="Z2531" s="1">
        <v>-4.3686719999999998E-5</v>
      </c>
      <c r="AA2531">
        <v>0.99832019999999999</v>
      </c>
      <c r="AB2531">
        <v>35</v>
      </c>
      <c r="AC2531">
        <v>104.739199999999</v>
      </c>
      <c r="AD2531">
        <v>0.16697999999999899</v>
      </c>
      <c r="AE2531">
        <v>6.2425699999999997</v>
      </c>
      <c r="AF2531">
        <v>-6.0897855734342397</v>
      </c>
      <c r="AG2531">
        <v>0.16697999999999899</v>
      </c>
      <c r="AH2531">
        <v>104.747928113569</v>
      </c>
      <c r="AI2531">
        <v>89.908818114823106</v>
      </c>
      <c r="AJ2531">
        <v>93.327289626643804</v>
      </c>
      <c r="AK2531">
        <v>104.924934189811</v>
      </c>
      <c r="AL2531">
        <v>80.036236889669695</v>
      </c>
      <c r="AM2531">
        <v>91.617788371417205</v>
      </c>
      <c r="AN2531">
        <v>1.0000000096725901</v>
      </c>
    </row>
    <row r="2532" spans="1:40" x14ac:dyDescent="0.3">
      <c r="A2532" t="str">
        <f>"20200111150854863"</f>
        <v>20200111150854863</v>
      </c>
      <c r="B2532" t="str">
        <f>"1578726534855902"</f>
        <v>1578726534855902</v>
      </c>
      <c r="C2532" t="s">
        <v>40</v>
      </c>
      <c r="D2532">
        <v>5.2647240000000002</v>
      </c>
      <c r="E2532">
        <v>0.48960609999999999</v>
      </c>
      <c r="F2532" t="s">
        <v>97</v>
      </c>
      <c r="G2532">
        <v>-276.68329999999997</v>
      </c>
      <c r="H2532">
        <v>1.490035</v>
      </c>
      <c r="I2532">
        <v>22.272079999999999</v>
      </c>
      <c r="J2532">
        <v>-384.22140000000002</v>
      </c>
      <c r="K2532">
        <v>1.1104099999999999</v>
      </c>
      <c r="L2532">
        <v>15.893829999999999</v>
      </c>
      <c r="M2532">
        <v>0.99991509999999995</v>
      </c>
      <c r="N2532">
        <v>0</v>
      </c>
      <c r="O2532">
        <v>1.0190220000000001E-3</v>
      </c>
      <c r="P2532">
        <v>0.98653869999999999</v>
      </c>
      <c r="Q2532">
        <v>0.16105340000000001</v>
      </c>
      <c r="R2532">
        <v>2.8344879999999999E-2</v>
      </c>
      <c r="S2532">
        <v>3.0335390000000002</v>
      </c>
      <c r="T2532">
        <v>1.0682229999999999E-2</v>
      </c>
      <c r="U2532">
        <v>0.179595899999999</v>
      </c>
      <c r="V2532">
        <v>-2.7429869999999999E-2</v>
      </c>
      <c r="W2532">
        <v>0.17384659999999999</v>
      </c>
      <c r="X2532">
        <v>0.98439069999999995</v>
      </c>
      <c r="Y2532">
        <v>-5.8082259999999997E-2</v>
      </c>
      <c r="Z2532" s="1">
        <v>-9.8589440000000005E-5</v>
      </c>
      <c r="AA2532">
        <v>0.99831179999999997</v>
      </c>
      <c r="AB2532">
        <v>35</v>
      </c>
      <c r="AC2532">
        <v>107.5381</v>
      </c>
      <c r="AD2532">
        <v>0.37962499999999899</v>
      </c>
      <c r="AE2532">
        <v>6.3782500000000004</v>
      </c>
      <c r="AF2532">
        <v>-6.2685759059284196</v>
      </c>
      <c r="AG2532">
        <v>0.37962499999999899</v>
      </c>
      <c r="AH2532">
        <v>107.543208785453</v>
      </c>
      <c r="AI2532">
        <v>89.798090794007393</v>
      </c>
      <c r="AJ2532">
        <v>93.335933627422094</v>
      </c>
      <c r="AK2532">
        <v>107.72641697792</v>
      </c>
      <c r="AL2532">
        <v>79.988456097919396</v>
      </c>
      <c r="AM2532">
        <v>91.596123585444303</v>
      </c>
      <c r="AN2532">
        <v>1.00000004417313</v>
      </c>
    </row>
    <row r="2533" spans="1:40" x14ac:dyDescent="0.3">
      <c r="A2533" t="str">
        <f>"20200111150854875"</f>
        <v>20200111150854875</v>
      </c>
      <c r="B2533" t="str">
        <f>"1578726534865661"</f>
        <v>1578726534865661</v>
      </c>
      <c r="C2533" t="s">
        <v>40</v>
      </c>
      <c r="D2533">
        <v>5.6478529999999996</v>
      </c>
      <c r="E2533">
        <v>0.48960609999999999</v>
      </c>
      <c r="F2533" t="s">
        <v>97</v>
      </c>
      <c r="G2533">
        <v>-276.94290000000001</v>
      </c>
      <c r="H2533">
        <v>1.934474</v>
      </c>
      <c r="I2533">
        <v>21.989789999999999</v>
      </c>
      <c r="J2533">
        <v>-384.02440000000001</v>
      </c>
      <c r="K2533">
        <v>1.1101920000000001</v>
      </c>
      <c r="L2533">
        <v>15.89371</v>
      </c>
      <c r="M2533">
        <v>0.99991569999999996</v>
      </c>
      <c r="N2533">
        <v>0</v>
      </c>
      <c r="O2533">
        <v>4.677765E-4</v>
      </c>
      <c r="P2533">
        <v>0.98639140000000003</v>
      </c>
      <c r="Q2533">
        <v>0.1620433</v>
      </c>
      <c r="R2533">
        <v>2.782252E-2</v>
      </c>
      <c r="S2533">
        <v>3.0322269999999998</v>
      </c>
      <c r="T2533">
        <v>2.3292179999999999E-2</v>
      </c>
      <c r="U2533">
        <v>0.17230219999999999</v>
      </c>
      <c r="V2533">
        <v>-2.735692E-2</v>
      </c>
      <c r="W2533">
        <v>0.17483779999999999</v>
      </c>
      <c r="X2533">
        <v>0.98421709999999996</v>
      </c>
      <c r="Y2533">
        <v>-5.626345E-2</v>
      </c>
      <c r="Z2533">
        <v>-2.1232719999999999E-4</v>
      </c>
      <c r="AA2533">
        <v>0.99841590000000002</v>
      </c>
      <c r="AB2533">
        <v>35</v>
      </c>
      <c r="AC2533">
        <v>107.08150000000001</v>
      </c>
      <c r="AD2533">
        <v>0.82428199999999996</v>
      </c>
      <c r="AE2533">
        <v>6.09607999999999</v>
      </c>
      <c r="AF2533">
        <v>-6.0456278316174901</v>
      </c>
      <c r="AG2533">
        <v>0.82428199999999996</v>
      </c>
      <c r="AH2533">
        <v>107.07801574780601</v>
      </c>
      <c r="AI2533">
        <v>89.559649518136894</v>
      </c>
      <c r="AJ2533">
        <v>93.231490552347097</v>
      </c>
      <c r="AK2533">
        <v>107.251715665444</v>
      </c>
      <c r="AL2533">
        <v>79.930780571438603</v>
      </c>
      <c r="AM2533">
        <v>91.592161504234994</v>
      </c>
      <c r="AN2533">
        <v>0.99999997865656698</v>
      </c>
    </row>
    <row r="2534" spans="1:40" x14ac:dyDescent="0.3">
      <c r="A2534" t="str">
        <f>"20200111150854896"</f>
        <v>20200111150854896</v>
      </c>
      <c r="B2534" t="str">
        <f>"1578726534886160"</f>
        <v>1578726534886160</v>
      </c>
      <c r="C2534" t="s">
        <v>40</v>
      </c>
      <c r="D2534">
        <v>5.310346</v>
      </c>
      <c r="E2534">
        <v>0.46095510000000001</v>
      </c>
      <c r="F2534" t="s">
        <v>97</v>
      </c>
      <c r="G2534">
        <v>-277.01819999999998</v>
      </c>
      <c r="H2534">
        <v>2.039914</v>
      </c>
      <c r="I2534">
        <v>21.920280000000002</v>
      </c>
      <c r="J2534">
        <v>-383.7115</v>
      </c>
      <c r="K2534">
        <v>1.1098939999999999</v>
      </c>
      <c r="L2534">
        <v>15.8931</v>
      </c>
      <c r="M2534">
        <v>0.99991580000000002</v>
      </c>
      <c r="N2534">
        <v>0</v>
      </c>
      <c r="O2534">
        <v>-5.6695080000000004E-4</v>
      </c>
      <c r="P2534">
        <v>0.98613150000000005</v>
      </c>
      <c r="Q2534">
        <v>0.16384109999999999</v>
      </c>
      <c r="R2534">
        <v>2.646861E-2</v>
      </c>
      <c r="S2534">
        <v>3.032257</v>
      </c>
      <c r="T2534">
        <v>2.6345609999999998E-2</v>
      </c>
      <c r="U2534">
        <v>0.17077639999999999</v>
      </c>
      <c r="V2534">
        <v>-2.6890580000000001E-2</v>
      </c>
      <c r="W2534">
        <v>0.17663519999999999</v>
      </c>
      <c r="X2534">
        <v>0.98390900000000003</v>
      </c>
      <c r="Y2534">
        <v>-5.6794709999999998E-2</v>
      </c>
      <c r="Z2534">
        <v>-2.5145130000000002E-4</v>
      </c>
      <c r="AA2534">
        <v>0.99838579999999999</v>
      </c>
      <c r="AB2534">
        <v>35</v>
      </c>
      <c r="AC2534">
        <v>106.69329999999999</v>
      </c>
      <c r="AD2534">
        <v>0.93001999999999896</v>
      </c>
      <c r="AE2534">
        <v>6.0271799999999898</v>
      </c>
      <c r="AF2534">
        <v>-6.0872129200588896</v>
      </c>
      <c r="AG2534">
        <v>0.93001999999999896</v>
      </c>
      <c r="AH2534">
        <v>106.681785346043</v>
      </c>
      <c r="AI2534">
        <v>89.501336200087493</v>
      </c>
      <c r="AJ2534">
        <v>93.265729353852706</v>
      </c>
      <c r="AK2534">
        <v>106.85935814402799</v>
      </c>
      <c r="AL2534">
        <v>79.8261693851492</v>
      </c>
      <c r="AM2534">
        <v>91.565524151760997</v>
      </c>
      <c r="AN2534">
        <v>1.0000000087263801</v>
      </c>
    </row>
    <row r="2535" spans="1:40" x14ac:dyDescent="0.3">
      <c r="A2535" t="str">
        <f>"20200111150854908"</f>
        <v>20200111150854908</v>
      </c>
      <c r="B2535" t="str">
        <f>"1578726534905677"</f>
        <v>1578726534905677</v>
      </c>
      <c r="C2535" t="s">
        <v>40</v>
      </c>
      <c r="D2535">
        <v>5.393256</v>
      </c>
      <c r="E2535">
        <v>0.493309</v>
      </c>
      <c r="F2535" t="s">
        <v>52</v>
      </c>
      <c r="G2535">
        <v>-215.1353</v>
      </c>
      <c r="H2535">
        <v>51.069540000000003</v>
      </c>
      <c r="I2535">
        <v>38.461799999999997</v>
      </c>
      <c r="J2535">
        <v>-383.52600000000001</v>
      </c>
      <c r="K2535">
        <v>1.1097429999999999</v>
      </c>
      <c r="L2535">
        <v>15.89246</v>
      </c>
      <c r="M2535">
        <v>0.9999152</v>
      </c>
      <c r="N2535">
        <v>0</v>
      </c>
      <c r="O2535">
        <v>-1.2576499999999999E-3</v>
      </c>
      <c r="P2535">
        <v>0.98612650000000002</v>
      </c>
      <c r="Q2535">
        <v>0.16404160000000001</v>
      </c>
      <c r="R2535">
        <v>2.5394770000000001E-2</v>
      </c>
      <c r="S2535">
        <v>2.8894959999999998</v>
      </c>
      <c r="T2535">
        <v>0.85633809999999999</v>
      </c>
      <c r="U2535">
        <v>0.38684079999999998</v>
      </c>
      <c r="V2535">
        <v>-2.6431710000000001E-2</v>
      </c>
      <c r="W2535">
        <v>0.1768361</v>
      </c>
      <c r="X2535">
        <v>0.98388529999999996</v>
      </c>
      <c r="Y2535">
        <v>-0.1284602</v>
      </c>
      <c r="Z2535">
        <v>-1.8920490000000002E-2</v>
      </c>
      <c r="AA2535">
        <v>0.99153420000000003</v>
      </c>
      <c r="AB2535">
        <v>34</v>
      </c>
      <c r="AC2535">
        <v>168.39070000000001</v>
      </c>
      <c r="AD2535">
        <v>49.959796999999902</v>
      </c>
      <c r="AE2535">
        <v>22.56934</v>
      </c>
      <c r="AF2535">
        <v>-20.967984515778099</v>
      </c>
      <c r="AG2535">
        <v>49.959796999999902</v>
      </c>
      <c r="AH2535">
        <v>154.96236036013801</v>
      </c>
      <c r="AI2535">
        <v>72.281937737532402</v>
      </c>
      <c r="AJ2535">
        <v>97.705900829124602</v>
      </c>
      <c r="AK2535">
        <v>164.16141696306201</v>
      </c>
      <c r="AL2535">
        <v>79.814474092179395</v>
      </c>
      <c r="AM2535">
        <v>91.538859521155004</v>
      </c>
      <c r="AN2535">
        <v>0.99999996255641099</v>
      </c>
    </row>
    <row r="2536" spans="1:40" x14ac:dyDescent="0.3">
      <c r="A2536" t="str">
        <f>"20200111150854921"</f>
        <v>20200111150854921</v>
      </c>
      <c r="B2536" t="str">
        <f>"1578726534916414"</f>
        <v>1578726534916414</v>
      </c>
      <c r="C2536" t="s">
        <v>40</v>
      </c>
      <c r="D2536">
        <v>5.2806629999999997</v>
      </c>
      <c r="E2536">
        <v>0.49400509999999997</v>
      </c>
      <c r="F2536" t="s">
        <v>69</v>
      </c>
      <c r="G2536">
        <v>-274.15660000000003</v>
      </c>
      <c r="H2536">
        <v>3.1236619999999999</v>
      </c>
      <c r="I2536">
        <v>20.743400000000001</v>
      </c>
      <c r="J2536">
        <v>-383.32709999999997</v>
      </c>
      <c r="K2536">
        <v>1.109594</v>
      </c>
      <c r="L2536">
        <v>15.891690000000001</v>
      </c>
      <c r="M2536">
        <v>0.99991419999999998</v>
      </c>
      <c r="N2536">
        <v>0</v>
      </c>
      <c r="O2536">
        <v>-2.0269089999999999E-3</v>
      </c>
      <c r="P2536">
        <v>0.98614919999999995</v>
      </c>
      <c r="Q2536">
        <v>0.1640634</v>
      </c>
      <c r="R2536">
        <v>2.43559E-2</v>
      </c>
      <c r="S2536">
        <v>3.02948</v>
      </c>
      <c r="T2536">
        <v>5.57847E-2</v>
      </c>
      <c r="U2536">
        <v>0.13436890000000001</v>
      </c>
      <c r="V2536">
        <v>-2.6087240000000001E-2</v>
      </c>
      <c r="W2536">
        <v>0.17685719999999999</v>
      </c>
      <c r="X2536">
        <v>0.98389079999999995</v>
      </c>
      <c r="Y2536">
        <v>-4.632704E-2</v>
      </c>
      <c r="Z2536">
        <v>-4.6359169999999998E-4</v>
      </c>
      <c r="AA2536">
        <v>0.99892619999999999</v>
      </c>
      <c r="AB2536">
        <v>34</v>
      </c>
      <c r="AC2536">
        <v>109.170499999999</v>
      </c>
      <c r="AD2536">
        <v>2.014068</v>
      </c>
      <c r="AE2536">
        <v>4.8517099999999997</v>
      </c>
      <c r="AF2536">
        <v>-5.0712745804121298</v>
      </c>
      <c r="AG2536">
        <v>2.014068</v>
      </c>
      <c r="AH2536">
        <v>109.123372961172</v>
      </c>
      <c r="AI2536">
        <v>88.943763171178404</v>
      </c>
      <c r="AJ2536">
        <v>92.660783976915297</v>
      </c>
      <c r="AK2536">
        <v>109.25971271333999</v>
      </c>
      <c r="AL2536">
        <v>79.8132467924233</v>
      </c>
      <c r="AM2536">
        <v>91.518805377238095</v>
      </c>
      <c r="AN2536">
        <v>1.00000005980364</v>
      </c>
    </row>
    <row r="2537" spans="1:40" x14ac:dyDescent="0.3">
      <c r="A2537" t="str">
        <f>"20200111150854938"</f>
        <v>20200111150854938</v>
      </c>
      <c r="B2537" t="str">
        <f>"1578726534935934"</f>
        <v>1578726534935934</v>
      </c>
      <c r="C2537" t="s">
        <v>40</v>
      </c>
      <c r="D2537">
        <v>5.2451040000000004</v>
      </c>
      <c r="E2537">
        <v>0.49471799999999999</v>
      </c>
      <c r="F2537" t="s">
        <v>96</v>
      </c>
      <c r="G2537">
        <v>-279.68</v>
      </c>
      <c r="H2537">
        <v>0.77813509999999997</v>
      </c>
      <c r="I2537">
        <v>20.217120000000001</v>
      </c>
      <c r="J2537">
        <v>-383.04610000000002</v>
      </c>
      <c r="K2537">
        <v>1.1094299999999999</v>
      </c>
      <c r="L2537">
        <v>15.8902</v>
      </c>
      <c r="M2537">
        <v>0.99991149999999995</v>
      </c>
      <c r="N2537">
        <v>0</v>
      </c>
      <c r="O2537">
        <v>-3.1703360000000002E-3</v>
      </c>
      <c r="P2537">
        <v>0.98625989999999997</v>
      </c>
      <c r="Q2537">
        <v>0.16365080000000001</v>
      </c>
      <c r="R2537">
        <v>2.258338E-2</v>
      </c>
      <c r="S2537">
        <v>3.040619</v>
      </c>
      <c r="T2537">
        <v>-9.7236630000000004E-3</v>
      </c>
      <c r="U2537">
        <v>0.12689210000000001</v>
      </c>
      <c r="V2537">
        <v>-2.537182E-2</v>
      </c>
      <c r="W2537">
        <v>0.17644179999999901</v>
      </c>
      <c r="X2537">
        <v>0.98398399999999997</v>
      </c>
      <c r="Y2537">
        <v>-4.4863420000000001E-2</v>
      </c>
      <c r="Z2537" s="1">
        <v>8.1838529999999995E-5</v>
      </c>
      <c r="AA2537">
        <v>0.99899309999999997</v>
      </c>
      <c r="AB2537">
        <v>34</v>
      </c>
      <c r="AC2537">
        <v>103.3661</v>
      </c>
      <c r="AD2537">
        <v>-0.331294899999999</v>
      </c>
      <c r="AE2537">
        <v>4.3269200000000003</v>
      </c>
      <c r="AF2537">
        <v>-4.6545831462439198</v>
      </c>
      <c r="AG2537">
        <v>-0.331294899999999</v>
      </c>
      <c r="AH2537">
        <v>103.350801701709</v>
      </c>
      <c r="AI2537">
        <v>90.183477178521002</v>
      </c>
      <c r="AJ2537">
        <v>92.578672598175899</v>
      </c>
      <c r="AK2537">
        <v>103.45609268168801</v>
      </c>
      <c r="AL2537">
        <v>79.837426862274796</v>
      </c>
      <c r="AM2537">
        <v>91.477032316253698</v>
      </c>
      <c r="AN2537">
        <v>0.99999997514667505</v>
      </c>
    </row>
    <row r="2538" spans="1:40" x14ac:dyDescent="0.3">
      <c r="A2538" t="str">
        <f>"20200111150854952"</f>
        <v>20200111150854952</v>
      </c>
      <c r="B2538" t="str">
        <f>"1578726534945693"</f>
        <v>1578726534945693</v>
      </c>
      <c r="C2538" t="s">
        <v>40</v>
      </c>
      <c r="D2538">
        <v>5.2445979999999999</v>
      </c>
      <c r="E2538">
        <v>0.49507370000000001</v>
      </c>
      <c r="F2538" t="s">
        <v>98</v>
      </c>
      <c r="G2538">
        <v>-279.68</v>
      </c>
      <c r="H2538">
        <v>0.3858492</v>
      </c>
      <c r="I2538">
        <v>19.85473</v>
      </c>
      <c r="J2538">
        <v>-382.85180000000003</v>
      </c>
      <c r="K2538">
        <v>1.1093470000000001</v>
      </c>
      <c r="L2538">
        <v>15.88889</v>
      </c>
      <c r="M2538">
        <v>0.99990860000000004</v>
      </c>
      <c r="N2538">
        <v>0</v>
      </c>
      <c r="O2538">
        <v>-3.976645E-3</v>
      </c>
      <c r="P2538">
        <v>0.98632790000000004</v>
      </c>
      <c r="Q2538">
        <v>0.16335050000000001</v>
      </c>
      <c r="R2538">
        <v>2.1772219999999998E-2</v>
      </c>
      <c r="S2538">
        <v>3.0426639999999998</v>
      </c>
      <c r="T2538">
        <v>-2.1299120000000001E-2</v>
      </c>
      <c r="U2538">
        <v>0.1166992</v>
      </c>
      <c r="V2538">
        <v>-2.5321139999999999E-2</v>
      </c>
      <c r="W2538">
        <v>0.17613860000000001</v>
      </c>
      <c r="X2538">
        <v>0.98403969999999996</v>
      </c>
      <c r="Y2538">
        <v>-4.2298740000000001E-2</v>
      </c>
      <c r="Z2538">
        <v>1.7582209999999999E-4</v>
      </c>
      <c r="AA2538">
        <v>0.99910500000000002</v>
      </c>
      <c r="AB2538">
        <v>34</v>
      </c>
      <c r="AC2538">
        <v>103.1718</v>
      </c>
      <c r="AD2538">
        <v>-0.72349779999999897</v>
      </c>
      <c r="AE2538">
        <v>3.96584</v>
      </c>
      <c r="AF2538">
        <v>-4.37590564622516</v>
      </c>
      <c r="AG2538">
        <v>-0.72349779999999897</v>
      </c>
      <c r="AH2538">
        <v>103.150147023123</v>
      </c>
      <c r="AI2538">
        <v>90.401506371824198</v>
      </c>
      <c r="AJ2538">
        <v>92.429183945773701</v>
      </c>
      <c r="AK2538">
        <v>103.24545912621601</v>
      </c>
      <c r="AL2538">
        <v>79.855076105278798</v>
      </c>
      <c r="AM2538">
        <v>91.473999858173201</v>
      </c>
      <c r="AN2538">
        <v>1.0000000488584699</v>
      </c>
    </row>
    <row r="2539" spans="1:40" x14ac:dyDescent="0.3">
      <c r="A2539" t="str">
        <f>"20200111150854964"</f>
        <v>20200111150854964</v>
      </c>
      <c r="B2539" t="str">
        <f>"1578726534956430"</f>
        <v>1578726534956430</v>
      </c>
      <c r="C2539" t="s">
        <v>40</v>
      </c>
      <c r="D2539">
        <v>5.2001010000000001</v>
      </c>
      <c r="E2539">
        <v>0.49532120000000002</v>
      </c>
      <c r="F2539" t="s">
        <v>98</v>
      </c>
      <c r="G2539">
        <v>-279.68</v>
      </c>
      <c r="H2539">
        <v>0.27695199999999998</v>
      </c>
      <c r="I2539">
        <v>19.66423</v>
      </c>
      <c r="J2539">
        <v>-382.66669999999999</v>
      </c>
      <c r="K2539">
        <v>1.1092850000000001</v>
      </c>
      <c r="L2539">
        <v>15.88757</v>
      </c>
      <c r="M2539">
        <v>0.9999053</v>
      </c>
      <c r="N2539">
        <v>0</v>
      </c>
      <c r="O2539">
        <v>-4.7385650000000001E-3</v>
      </c>
      <c r="P2539">
        <v>0.98635519999999999</v>
      </c>
      <c r="Q2539">
        <v>0.16326379999999999</v>
      </c>
      <c r="R2539">
        <v>2.1173959999999999E-2</v>
      </c>
      <c r="S2539">
        <v>3.0431819999999998</v>
      </c>
      <c r="T2539">
        <v>-2.4552460000000002E-2</v>
      </c>
      <c r="U2539">
        <v>0.1113586</v>
      </c>
      <c r="V2539">
        <v>-2.5446360000000001E-2</v>
      </c>
      <c r="W2539">
        <v>0.1760485</v>
      </c>
      <c r="X2539">
        <v>0.9840525</v>
      </c>
      <c r="Y2539">
        <v>-4.1302239999999997E-2</v>
      </c>
      <c r="Z2539">
        <v>2.0477660000000001E-4</v>
      </c>
      <c r="AA2539">
        <v>0.99914669999999906</v>
      </c>
      <c r="AB2539">
        <v>34</v>
      </c>
      <c r="AC2539">
        <v>102.986699999999</v>
      </c>
      <c r="AD2539">
        <v>-0.83233299999999999</v>
      </c>
      <c r="AE2539">
        <v>3.7766599999999899</v>
      </c>
      <c r="AF2539">
        <v>-4.2643893360042497</v>
      </c>
      <c r="AG2539">
        <v>-0.83233299999999999</v>
      </c>
      <c r="AH2539">
        <v>102.9609299703</v>
      </c>
      <c r="AI2539">
        <v>90.462770501053001</v>
      </c>
      <c r="AJ2539">
        <v>92.3716952148676</v>
      </c>
      <c r="AK2539">
        <v>103.05256374773499</v>
      </c>
      <c r="AL2539">
        <v>79.860319465650605</v>
      </c>
      <c r="AM2539">
        <v>91.481266693959</v>
      </c>
      <c r="AN2539">
        <v>0.99999995717287304</v>
      </c>
    </row>
    <row r="2540" spans="1:40" x14ac:dyDescent="0.3">
      <c r="A2540" t="str">
        <f>"20200111150854975"</f>
        <v>20200111150854975</v>
      </c>
      <c r="B2540" t="str">
        <f>"1578726534966190"</f>
        <v>1578726534966190</v>
      </c>
      <c r="C2540" t="s">
        <v>40</v>
      </c>
      <c r="D2540">
        <v>5.2578459999999998</v>
      </c>
      <c r="E2540">
        <v>0.49582340000000003</v>
      </c>
      <c r="F2540" t="s">
        <v>98</v>
      </c>
      <c r="G2540">
        <v>-279.68</v>
      </c>
      <c r="H2540">
        <v>0.62366369999999904</v>
      </c>
      <c r="I2540">
        <v>19.527920000000002</v>
      </c>
      <c r="J2540">
        <v>-382.47399999999999</v>
      </c>
      <c r="K2540">
        <v>1.10924</v>
      </c>
      <c r="L2540">
        <v>15.88602</v>
      </c>
      <c r="M2540">
        <v>0.9999015</v>
      </c>
      <c r="N2540">
        <v>0</v>
      </c>
      <c r="O2540">
        <v>-5.5202929999999999E-3</v>
      </c>
      <c r="P2540">
        <v>0.98636889999999999</v>
      </c>
      <c r="Q2540">
        <v>0.16325799999999999</v>
      </c>
      <c r="R2540">
        <v>2.0570350000000001E-2</v>
      </c>
      <c r="S2540">
        <v>3.041595</v>
      </c>
      <c r="T2540">
        <v>-1.4342189999999999E-2</v>
      </c>
      <c r="U2540">
        <v>0.1075134</v>
      </c>
      <c r="V2540">
        <v>-2.559328E-2</v>
      </c>
      <c r="W2540">
        <v>0.17603820000000001</v>
      </c>
      <c r="X2540">
        <v>0.9840506</v>
      </c>
      <c r="Y2540">
        <v>-4.08419E-2</v>
      </c>
      <c r="Z2540">
        <v>1.2228590000000001E-4</v>
      </c>
      <c r="AA2540">
        <v>0.99916559999999999</v>
      </c>
      <c r="AB2540">
        <v>34</v>
      </c>
      <c r="AC2540">
        <v>102.793999999999</v>
      </c>
      <c r="AD2540">
        <v>-0.48557630000000002</v>
      </c>
      <c r="AE2540">
        <v>3.6419000000000001</v>
      </c>
      <c r="AF2540">
        <v>-4.2092509411942798</v>
      </c>
      <c r="AG2540">
        <v>-0.48557630000000002</v>
      </c>
      <c r="AH2540">
        <v>102.770037098375</v>
      </c>
      <c r="AI2540">
        <v>90.270487003783998</v>
      </c>
      <c r="AJ2540">
        <v>92.345407244512998</v>
      </c>
      <c r="AK2540">
        <v>102.857348318098</v>
      </c>
      <c r="AL2540">
        <v>79.860919655728793</v>
      </c>
      <c r="AM2540">
        <v>91.489818135792802</v>
      </c>
      <c r="AN2540">
        <v>1.0000000236003701</v>
      </c>
    </row>
    <row r="2541" spans="1:40" x14ac:dyDescent="0.3">
      <c r="A2541" t="str">
        <f>"20200111150854988"</f>
        <v>20200111150854988</v>
      </c>
      <c r="B2541" t="str">
        <f>"1578726534985710"</f>
        <v>1578726534985710</v>
      </c>
      <c r="C2541" t="s">
        <v>40</v>
      </c>
      <c r="D2541">
        <v>5.2132540000000001</v>
      </c>
      <c r="E2541">
        <v>0.4956352</v>
      </c>
      <c r="F2541" t="s">
        <v>44</v>
      </c>
      <c r="G2541">
        <v>-281.2269</v>
      </c>
      <c r="H2541">
        <v>-0.05</v>
      </c>
      <c r="I2541">
        <v>19.27505</v>
      </c>
      <c r="J2541">
        <v>-382.29430000000002</v>
      </c>
      <c r="K2541">
        <v>1.109218</v>
      </c>
      <c r="L2541">
        <v>15.884399999999999</v>
      </c>
      <c r="M2541">
        <v>0.99989749999999999</v>
      </c>
      <c r="N2541">
        <v>0</v>
      </c>
      <c r="O2541">
        <v>-6.224116E-3</v>
      </c>
      <c r="P2541">
        <v>0.98635170000000005</v>
      </c>
      <c r="Q2541">
        <v>0.16341610000000001</v>
      </c>
      <c r="R2541">
        <v>2.0140060000000001E-2</v>
      </c>
      <c r="S2541">
        <v>3.045105</v>
      </c>
      <c r="T2541">
        <v>-3.4865260000000002E-2</v>
      </c>
      <c r="U2541">
        <v>0.1019287</v>
      </c>
      <c r="V2541">
        <v>-2.5846419999999998E-2</v>
      </c>
      <c r="W2541">
        <v>0.17619070000000001</v>
      </c>
      <c r="X2541">
        <v>0.98401669999999997</v>
      </c>
      <c r="Y2541">
        <v>-3.9671730000000002E-2</v>
      </c>
      <c r="Z2541">
        <v>2.9829070000000001E-4</v>
      </c>
      <c r="AA2541">
        <v>0.99921269999999995</v>
      </c>
      <c r="AB2541">
        <v>34</v>
      </c>
      <c r="AC2541">
        <v>101.06740000000001</v>
      </c>
      <c r="AD2541">
        <v>-1.1592180000000001</v>
      </c>
      <c r="AE2541">
        <v>3.3906499999999999</v>
      </c>
      <c r="AF2541">
        <v>-4.0191636828253801</v>
      </c>
      <c r="AG2541">
        <v>-1.1592180000000001</v>
      </c>
      <c r="AH2541">
        <v>101.031060225988</v>
      </c>
      <c r="AI2541">
        <v>90.6568563957169</v>
      </c>
      <c r="AJ2541">
        <v>92.278108857025401</v>
      </c>
      <c r="AK2541">
        <v>101.1176176216</v>
      </c>
      <c r="AL2541">
        <v>79.852043406344293</v>
      </c>
      <c r="AM2541">
        <v>91.5045988135127</v>
      </c>
      <c r="AN2541">
        <v>1.0000000330360901</v>
      </c>
    </row>
    <row r="2542" spans="1:40" x14ac:dyDescent="0.3">
      <c r="A2542" t="str">
        <f>"20200111150855008"</f>
        <v>20200111150855008</v>
      </c>
      <c r="B2542" t="str">
        <f>"1578726534996445"</f>
        <v>1578726534996445</v>
      </c>
      <c r="C2542" t="s">
        <v>40</v>
      </c>
      <c r="D2542">
        <v>5.2141549999999999</v>
      </c>
      <c r="E2542">
        <v>0.49538179999999998</v>
      </c>
      <c r="F2542" t="s">
        <v>98</v>
      </c>
      <c r="G2542">
        <v>-279.68</v>
      </c>
      <c r="H2542">
        <v>0.29500169999999998</v>
      </c>
      <c r="I2542">
        <v>19.319040000000001</v>
      </c>
      <c r="J2542">
        <v>-381.99369999999999</v>
      </c>
      <c r="K2542">
        <v>1.1092089999999999</v>
      </c>
      <c r="L2542">
        <v>15.881500000000001</v>
      </c>
      <c r="M2542">
        <v>0.99988999999999995</v>
      </c>
      <c r="N2542">
        <v>0</v>
      </c>
      <c r="O2542">
        <v>-7.3477450000000001E-3</v>
      </c>
      <c r="P2542">
        <v>0.98626320000000001</v>
      </c>
      <c r="Q2542">
        <v>0.16402929999999999</v>
      </c>
      <c r="R2542">
        <v>1.9481660000000001E-2</v>
      </c>
      <c r="S2542">
        <v>3.0434269999999999</v>
      </c>
      <c r="T2542">
        <v>-2.4148699999999999E-2</v>
      </c>
      <c r="U2542">
        <v>0.10186770000000001</v>
      </c>
      <c r="V2542">
        <v>-2.6289280000000002E-2</v>
      </c>
      <c r="W2542">
        <v>0.17679339999999999</v>
      </c>
      <c r="X2542">
        <v>0.98389689999999996</v>
      </c>
      <c r="Y2542">
        <v>-4.0794469999999999E-2</v>
      </c>
      <c r="Z2542">
        <v>2.2008950000000001E-4</v>
      </c>
      <c r="AA2542">
        <v>0.99916760000000004</v>
      </c>
      <c r="AB2542">
        <v>34</v>
      </c>
      <c r="AC2542">
        <v>102.313699999999</v>
      </c>
      <c r="AD2542">
        <v>-0.81420729999999997</v>
      </c>
      <c r="AE2542">
        <v>3.4375399999999998</v>
      </c>
      <c r="AF2542">
        <v>-4.1890195830486103</v>
      </c>
      <c r="AG2542">
        <v>-0.81420729999999997</v>
      </c>
      <c r="AH2542">
        <v>102.279207381636</v>
      </c>
      <c r="AI2542">
        <v>90.455719028854602</v>
      </c>
      <c r="AJ2542">
        <v>92.345335674353393</v>
      </c>
      <c r="AK2542">
        <v>102.368193699069</v>
      </c>
      <c r="AL2542">
        <v>79.816960904179695</v>
      </c>
      <c r="AM2542">
        <v>91.530553136121597</v>
      </c>
      <c r="AN2542">
        <v>1.0000000711780399</v>
      </c>
    </row>
    <row r="2543" spans="1:40" x14ac:dyDescent="0.3">
      <c r="A2543" t="str">
        <f>"20200111150855020"</f>
        <v>20200111150855020</v>
      </c>
      <c r="B2543" t="str">
        <f>"1578726535015966"</f>
        <v>1578726535015966</v>
      </c>
      <c r="C2543" t="s">
        <v>40</v>
      </c>
      <c r="D2543">
        <v>5.1699710000000003</v>
      </c>
      <c r="E2543">
        <v>0.4953632</v>
      </c>
      <c r="F2543" t="s">
        <v>98</v>
      </c>
      <c r="G2543">
        <v>-279.68</v>
      </c>
      <c r="H2543">
        <v>0.3687956</v>
      </c>
      <c r="I2543">
        <v>19.30301</v>
      </c>
      <c r="J2543">
        <v>-381.79430000000002</v>
      </c>
      <c r="K2543">
        <v>1.1092219999999999</v>
      </c>
      <c r="L2543">
        <v>15.879490000000001</v>
      </c>
      <c r="M2543">
        <v>0.99988460000000001</v>
      </c>
      <c r="N2543">
        <v>0</v>
      </c>
      <c r="O2543">
        <v>-8.0523550000000006E-3</v>
      </c>
      <c r="P2543">
        <v>0.98626360000000002</v>
      </c>
      <c r="Q2543">
        <v>0.16406379999999901</v>
      </c>
      <c r="R2543">
        <v>1.9163960000000001E-2</v>
      </c>
      <c r="S2543">
        <v>3.0434269999999999</v>
      </c>
      <c r="T2543">
        <v>-2.2024269999999999E-2</v>
      </c>
      <c r="U2543">
        <v>0.10177609999999999</v>
      </c>
      <c r="V2543">
        <v>-2.6670570000000001E-2</v>
      </c>
      <c r="W2543">
        <v>0.17682149999999999</v>
      </c>
      <c r="X2543">
        <v>0.98388149999999996</v>
      </c>
      <c r="Y2543">
        <v>-4.1468749999999999E-2</v>
      </c>
      <c r="Z2543">
        <v>2.0826540000000001E-4</v>
      </c>
      <c r="AA2543">
        <v>0.99913980000000002</v>
      </c>
      <c r="AB2543">
        <v>34</v>
      </c>
      <c r="AC2543">
        <v>102.1143</v>
      </c>
      <c r="AD2543">
        <v>-0.74042640000000004</v>
      </c>
      <c r="AE2543">
        <v>3.4235199999999999</v>
      </c>
      <c r="AF2543">
        <v>-4.2455148535663199</v>
      </c>
      <c r="AG2543">
        <v>-0.74042640000000004</v>
      </c>
      <c r="AH2543">
        <v>102.07805827487999</v>
      </c>
      <c r="AI2543">
        <v>90.415230481672197</v>
      </c>
      <c r="AJ2543">
        <v>92.381608491187393</v>
      </c>
      <c r="AK2543">
        <v>102.16899044619799</v>
      </c>
      <c r="AL2543">
        <v>79.815324225618795</v>
      </c>
      <c r="AM2543">
        <v>91.552765215427797</v>
      </c>
      <c r="AN2543">
        <v>0.99999998410431201</v>
      </c>
    </row>
    <row r="2544" spans="1:40" x14ac:dyDescent="0.3">
      <c r="A2544" t="str">
        <f>"20200111150855033"</f>
        <v>20200111150855033</v>
      </c>
      <c r="B2544" t="str">
        <f>"1578726535025725"</f>
        <v>1578726535025725</v>
      </c>
      <c r="C2544" t="s">
        <v>40</v>
      </c>
      <c r="D2544">
        <v>5.188968</v>
      </c>
      <c r="E2544">
        <v>0.4953632</v>
      </c>
      <c r="F2544" t="s">
        <v>98</v>
      </c>
      <c r="G2544">
        <v>-279.68</v>
      </c>
      <c r="H2544">
        <v>0.1836805</v>
      </c>
      <c r="I2544">
        <v>19.26559</v>
      </c>
      <c r="J2544">
        <v>-381.5795</v>
      </c>
      <c r="K2544">
        <v>1.109254</v>
      </c>
      <c r="L2544">
        <v>15.87711</v>
      </c>
      <c r="M2544">
        <v>0.99987890000000001</v>
      </c>
      <c r="N2544">
        <v>0</v>
      </c>
      <c r="O2544">
        <v>-8.7408369999999996E-3</v>
      </c>
      <c r="P2544">
        <v>0.98619889999999999</v>
      </c>
      <c r="Q2544">
        <v>0.16446949999999999</v>
      </c>
      <c r="R2544">
        <v>1.9016000000000002E-2</v>
      </c>
      <c r="S2544">
        <v>3.044403</v>
      </c>
      <c r="T2544">
        <v>-2.759373E-2</v>
      </c>
      <c r="U2544">
        <v>0.1009521</v>
      </c>
      <c r="V2544">
        <v>-2.7214220000000001E-2</v>
      </c>
      <c r="W2544">
        <v>0.1772185</v>
      </c>
      <c r="X2544">
        <v>0.98379519999999998</v>
      </c>
      <c r="Y2544">
        <v>-4.1875120000000002E-2</v>
      </c>
      <c r="Z2544">
        <v>2.6892700000000002E-4</v>
      </c>
      <c r="AA2544">
        <v>0.99912279999999998</v>
      </c>
      <c r="AB2544">
        <v>34</v>
      </c>
      <c r="AC2544">
        <v>101.8995</v>
      </c>
      <c r="AD2544">
        <v>-0.92557350000000005</v>
      </c>
      <c r="AE2544">
        <v>3.3884799999999902</v>
      </c>
      <c r="AF2544">
        <v>-4.2787586648453999</v>
      </c>
      <c r="AG2544">
        <v>-0.92557350000000005</v>
      </c>
      <c r="AH2544">
        <v>101.85759156991899</v>
      </c>
      <c r="AI2544">
        <v>90.520170078198603</v>
      </c>
      <c r="AJ2544">
        <v>92.405424680333695</v>
      </c>
      <c r="AK2544">
        <v>101.951622951478</v>
      </c>
      <c r="AL2544">
        <v>79.792213003104905</v>
      </c>
      <c r="AM2544">
        <v>91.584539555804696</v>
      </c>
      <c r="AN2544">
        <v>1.0000000030277401</v>
      </c>
    </row>
    <row r="2545" spans="1:40" x14ac:dyDescent="0.3">
      <c r="A2545" t="str">
        <f>"20200111150855052"</f>
        <v>20200111150855052</v>
      </c>
      <c r="B2545" t="str">
        <f>"1578726535046222"</f>
        <v>1578726535046222</v>
      </c>
      <c r="C2545" t="s">
        <v>40</v>
      </c>
      <c r="D2545">
        <v>5.3118369999999997</v>
      </c>
      <c r="E2545">
        <v>0.50005509999999997</v>
      </c>
      <c r="F2545" t="s">
        <v>98</v>
      </c>
      <c r="G2545">
        <v>-279.68</v>
      </c>
      <c r="H2545">
        <v>0.22691320000000001</v>
      </c>
      <c r="I2545">
        <v>19.23358</v>
      </c>
      <c r="J2545">
        <v>-381.31259999999997</v>
      </c>
      <c r="K2545">
        <v>1.10931</v>
      </c>
      <c r="L2545">
        <v>15.87405</v>
      </c>
      <c r="M2545">
        <v>0.99987199999999998</v>
      </c>
      <c r="N2545">
        <v>0</v>
      </c>
      <c r="O2545">
        <v>-9.5123020000000003E-3</v>
      </c>
      <c r="P2545">
        <v>0.98610359999999997</v>
      </c>
      <c r="Q2545">
        <v>0.1649786</v>
      </c>
      <c r="R2545">
        <v>1.9548300000000001E-2</v>
      </c>
      <c r="S2545">
        <v>3.0444339999999999</v>
      </c>
      <c r="T2545">
        <v>-2.6361470000000001E-2</v>
      </c>
      <c r="U2545">
        <v>0.1002808</v>
      </c>
      <c r="V2545">
        <v>-2.8529309999999999E-2</v>
      </c>
      <c r="W2545">
        <v>0.17771779999999901</v>
      </c>
      <c r="X2545">
        <v>0.98366790000000004</v>
      </c>
      <c r="Y2545">
        <v>-4.2425690000000002E-2</v>
      </c>
      <c r="Z2545">
        <v>2.6597820000000001E-4</v>
      </c>
      <c r="AA2545">
        <v>0.99909959999999998</v>
      </c>
      <c r="AB2545">
        <v>34</v>
      </c>
      <c r="AC2545">
        <v>101.632599999999</v>
      </c>
      <c r="AD2545">
        <v>-0.88239679999999998</v>
      </c>
      <c r="AE2545">
        <v>3.3595299999999901</v>
      </c>
      <c r="AF2545">
        <v>-4.32589223909123</v>
      </c>
      <c r="AG2545">
        <v>-0.88239679999999998</v>
      </c>
      <c r="AH2545">
        <v>101.58839209556299</v>
      </c>
      <c r="AI2545">
        <v>90.497208080157506</v>
      </c>
      <c r="AJ2545">
        <v>92.438327015235004</v>
      </c>
      <c r="AK2545">
        <v>101.684282838296</v>
      </c>
      <c r="AL2545">
        <v>79.763144150360802</v>
      </c>
      <c r="AM2545">
        <v>91.661283200061305</v>
      </c>
      <c r="AN2545">
        <v>1.0000000377281599</v>
      </c>
    </row>
    <row r="2546" spans="1:40" x14ac:dyDescent="0.3">
      <c r="A2546" t="str">
        <f>"20200111150855064"</f>
        <v>20200111150855064</v>
      </c>
      <c r="B2546" t="str">
        <f>"1578726535055982"</f>
        <v>1578726535055982</v>
      </c>
      <c r="C2546" t="s">
        <v>40</v>
      </c>
      <c r="D2546">
        <v>5.0764050000000003</v>
      </c>
      <c r="E2546">
        <v>0.49604670000000001</v>
      </c>
      <c r="F2546" t="s">
        <v>49</v>
      </c>
      <c r="G2546">
        <v>0</v>
      </c>
      <c r="H2546">
        <v>0</v>
      </c>
      <c r="I2546">
        <v>0</v>
      </c>
      <c r="J2546">
        <v>-381.1096</v>
      </c>
      <c r="K2546">
        <v>1.1093660000000001</v>
      </c>
      <c r="L2546">
        <v>15.871639999999999</v>
      </c>
      <c r="M2546">
        <v>0.99986699999999995</v>
      </c>
      <c r="N2546">
        <v>0</v>
      </c>
      <c r="O2546">
        <v>-1.0028230000000001E-2</v>
      </c>
      <c r="P2546">
        <v>0.98610299999999995</v>
      </c>
      <c r="Q2546">
        <v>0.16497510000000001</v>
      </c>
      <c r="R2546">
        <v>1.9598319999999999E-2</v>
      </c>
      <c r="S2546">
        <v>2.8797609999999998</v>
      </c>
      <c r="T2546">
        <v>0.96529290000000001</v>
      </c>
      <c r="U2546">
        <v>5.3070069999999997E-2</v>
      </c>
      <c r="V2546">
        <v>-2.9111930000000001E-2</v>
      </c>
      <c r="W2546">
        <v>0.17770659999999999</v>
      </c>
      <c r="X2546">
        <v>0.98365279999999999</v>
      </c>
      <c r="Y2546">
        <v>-2.64573E-2</v>
      </c>
      <c r="Z2546">
        <v>-7.5879140000000003E-3</v>
      </c>
      <c r="AA2546">
        <v>0.99962119999999999</v>
      </c>
      <c r="AB2546">
        <v>34</v>
      </c>
      <c r="AC2546">
        <v>2.8797609999999998</v>
      </c>
      <c r="AD2546">
        <v>0.96529290000000001</v>
      </c>
      <c r="AE2546">
        <v>5.3070069999999997E-2</v>
      </c>
      <c r="AF2546">
        <v>-7.3673655785104805E-2</v>
      </c>
      <c r="AG2546">
        <v>0.96529290000000001</v>
      </c>
      <c r="AH2546">
        <v>2.5883589365149802</v>
      </c>
      <c r="AI2546">
        <v>69.555285303288102</v>
      </c>
      <c r="AJ2546">
        <v>91.630396029537295</v>
      </c>
      <c r="AK2546">
        <v>2.7634797221228302</v>
      </c>
      <c r="AL2546">
        <v>79.763795702880799</v>
      </c>
      <c r="AM2546">
        <v>91.695216011486096</v>
      </c>
      <c r="AN2546">
        <v>0.99999998554986202</v>
      </c>
    </row>
    <row r="2547" spans="1:40" x14ac:dyDescent="0.3">
      <c r="A2547" t="str">
        <f>"20200111150855076"</f>
        <v>20200111150855076</v>
      </c>
      <c r="B2547" t="str">
        <f>"1578726535065742"</f>
        <v>1578726535065742</v>
      </c>
      <c r="C2547" t="s">
        <v>40</v>
      </c>
      <c r="D2547">
        <v>5.0749240000000002</v>
      </c>
      <c r="E2547">
        <v>0.49602279999999999</v>
      </c>
      <c r="F2547" t="s">
        <v>99</v>
      </c>
      <c r="G2547">
        <v>-276.67840000000001</v>
      </c>
      <c r="H2547">
        <v>2.4418350000000002</v>
      </c>
      <c r="I2547">
        <v>19.155339999999999</v>
      </c>
      <c r="J2547">
        <v>-380.92250000000001</v>
      </c>
      <c r="K2547">
        <v>1.109432</v>
      </c>
      <c r="L2547">
        <v>15.869350000000001</v>
      </c>
      <c r="M2547">
        <v>0.99986269999999999</v>
      </c>
      <c r="N2547">
        <v>0</v>
      </c>
      <c r="O2547">
        <v>-1.0447049999999999E-2</v>
      </c>
      <c r="P2547">
        <v>0.98612299999999997</v>
      </c>
      <c r="Q2547">
        <v>0.16488829999999999</v>
      </c>
      <c r="R2547">
        <v>1.9316590000000002E-2</v>
      </c>
      <c r="S2547">
        <v>3.0339360000000002</v>
      </c>
      <c r="T2547">
        <v>3.8710950000000001E-2</v>
      </c>
      <c r="U2547">
        <v>9.5397949999999995E-2</v>
      </c>
      <c r="V2547">
        <v>-2.9270500000000001E-2</v>
      </c>
      <c r="W2547">
        <v>0.177611299999999</v>
      </c>
      <c r="X2547">
        <v>0.98366529999999996</v>
      </c>
      <c r="Y2547">
        <v>-4.1864890000000002E-2</v>
      </c>
      <c r="Z2547">
        <v>-4.0028049999999999E-4</v>
      </c>
      <c r="AA2547">
        <v>0.99912319999999999</v>
      </c>
      <c r="AB2547">
        <v>34</v>
      </c>
      <c r="AC2547">
        <v>104.2441</v>
      </c>
      <c r="AD2547">
        <v>1.33240299999999</v>
      </c>
      <c r="AE2547">
        <v>3.2859899999999902</v>
      </c>
      <c r="AF2547">
        <v>-4.3742301675488298</v>
      </c>
      <c r="AG2547">
        <v>1.33240299999999</v>
      </c>
      <c r="AH2547">
        <v>104.187074529678</v>
      </c>
      <c r="AI2547">
        <v>89.267954067201302</v>
      </c>
      <c r="AJ2547">
        <v>92.404116115192394</v>
      </c>
      <c r="AK2547">
        <v>104.28737069447</v>
      </c>
      <c r="AL2547">
        <v>79.769344191247598</v>
      </c>
      <c r="AM2547">
        <v>91.704422618424104</v>
      </c>
      <c r="AN2547">
        <v>0.99999997924101403</v>
      </c>
    </row>
    <row r="2548" spans="1:40" x14ac:dyDescent="0.3">
      <c r="A2548" t="str">
        <f>"20200111150855096"</f>
        <v>20200111150855096</v>
      </c>
      <c r="B2548" t="str">
        <f>"1578726535086241"</f>
        <v>1578726535086241</v>
      </c>
      <c r="C2548" t="s">
        <v>40</v>
      </c>
      <c r="D2548">
        <v>5.0768409999999999</v>
      </c>
      <c r="E2548">
        <v>0.49527840000000001</v>
      </c>
      <c r="F2548" t="s">
        <v>98</v>
      </c>
      <c r="G2548">
        <v>-279.68</v>
      </c>
      <c r="H2548">
        <v>0.3905151</v>
      </c>
      <c r="I2548">
        <v>19.056529999999999</v>
      </c>
      <c r="J2548">
        <v>-380.61880000000002</v>
      </c>
      <c r="K2548">
        <v>1.1095569999999999</v>
      </c>
      <c r="L2548">
        <v>15.86566</v>
      </c>
      <c r="M2548">
        <v>0.9998572</v>
      </c>
      <c r="N2548">
        <v>0</v>
      </c>
      <c r="O2548">
        <v>-1.0980500000000001E-2</v>
      </c>
      <c r="P2548">
        <v>0.98607889999999998</v>
      </c>
      <c r="Q2548">
        <v>0.1652825</v>
      </c>
      <c r="R2548">
        <v>1.8168320000000002E-2</v>
      </c>
      <c r="S2548">
        <v>3.0439449999999999</v>
      </c>
      <c r="T2548">
        <v>-2.1614789999999998E-2</v>
      </c>
      <c r="U2548">
        <v>9.5825199999999999E-2</v>
      </c>
      <c r="V2548">
        <v>-2.8697199999999999E-2</v>
      </c>
      <c r="W2548">
        <v>0.17798949999999999</v>
      </c>
      <c r="X2548">
        <v>0.98361379999999998</v>
      </c>
      <c r="Y2548">
        <v>-4.2437719999999998E-2</v>
      </c>
      <c r="Z2548">
        <v>2.2859399999999999E-4</v>
      </c>
      <c r="AA2548">
        <v>0.99909910000000002</v>
      </c>
      <c r="AB2548">
        <v>34</v>
      </c>
      <c r="AC2548">
        <v>100.9388</v>
      </c>
      <c r="AD2548">
        <v>-0.71904189999999901</v>
      </c>
      <c r="AE2548">
        <v>3.1908699999999901</v>
      </c>
      <c r="AF2548">
        <v>-4.2989096176880501</v>
      </c>
      <c r="AG2548">
        <v>-0.71904189999999901</v>
      </c>
      <c r="AH2548">
        <v>100.892558739545</v>
      </c>
      <c r="AI2548">
        <v>90.407958963580597</v>
      </c>
      <c r="AJ2548">
        <v>92.439827910905194</v>
      </c>
      <c r="AK2548">
        <v>100.986662753888</v>
      </c>
      <c r="AL2548">
        <v>79.747323762328705</v>
      </c>
      <c r="AM2548">
        <v>91.671145892286901</v>
      </c>
      <c r="AN2548">
        <v>0.99999994947426296</v>
      </c>
    </row>
    <row r="2549" spans="1:40" x14ac:dyDescent="0.3">
      <c r="A2549" t="str">
        <f>"20200111150855109"</f>
        <v>20200111150855109</v>
      </c>
      <c r="B2549" t="str">
        <f>"1578726535105757"</f>
        <v>1578726535105757</v>
      </c>
      <c r="C2549" t="s">
        <v>40</v>
      </c>
      <c r="D2549">
        <v>5.0529359999999999</v>
      </c>
      <c r="E2549">
        <v>0.49449070000000001</v>
      </c>
      <c r="F2549" t="s">
        <v>98</v>
      </c>
      <c r="G2549">
        <v>-279.68</v>
      </c>
      <c r="H2549">
        <v>0.307635099999999</v>
      </c>
      <c r="I2549">
        <v>19.170059999999999</v>
      </c>
      <c r="J2549">
        <v>-380.43349999999998</v>
      </c>
      <c r="K2549">
        <v>1.109639</v>
      </c>
      <c r="L2549">
        <v>15.86337</v>
      </c>
      <c r="M2549">
        <v>0.99985469999999999</v>
      </c>
      <c r="N2549">
        <v>0</v>
      </c>
      <c r="O2549">
        <v>-1.121524E-2</v>
      </c>
      <c r="P2549">
        <v>0.98603229999999997</v>
      </c>
      <c r="Q2549">
        <v>0.1656522</v>
      </c>
      <c r="R2549">
        <v>1.73139E-2</v>
      </c>
      <c r="S2549">
        <v>3.0446170000000001</v>
      </c>
      <c r="T2549">
        <v>-2.418828E-2</v>
      </c>
      <c r="U2549">
        <v>9.9670410000000001E-2</v>
      </c>
      <c r="V2549">
        <v>-2.8107650000000001E-2</v>
      </c>
      <c r="W2549">
        <v>0.17834900000000001</v>
      </c>
      <c r="X2549">
        <v>0.98356569999999999</v>
      </c>
      <c r="Y2549">
        <v>-4.3925440000000003E-2</v>
      </c>
      <c r="Z2549">
        <v>2.6352109999999999E-4</v>
      </c>
      <c r="AA2549">
        <v>0.9990348</v>
      </c>
      <c r="AB2549">
        <v>34</v>
      </c>
      <c r="AC2549">
        <v>100.75349999999899</v>
      </c>
      <c r="AD2549">
        <v>-0.80200389999999999</v>
      </c>
      <c r="AE2549">
        <v>3.3066899999999899</v>
      </c>
      <c r="AF2549">
        <v>-4.4362690111253196</v>
      </c>
      <c r="AG2549">
        <v>-0.80200389999999999</v>
      </c>
      <c r="AH2549">
        <v>100.70369993143299</v>
      </c>
      <c r="AI2549">
        <v>90.455851644170394</v>
      </c>
      <c r="AJ2549">
        <v>92.522402442866095</v>
      </c>
      <c r="AK2549">
        <v>100.804557798122</v>
      </c>
      <c r="AL2549">
        <v>79.726390965169998</v>
      </c>
      <c r="AM2549">
        <v>91.636913054255601</v>
      </c>
      <c r="AN2549">
        <v>0.99999994600300401</v>
      </c>
    </row>
    <row r="2550" spans="1:40" x14ac:dyDescent="0.3">
      <c r="A2550" t="str">
        <f>"20200111150855123"</f>
        <v>20200111150855123</v>
      </c>
      <c r="B2550" t="str">
        <f>"1578726535116494"</f>
        <v>1578726535116494</v>
      </c>
      <c r="C2550" t="s">
        <v>40</v>
      </c>
      <c r="D2550">
        <v>5.0749029999999999</v>
      </c>
      <c r="E2550">
        <v>0.49428610000000001</v>
      </c>
      <c r="F2550" t="s">
        <v>98</v>
      </c>
      <c r="G2550">
        <v>-279.68</v>
      </c>
      <c r="H2550">
        <v>-3.8575409999999997E-2</v>
      </c>
      <c r="I2550">
        <v>19.289809999999999</v>
      </c>
      <c r="J2550">
        <v>-380.21980000000002</v>
      </c>
      <c r="K2550">
        <v>1.1097349999999999</v>
      </c>
      <c r="L2550">
        <v>15.860720000000001</v>
      </c>
      <c r="M2550">
        <v>0.99985199999999996</v>
      </c>
      <c r="N2550">
        <v>0</v>
      </c>
      <c r="O2550">
        <v>-1.143604E-2</v>
      </c>
      <c r="P2550">
        <v>0.98601439999999996</v>
      </c>
      <c r="Q2550">
        <v>0.165822</v>
      </c>
      <c r="R2550">
        <v>1.6686380000000001E-2</v>
      </c>
      <c r="S2550">
        <v>3.0465390000000001</v>
      </c>
      <c r="T2550">
        <v>-3.4719109999999997E-2</v>
      </c>
      <c r="U2550">
        <v>0.103607199999999</v>
      </c>
      <c r="V2550">
        <v>-2.7737270000000001E-2</v>
      </c>
      <c r="W2550">
        <v>0.178508</v>
      </c>
      <c r="X2550">
        <v>0.98354739999999996</v>
      </c>
      <c r="Y2550">
        <v>-4.5412979999999999E-2</v>
      </c>
      <c r="Z2550">
        <v>3.8898649999999997E-4</v>
      </c>
      <c r="AA2550">
        <v>0.99896819999999997</v>
      </c>
      <c r="AB2550">
        <v>34</v>
      </c>
      <c r="AC2550">
        <v>100.5398</v>
      </c>
      <c r="AD2550">
        <v>-1.1483104099999999</v>
      </c>
      <c r="AE2550">
        <v>3.4290899999999902</v>
      </c>
      <c r="AF2550">
        <v>-4.5781413546491097</v>
      </c>
      <c r="AG2550">
        <v>-1.1483104099999999</v>
      </c>
      <c r="AH2550">
        <v>100.48091334059001</v>
      </c>
      <c r="AI2550">
        <v>90.654077455374406</v>
      </c>
      <c r="AJ2550">
        <v>92.608723230494306</v>
      </c>
      <c r="AK2550">
        <v>100.591709105771</v>
      </c>
      <c r="AL2550">
        <v>79.7171326645459</v>
      </c>
      <c r="AM2550">
        <v>91.615384674888006</v>
      </c>
      <c r="AN2550">
        <v>0.99999997512890604</v>
      </c>
    </row>
    <row r="2551" spans="1:40" x14ac:dyDescent="0.3">
      <c r="A2551" t="str">
        <f>"20200111150855140"</f>
        <v>20200111150855140</v>
      </c>
      <c r="B2551" t="str">
        <f>"1578726535136014"</f>
        <v>1578726535136014</v>
      </c>
      <c r="C2551" t="s">
        <v>40</v>
      </c>
      <c r="D2551">
        <v>5.0473790000000003</v>
      </c>
      <c r="E2551">
        <v>0.4944363</v>
      </c>
      <c r="F2551" t="s">
        <v>98</v>
      </c>
      <c r="G2551">
        <v>-279.68</v>
      </c>
      <c r="H2551">
        <v>7.6695920000000001E-2</v>
      </c>
      <c r="I2551">
        <v>19.262239999999998</v>
      </c>
      <c r="J2551">
        <v>-379.94940000000003</v>
      </c>
      <c r="K2551">
        <v>1.109853</v>
      </c>
      <c r="L2551">
        <v>15.85745</v>
      </c>
      <c r="M2551">
        <v>0.99985020000000002</v>
      </c>
      <c r="N2551">
        <v>0</v>
      </c>
      <c r="O2551">
        <v>-1.1609009999999999E-2</v>
      </c>
      <c r="P2551">
        <v>0.98594059999999994</v>
      </c>
      <c r="Q2551">
        <v>0.16632759999999999</v>
      </c>
      <c r="R2551">
        <v>1.6016220000000001E-2</v>
      </c>
      <c r="S2551">
        <v>3.0461119999999999</v>
      </c>
      <c r="T2551">
        <v>-3.1298520000000003E-2</v>
      </c>
      <c r="U2551">
        <v>0.10305789999999999</v>
      </c>
      <c r="V2551">
        <v>-2.7287369999999998E-2</v>
      </c>
      <c r="W2551">
        <v>0.1790001</v>
      </c>
      <c r="X2551">
        <v>0.98347059999999997</v>
      </c>
      <c r="Y2551">
        <v>-4.541129E-2</v>
      </c>
      <c r="Z2551">
        <v>3.5248350000000001E-4</v>
      </c>
      <c r="AA2551">
        <v>0.99896830000000003</v>
      </c>
      <c r="AB2551">
        <v>34</v>
      </c>
      <c r="AC2551">
        <v>100.2694</v>
      </c>
      <c r="AD2551">
        <v>-1.0331570800000001</v>
      </c>
      <c r="AE2551">
        <v>3.40478999999999</v>
      </c>
      <c r="AF2551">
        <v>-4.5682004835621202</v>
      </c>
      <c r="AG2551">
        <v>-1.0331570800000001</v>
      </c>
      <c r="AH2551">
        <v>100.212485390194</v>
      </c>
      <c r="AI2551">
        <v>90.590066604637002</v>
      </c>
      <c r="AJ2551">
        <v>92.610029421970495</v>
      </c>
      <c r="AK2551">
        <v>100.321872476991</v>
      </c>
      <c r="AL2551">
        <v>79.688476416424606</v>
      </c>
      <c r="AM2551">
        <v>91.589320634196696</v>
      </c>
      <c r="AN2551">
        <v>1.00000002871294</v>
      </c>
    </row>
    <row r="2552" spans="1:40" x14ac:dyDescent="0.3">
      <c r="A2552" t="str">
        <f>"20200111150855153"</f>
        <v>20200111150855153</v>
      </c>
      <c r="B2552" t="str">
        <f>"1578726535145774"</f>
        <v>1578726535145774</v>
      </c>
      <c r="C2552" t="s">
        <v>40</v>
      </c>
      <c r="D2552">
        <v>5.0636320000000001</v>
      </c>
      <c r="E2552">
        <v>0.4945871</v>
      </c>
      <c r="F2552" t="s">
        <v>44</v>
      </c>
      <c r="G2552">
        <v>-316.27289999999999</v>
      </c>
      <c r="H2552">
        <v>-0.05</v>
      </c>
      <c r="I2552">
        <v>17.937349999999999</v>
      </c>
      <c r="J2552">
        <v>-379.75009999999997</v>
      </c>
      <c r="K2552">
        <v>1.109934</v>
      </c>
      <c r="L2552">
        <v>15.855040000000001</v>
      </c>
      <c r="M2552">
        <v>0.99984980000000001</v>
      </c>
      <c r="N2552">
        <v>0</v>
      </c>
      <c r="O2552">
        <v>-1.165388E-2</v>
      </c>
      <c r="P2552">
        <v>0.9859038</v>
      </c>
      <c r="Q2552">
        <v>0.1665999</v>
      </c>
      <c r="R2552">
        <v>1.544325E-2</v>
      </c>
      <c r="S2552">
        <v>3.0505070000000001</v>
      </c>
      <c r="T2552">
        <v>-5.5564280000000001E-2</v>
      </c>
      <c r="U2552">
        <v>9.9639889999999995E-2</v>
      </c>
      <c r="V2552">
        <v>-2.6793649999999999E-2</v>
      </c>
      <c r="W2552">
        <v>0.17926329999999999</v>
      </c>
      <c r="X2552">
        <v>0.98343619999999998</v>
      </c>
      <c r="Y2552">
        <v>-4.4283129999999997E-2</v>
      </c>
      <c r="Z2552">
        <v>6.1538529999999997E-4</v>
      </c>
      <c r="AA2552">
        <v>0.99901879999999998</v>
      </c>
      <c r="AB2552">
        <v>34</v>
      </c>
      <c r="AC2552">
        <v>63.477199999999897</v>
      </c>
      <c r="AD2552">
        <v>-1.159934</v>
      </c>
      <c r="AE2552">
        <v>2.0823100000000001</v>
      </c>
      <c r="AF2552">
        <v>-2.82104415168005</v>
      </c>
      <c r="AG2552">
        <v>-1.159934</v>
      </c>
      <c r="AH2552">
        <v>63.427463268160402</v>
      </c>
      <c r="AI2552">
        <v>91.046649150819206</v>
      </c>
      <c r="AJ2552">
        <v>92.546648747353899</v>
      </c>
      <c r="AK2552">
        <v>63.500762464902202</v>
      </c>
      <c r="AL2552">
        <v>79.673147883312893</v>
      </c>
      <c r="AM2552">
        <v>91.560633408031094</v>
      </c>
      <c r="AN2552">
        <v>0.99999999493882596</v>
      </c>
    </row>
    <row r="2553" spans="1:40" x14ac:dyDescent="0.3">
      <c r="A2553" t="str">
        <f>"20200111150855166"</f>
        <v>20200111150855166</v>
      </c>
      <c r="B2553" t="str">
        <f>"1578726535156509"</f>
        <v>1578726535156509</v>
      </c>
      <c r="C2553" t="s">
        <v>40</v>
      </c>
      <c r="D2553">
        <v>4.9524419999999996</v>
      </c>
      <c r="E2553">
        <v>0.49504799999999899</v>
      </c>
      <c r="F2553" t="s">
        <v>44</v>
      </c>
      <c r="G2553">
        <v>-301.41370000000001</v>
      </c>
      <c r="H2553">
        <v>-0.05</v>
      </c>
      <c r="I2553">
        <v>18.335039999999999</v>
      </c>
      <c r="J2553">
        <v>-379.55410000000001</v>
      </c>
      <c r="K2553">
        <v>1.110009</v>
      </c>
      <c r="L2553">
        <v>15.85272</v>
      </c>
      <c r="M2553">
        <v>0.99984960000000001</v>
      </c>
      <c r="N2553">
        <v>0</v>
      </c>
      <c r="O2553">
        <v>-1.165594E-2</v>
      </c>
      <c r="P2553">
        <v>0.98589660000000001</v>
      </c>
      <c r="Q2553">
        <v>0.16667839999999901</v>
      </c>
      <c r="R2553">
        <v>1.5043030000000001E-2</v>
      </c>
      <c r="S2553">
        <v>3.049042</v>
      </c>
      <c r="T2553">
        <v>-4.5147420000000001E-2</v>
      </c>
      <c r="U2553">
        <v>9.6527100000000005E-2</v>
      </c>
      <c r="V2553">
        <v>-2.6428940000000001E-2</v>
      </c>
      <c r="W2553">
        <v>0.1793342</v>
      </c>
      <c r="X2553">
        <v>0.98343309999999995</v>
      </c>
      <c r="Y2553">
        <v>-4.3285219999999999E-2</v>
      </c>
      <c r="Z2553">
        <v>4.9292330000000003E-4</v>
      </c>
      <c r="AA2553">
        <v>0.99906269999999997</v>
      </c>
      <c r="AB2553">
        <v>34</v>
      </c>
      <c r="AC2553">
        <v>78.1404</v>
      </c>
      <c r="AD2553">
        <v>-1.1600090000000001</v>
      </c>
      <c r="AE2553">
        <v>2.4823199999999899</v>
      </c>
      <c r="AF2553">
        <v>-3.3922794318794098</v>
      </c>
      <c r="AG2553">
        <v>-1.1600090000000001</v>
      </c>
      <c r="AH2553">
        <v>78.088962803477401</v>
      </c>
      <c r="AI2553">
        <v>90.850262555576293</v>
      </c>
      <c r="AJ2553">
        <v>92.487434358507798</v>
      </c>
      <c r="AK2553">
        <v>78.171217800075993</v>
      </c>
      <c r="AL2553">
        <v>79.669018261441295</v>
      </c>
      <c r="AM2553">
        <v>91.539405509169896</v>
      </c>
      <c r="AN2553">
        <v>0.99999995316738499</v>
      </c>
    </row>
    <row r="2554" spans="1:40" x14ac:dyDescent="0.3">
      <c r="A2554" t="str">
        <f>"20200111150855178"</f>
        <v>20200111150855178</v>
      </c>
      <c r="B2554" t="str">
        <f>"1578726535176030"</f>
        <v>1578726535176030</v>
      </c>
      <c r="C2554" t="s">
        <v>40</v>
      </c>
      <c r="D2554">
        <v>4.9590579999999997</v>
      </c>
      <c r="E2554">
        <v>0.4952027</v>
      </c>
      <c r="F2554" t="s">
        <v>44</v>
      </c>
      <c r="G2554">
        <v>-315.76549999999997</v>
      </c>
      <c r="H2554">
        <v>-0.05</v>
      </c>
      <c r="I2554">
        <v>17.772659999999998</v>
      </c>
      <c r="J2554">
        <v>-379.3621</v>
      </c>
      <c r="K2554">
        <v>1.1100829999999999</v>
      </c>
      <c r="L2554">
        <v>15.85046</v>
      </c>
      <c r="M2554">
        <v>0.99985020000000002</v>
      </c>
      <c r="N2554">
        <v>0</v>
      </c>
      <c r="O2554">
        <v>-1.162185E-2</v>
      </c>
      <c r="P2554">
        <v>0.98589660000000001</v>
      </c>
      <c r="Q2554">
        <v>0.16670679999999999</v>
      </c>
      <c r="R2554">
        <v>1.472264E-2</v>
      </c>
      <c r="S2554">
        <v>3.0509029999999999</v>
      </c>
      <c r="T2554">
        <v>-5.5481309999999999E-2</v>
      </c>
      <c r="U2554">
        <v>9.1827389999999995E-2</v>
      </c>
      <c r="V2554">
        <v>-2.61062E-2</v>
      </c>
      <c r="W2554">
        <v>0.1793553</v>
      </c>
      <c r="X2554">
        <v>0.98343789999999998</v>
      </c>
      <c r="Y2554">
        <v>-4.1691520000000003E-2</v>
      </c>
      <c r="Z2554">
        <v>5.9027099999999996E-4</v>
      </c>
      <c r="AA2554">
        <v>0.99913039999999997</v>
      </c>
      <c r="AB2554">
        <v>34</v>
      </c>
      <c r="AC2554">
        <v>63.596600000000002</v>
      </c>
      <c r="AD2554">
        <v>-1.160083</v>
      </c>
      <c r="AE2554">
        <v>1.9221999999999999</v>
      </c>
      <c r="AF2554">
        <v>-2.6603566997788701</v>
      </c>
      <c r="AG2554">
        <v>-1.160083</v>
      </c>
      <c r="AH2554">
        <v>63.548836677698802</v>
      </c>
      <c r="AI2554">
        <v>91.044902375133006</v>
      </c>
      <c r="AJ2554">
        <v>92.397184089367897</v>
      </c>
      <c r="AK2554">
        <v>63.615076306059599</v>
      </c>
      <c r="AL2554">
        <v>79.667789678719402</v>
      </c>
      <c r="AM2554">
        <v>91.520608346292903</v>
      </c>
      <c r="AN2554">
        <v>0.99999998023646897</v>
      </c>
    </row>
    <row r="2555" spans="1:40" x14ac:dyDescent="0.3">
      <c r="A2555" t="str">
        <f>"20200111150855197"</f>
        <v>20200111150855197</v>
      </c>
      <c r="B2555" t="str">
        <f>"1578726535186767"</f>
        <v>1578726535186767</v>
      </c>
      <c r="C2555" t="s">
        <v>40</v>
      </c>
      <c r="D2555">
        <v>5.0126379999999999</v>
      </c>
      <c r="E2555">
        <v>0.49537019999999998</v>
      </c>
      <c r="F2555" t="s">
        <v>43</v>
      </c>
      <c r="G2555">
        <v>-320.69220000000001</v>
      </c>
      <c r="H2555" s="1">
        <v>-4.7427350000000003E-6</v>
      </c>
      <c r="I2555">
        <v>17.573250000000002</v>
      </c>
      <c r="J2555">
        <v>-379.07639999999998</v>
      </c>
      <c r="K2555">
        <v>1.110195</v>
      </c>
      <c r="L2555">
        <v>15.84726</v>
      </c>
      <c r="M2555">
        <v>0.99985210000000002</v>
      </c>
      <c r="N2555">
        <v>0</v>
      </c>
      <c r="O2555">
        <v>-1.145695E-2</v>
      </c>
      <c r="P2555">
        <v>0.98576920000000001</v>
      </c>
      <c r="Q2555">
        <v>0.16747100000000001</v>
      </c>
      <c r="R2555">
        <v>1.458775E-2</v>
      </c>
      <c r="S2555">
        <v>3.0513309999999998</v>
      </c>
      <c r="T2555">
        <v>-5.7734010000000002E-2</v>
      </c>
      <c r="U2555">
        <v>8.9599609999999996E-2</v>
      </c>
      <c r="V2555">
        <v>-2.5853589999999999E-2</v>
      </c>
      <c r="W2555">
        <v>0.18010770000000001</v>
      </c>
      <c r="X2555">
        <v>0.98330709999999999</v>
      </c>
      <c r="Y2555">
        <v>-4.079315E-2</v>
      </c>
      <c r="Z2555">
        <v>6.0253809999999896E-4</v>
      </c>
      <c r="AA2555">
        <v>0.99916740000000004</v>
      </c>
      <c r="AB2555">
        <v>34</v>
      </c>
      <c r="AC2555">
        <v>58.3841999999999</v>
      </c>
      <c r="AD2555">
        <v>-1.1101997427349899</v>
      </c>
      <c r="AE2555">
        <v>1.7259899999999999</v>
      </c>
      <c r="AF2555">
        <v>-2.3939717185996998</v>
      </c>
      <c r="AG2555">
        <v>-1.1101997427349899</v>
      </c>
      <c r="AH2555">
        <v>58.339514900226597</v>
      </c>
      <c r="AI2555">
        <v>91.089289378477801</v>
      </c>
      <c r="AJ2555">
        <v>92.3498235106252</v>
      </c>
      <c r="AK2555">
        <v>58.399166456825199</v>
      </c>
      <c r="AL2555">
        <v>79.6239671473746</v>
      </c>
      <c r="AM2555">
        <v>91.506101598388398</v>
      </c>
      <c r="AN2555">
        <v>1.0000000223127901</v>
      </c>
    </row>
    <row r="2556" spans="1:40" x14ac:dyDescent="0.3">
      <c r="A2556" t="str">
        <f>"20200111150855211"</f>
        <v>20200111150855211</v>
      </c>
      <c r="B2556" t="str">
        <f>"1578726535206286"</f>
        <v>1578726535206286</v>
      </c>
      <c r="C2556" t="s">
        <v>40</v>
      </c>
      <c r="D2556">
        <v>5.1377290000000002</v>
      </c>
      <c r="E2556">
        <v>0.49382130000000002</v>
      </c>
      <c r="F2556" t="s">
        <v>44</v>
      </c>
      <c r="G2556">
        <v>-314.15789999999998</v>
      </c>
      <c r="H2556">
        <v>-0.05</v>
      </c>
      <c r="I2556">
        <v>17.707409999999999</v>
      </c>
      <c r="J2556">
        <v>-378.87079999999997</v>
      </c>
      <c r="K2556">
        <v>1.1102730000000001</v>
      </c>
      <c r="L2556">
        <v>15.845000000000001</v>
      </c>
      <c r="M2556">
        <v>0.99985429999999997</v>
      </c>
      <c r="N2556">
        <v>0</v>
      </c>
      <c r="O2556">
        <v>-1.1270250000000001E-2</v>
      </c>
      <c r="P2556">
        <v>0.98566010000000004</v>
      </c>
      <c r="Q2556">
        <v>0.16811789999999999</v>
      </c>
      <c r="R2556">
        <v>1.451598E-2</v>
      </c>
      <c r="S2556">
        <v>3.0513309999999998</v>
      </c>
      <c r="T2556">
        <v>-5.4532049999999999E-2</v>
      </c>
      <c r="U2556">
        <v>8.7432860000000001E-2</v>
      </c>
      <c r="V2556">
        <v>-2.5630159999999999E-2</v>
      </c>
      <c r="W2556">
        <v>0.1807465</v>
      </c>
      <c r="X2556">
        <v>0.98319570000000001</v>
      </c>
      <c r="Y2556">
        <v>-3.9898820000000002E-2</v>
      </c>
      <c r="Z2556">
        <v>5.5780670000000001E-4</v>
      </c>
      <c r="AA2556">
        <v>0.99920359999999997</v>
      </c>
      <c r="AB2556">
        <v>34</v>
      </c>
      <c r="AC2556">
        <v>64.712899999999905</v>
      </c>
      <c r="AD2556">
        <v>-1.1602729999999899</v>
      </c>
      <c r="AE2556">
        <v>1.8624099999999899</v>
      </c>
      <c r="AF2556">
        <v>-2.5908500137647201</v>
      </c>
      <c r="AG2556">
        <v>-1.1602729999999899</v>
      </c>
      <c r="AH2556">
        <v>64.667026554813901</v>
      </c>
      <c r="AI2556">
        <v>91.027082021473902</v>
      </c>
      <c r="AJ2556">
        <v>92.294297874871503</v>
      </c>
      <c r="AK2556">
        <v>64.729306041926293</v>
      </c>
      <c r="AL2556">
        <v>79.586755601947601</v>
      </c>
      <c r="AM2556">
        <v>91.493260691747395</v>
      </c>
      <c r="AN2556">
        <v>0.99999999343118195</v>
      </c>
    </row>
    <row r="2557" spans="1:40" x14ac:dyDescent="0.3">
      <c r="A2557" t="str">
        <f>"20200111150855230"</f>
        <v>20200111150855230</v>
      </c>
      <c r="B2557" t="str">
        <f>"1578726535226784"</f>
        <v>1578726535226784</v>
      </c>
      <c r="C2557" t="s">
        <v>40</v>
      </c>
      <c r="D2557">
        <v>5.0105209999999998</v>
      </c>
      <c r="E2557">
        <v>0.49342710000000001</v>
      </c>
      <c r="F2557" t="s">
        <v>43</v>
      </c>
      <c r="G2557">
        <v>-322.3537</v>
      </c>
      <c r="H2557" s="1">
        <v>-3.9368589999999999E-6</v>
      </c>
      <c r="I2557">
        <v>17.688759999999998</v>
      </c>
      <c r="J2557">
        <v>-378.56709999999998</v>
      </c>
      <c r="K2557">
        <v>1.1103959999999999</v>
      </c>
      <c r="L2557">
        <v>15.8418299999999</v>
      </c>
      <c r="M2557">
        <v>0.99985809999999997</v>
      </c>
      <c r="N2557">
        <v>0</v>
      </c>
      <c r="O2557">
        <v>-1.092387E-2</v>
      </c>
      <c r="P2557">
        <v>0.98550599999999999</v>
      </c>
      <c r="Q2557">
        <v>0.16893429999999901</v>
      </c>
      <c r="R2557">
        <v>1.546376E-2</v>
      </c>
      <c r="S2557">
        <v>3.0523989999999999</v>
      </c>
      <c r="T2557">
        <v>-5.9964299999999998E-2</v>
      </c>
      <c r="U2557">
        <v>9.9578860000000005E-2</v>
      </c>
      <c r="V2557">
        <v>-2.6284430000000001E-2</v>
      </c>
      <c r="W2557">
        <v>0.18154880000000001</v>
      </c>
      <c r="X2557">
        <v>0.98303059999999998</v>
      </c>
      <c r="Y2557">
        <v>-4.3512330000000002E-2</v>
      </c>
      <c r="Z2557">
        <v>6.4178990000000001E-4</v>
      </c>
      <c r="AA2557">
        <v>0.99905270000000002</v>
      </c>
      <c r="AB2557">
        <v>34</v>
      </c>
      <c r="AC2557">
        <v>56.213399999999901</v>
      </c>
      <c r="AD2557">
        <v>-1.1103999368589901</v>
      </c>
      <c r="AE2557">
        <v>1.84693</v>
      </c>
      <c r="AF2557">
        <v>-2.45997932119315</v>
      </c>
      <c r="AG2557">
        <v>-1.1103999368589901</v>
      </c>
      <c r="AH2557">
        <v>56.167975365756</v>
      </c>
      <c r="AI2557">
        <v>91.131463912371601</v>
      </c>
      <c r="AJ2557">
        <v>92.507770950799895</v>
      </c>
      <c r="AK2557">
        <v>56.2327835249923</v>
      </c>
      <c r="AL2557">
        <v>79.540013959371905</v>
      </c>
      <c r="AM2557">
        <v>91.531618820843406</v>
      </c>
      <c r="AN2557">
        <v>0.99999999928911198</v>
      </c>
    </row>
    <row r="2558" spans="1:40" x14ac:dyDescent="0.3">
      <c r="A2558" t="str">
        <f>"20200111150855245"</f>
        <v>20200111150855245</v>
      </c>
      <c r="B2558" t="str">
        <f>"1578726535236542"</f>
        <v>1578726535236542</v>
      </c>
      <c r="C2558" t="s">
        <v>40</v>
      </c>
      <c r="D2558">
        <v>5.0529859999999998</v>
      </c>
      <c r="E2558">
        <v>0.49294710000000003</v>
      </c>
      <c r="F2558" t="s">
        <v>44</v>
      </c>
      <c r="G2558">
        <v>-302.86090000000002</v>
      </c>
      <c r="H2558">
        <v>-0.05</v>
      </c>
      <c r="I2558">
        <v>18.454820000000002</v>
      </c>
      <c r="J2558">
        <v>-378.35890000000001</v>
      </c>
      <c r="K2558">
        <v>1.1104700000000001</v>
      </c>
      <c r="L2558">
        <v>15.839779999999999</v>
      </c>
      <c r="M2558">
        <v>0.99986120000000001</v>
      </c>
      <c r="N2558">
        <v>0</v>
      </c>
      <c r="O2558">
        <v>-1.0640790000000001E-2</v>
      </c>
      <c r="P2558">
        <v>0.98545020000000005</v>
      </c>
      <c r="Q2558">
        <v>0.16920929999999901</v>
      </c>
      <c r="R2558">
        <v>1.5998620000000002E-2</v>
      </c>
      <c r="S2558">
        <v>3.050446</v>
      </c>
      <c r="T2558">
        <v>-4.6756029999999997E-2</v>
      </c>
      <c r="U2558">
        <v>0.10528559999999999</v>
      </c>
      <c r="V2558">
        <v>-2.6572800000000001E-2</v>
      </c>
      <c r="W2558">
        <v>0.1818128</v>
      </c>
      <c r="X2558">
        <v>0.98297409999999996</v>
      </c>
      <c r="Y2558">
        <v>-4.5121139999999997E-2</v>
      </c>
      <c r="Z2558">
        <v>5.0873469999999997E-4</v>
      </c>
      <c r="AA2558">
        <v>0.99898140000000002</v>
      </c>
      <c r="AB2558">
        <v>34</v>
      </c>
      <c r="AC2558">
        <v>75.497999999999905</v>
      </c>
      <c r="AD2558">
        <v>-1.1604699999999999</v>
      </c>
      <c r="AE2558">
        <v>2.61504</v>
      </c>
      <c r="AF2558">
        <v>-3.4175098490775802</v>
      </c>
      <c r="AG2558">
        <v>-1.1604699999999999</v>
      </c>
      <c r="AH2558">
        <v>75.448092331547798</v>
      </c>
      <c r="AI2558">
        <v>90.880296628522501</v>
      </c>
      <c r="AJ2558">
        <v>92.593506778494998</v>
      </c>
      <c r="AK2558">
        <v>75.534367678952606</v>
      </c>
      <c r="AL2558">
        <v>79.5246323582098</v>
      </c>
      <c r="AM2558">
        <v>91.548503237258799</v>
      </c>
      <c r="AN2558">
        <v>1.0000000446072399</v>
      </c>
    </row>
    <row r="2559" spans="1:40" x14ac:dyDescent="0.3">
      <c r="A2559" t="str">
        <f>"20200111150855258"</f>
        <v>20200111150855258</v>
      </c>
      <c r="B2559" t="str">
        <f>"1578726535246302"</f>
        <v>1578726535246302</v>
      </c>
      <c r="C2559" t="s">
        <v>40</v>
      </c>
      <c r="D2559">
        <v>5.0348059999999997</v>
      </c>
      <c r="E2559">
        <v>0.49213580000000001</v>
      </c>
      <c r="F2559" t="s">
        <v>44</v>
      </c>
      <c r="G2559">
        <v>-286.1087</v>
      </c>
      <c r="H2559">
        <v>-0.05</v>
      </c>
      <c r="I2559">
        <v>19.1859</v>
      </c>
      <c r="J2559">
        <v>-378.14370000000002</v>
      </c>
      <c r="K2559">
        <v>1.1105430000000001</v>
      </c>
      <c r="L2559">
        <v>15.83774</v>
      </c>
      <c r="M2559">
        <v>0.9998648</v>
      </c>
      <c r="N2559">
        <v>0</v>
      </c>
      <c r="O2559">
        <v>-1.0314230000000001E-2</v>
      </c>
      <c r="P2559">
        <v>0.98538009999999998</v>
      </c>
      <c r="Q2559">
        <v>0.16952890000000001</v>
      </c>
      <c r="R2559">
        <v>1.6906290000000001E-2</v>
      </c>
      <c r="S2559">
        <v>3.049042</v>
      </c>
      <c r="T2559">
        <v>-3.8355710000000001E-2</v>
      </c>
      <c r="U2559">
        <v>0.11059570000000001</v>
      </c>
      <c r="V2559">
        <v>-2.71904E-2</v>
      </c>
      <c r="W2559">
        <v>0.1821199</v>
      </c>
      <c r="X2559">
        <v>0.98290029999999995</v>
      </c>
      <c r="Y2559">
        <v>-4.6550330000000001E-2</v>
      </c>
      <c r="Z2559">
        <v>4.224004E-4</v>
      </c>
      <c r="AA2559">
        <v>0.99891589999999997</v>
      </c>
      <c r="AB2559">
        <v>34</v>
      </c>
      <c r="AC2559">
        <v>92.034999999999997</v>
      </c>
      <c r="AD2559">
        <v>-1.1605430000000001</v>
      </c>
      <c r="AE2559">
        <v>3.34816</v>
      </c>
      <c r="AF2559">
        <v>-4.2966475844664496</v>
      </c>
      <c r="AG2559">
        <v>-1.1605430000000001</v>
      </c>
      <c r="AH2559">
        <v>91.980960754422597</v>
      </c>
      <c r="AI2559">
        <v>90.722087163501598</v>
      </c>
      <c r="AJ2559">
        <v>92.674476829682305</v>
      </c>
      <c r="AK2559">
        <v>92.088572482293301</v>
      </c>
      <c r="AL2559">
        <v>79.506737472663403</v>
      </c>
      <c r="AM2559">
        <v>91.584594026871599</v>
      </c>
      <c r="AN2559">
        <v>0.99999998778412902</v>
      </c>
    </row>
    <row r="2560" spans="1:40" x14ac:dyDescent="0.3">
      <c r="A2560" t="str">
        <f>"20200111150855276"</f>
        <v>20200111150855276</v>
      </c>
      <c r="B2560" t="str">
        <f>"1578726535265821"</f>
        <v>1578726535265821</v>
      </c>
      <c r="C2560" t="s">
        <v>40</v>
      </c>
      <c r="D2560">
        <v>5.0058049999999996</v>
      </c>
      <c r="E2560">
        <v>0.49132969999999998</v>
      </c>
      <c r="F2560" t="s">
        <v>98</v>
      </c>
      <c r="G2560">
        <v>-279.68</v>
      </c>
      <c r="H2560">
        <v>0.15854190000000001</v>
      </c>
      <c r="I2560">
        <v>19.705839999999998</v>
      </c>
      <c r="J2560">
        <v>-377.87049999999999</v>
      </c>
      <c r="K2560">
        <v>1.1106229999999999</v>
      </c>
      <c r="L2560">
        <v>15.835330000000001</v>
      </c>
      <c r="M2560">
        <v>0.99986949999999997</v>
      </c>
      <c r="N2560">
        <v>0</v>
      </c>
      <c r="O2560">
        <v>-9.8473729999999995E-3</v>
      </c>
      <c r="P2560">
        <v>0.98543939999999997</v>
      </c>
      <c r="Q2560">
        <v>0.16903660000000001</v>
      </c>
      <c r="R2560">
        <v>1.8324130000000001E-2</v>
      </c>
      <c r="S2560">
        <v>3.0475159999999999</v>
      </c>
      <c r="T2560">
        <v>-2.9464959999999998E-2</v>
      </c>
      <c r="U2560">
        <v>0.11972049999999999</v>
      </c>
      <c r="V2560">
        <v>-2.8184339999999999E-2</v>
      </c>
      <c r="W2560">
        <v>0.1816122</v>
      </c>
      <c r="X2560">
        <v>0.98296620000000001</v>
      </c>
      <c r="Y2560">
        <v>-4.9090269999999998E-2</v>
      </c>
      <c r="Z2560">
        <v>3.3239979999999999E-4</v>
      </c>
      <c r="AA2560">
        <v>0.99879430000000002</v>
      </c>
      <c r="AB2560">
        <v>34</v>
      </c>
      <c r="AC2560">
        <v>98.1905</v>
      </c>
      <c r="AD2560">
        <v>-0.95208110000000001</v>
      </c>
      <c r="AE2560">
        <v>3.8705099999999999</v>
      </c>
      <c r="AF2560">
        <v>-4.8368660382466304</v>
      </c>
      <c r="AG2560">
        <v>-0.95208110000000001</v>
      </c>
      <c r="AH2560">
        <v>98.138408399752507</v>
      </c>
      <c r="AI2560">
        <v>90.555158682256902</v>
      </c>
      <c r="AJ2560">
        <v>92.821606187053305</v>
      </c>
      <c r="AK2560">
        <v>98.262143955490501</v>
      </c>
      <c r="AL2560">
        <v>79.536319469641896</v>
      </c>
      <c r="AM2560">
        <v>91.642377340472194</v>
      </c>
      <c r="AN2560">
        <v>0.99999994927625602</v>
      </c>
    </row>
    <row r="2561" spans="1:40" x14ac:dyDescent="0.3">
      <c r="A2561" t="str">
        <f>"20200111150855289"</f>
        <v>20200111150855289</v>
      </c>
      <c r="B2561" t="str">
        <f>"1578726535286318"</f>
        <v>1578726535286318</v>
      </c>
      <c r="C2561" t="s">
        <v>40</v>
      </c>
      <c r="D2561">
        <v>5.0006700000000004</v>
      </c>
      <c r="E2561">
        <v>0.4905506</v>
      </c>
      <c r="F2561" t="s">
        <v>96</v>
      </c>
      <c r="G2561">
        <v>-279.68</v>
      </c>
      <c r="H2561">
        <v>0.63506169999999995</v>
      </c>
      <c r="I2561">
        <v>20.038150000000002</v>
      </c>
      <c r="J2561">
        <v>-377.67660000000001</v>
      </c>
      <c r="K2561">
        <v>1.1106720000000001</v>
      </c>
      <c r="L2561">
        <v>15.833740000000001</v>
      </c>
      <c r="M2561">
        <v>0.99987320000000002</v>
      </c>
      <c r="N2561">
        <v>0</v>
      </c>
      <c r="O2561">
        <v>-9.4881540000000004E-3</v>
      </c>
      <c r="P2561">
        <v>0.98548530000000001</v>
      </c>
      <c r="Q2561">
        <v>0.1686685</v>
      </c>
      <c r="R2561">
        <v>1.9237049999999999E-2</v>
      </c>
      <c r="S2561">
        <v>3.0444339999999999</v>
      </c>
      <c r="T2561">
        <v>-1.474488E-2</v>
      </c>
      <c r="U2561">
        <v>0.13031010000000001</v>
      </c>
      <c r="V2561">
        <v>-2.876571E-2</v>
      </c>
      <c r="W2561">
        <v>0.18123420000000001</v>
      </c>
      <c r="X2561">
        <v>0.98301919999999998</v>
      </c>
      <c r="Y2561">
        <v>-5.2241170000000003E-2</v>
      </c>
      <c r="Z2561">
        <v>1.7238679999999999E-4</v>
      </c>
      <c r="AA2561">
        <v>0.99863449999999998</v>
      </c>
      <c r="AB2561">
        <v>34</v>
      </c>
      <c r="AC2561">
        <v>97.996600000000001</v>
      </c>
      <c r="AD2561">
        <v>-0.47561029999999899</v>
      </c>
      <c r="AE2561">
        <v>4.2044100000000002</v>
      </c>
      <c r="AF2561">
        <v>-5.1339828862648602</v>
      </c>
      <c r="AG2561">
        <v>-0.47561029999999899</v>
      </c>
      <c r="AH2561">
        <v>97.949989792605507</v>
      </c>
      <c r="AI2561">
        <v>90.277824372746906</v>
      </c>
      <c r="AJ2561">
        <v>93.000374182296895</v>
      </c>
      <c r="AK2561">
        <v>98.085597749136696</v>
      </c>
      <c r="AL2561">
        <v>79.558343543042</v>
      </c>
      <c r="AM2561">
        <v>91.676145878893394</v>
      </c>
      <c r="AN2561">
        <v>1.00000002444504</v>
      </c>
    </row>
    <row r="2562" spans="1:40" x14ac:dyDescent="0.3">
      <c r="A2562" t="str">
        <f>"20200111150855300"</f>
        <v>20200111150855300</v>
      </c>
      <c r="B2562" t="str">
        <f>"1578726535296078"</f>
        <v>1578726535296078</v>
      </c>
      <c r="C2562" t="s">
        <v>40</v>
      </c>
      <c r="D2562">
        <v>4.9624889999999997</v>
      </c>
      <c r="E2562">
        <v>0.49016399999999999</v>
      </c>
      <c r="F2562" t="s">
        <v>96</v>
      </c>
      <c r="G2562">
        <v>-279.68</v>
      </c>
      <c r="H2562">
        <v>0.97889789999999999</v>
      </c>
      <c r="I2562">
        <v>20.316459999999999</v>
      </c>
      <c r="J2562">
        <v>-377.49059999999997</v>
      </c>
      <c r="K2562">
        <v>1.110716</v>
      </c>
      <c r="L2562">
        <v>15.832280000000001</v>
      </c>
      <c r="M2562">
        <v>0.99987649999999995</v>
      </c>
      <c r="N2562">
        <v>0</v>
      </c>
      <c r="O2562">
        <v>-9.1312870000000001E-3</v>
      </c>
      <c r="P2562">
        <v>0.98555970000000004</v>
      </c>
      <c r="Q2562">
        <v>0.16818239999999901</v>
      </c>
      <c r="R2562">
        <v>1.9659159999999998E-2</v>
      </c>
      <c r="S2562">
        <v>3.0421749999999999</v>
      </c>
      <c r="T2562">
        <v>-4.0906670000000001E-3</v>
      </c>
      <c r="U2562">
        <v>0.13916020000000001</v>
      </c>
      <c r="V2562">
        <v>-2.88565E-2</v>
      </c>
      <c r="W2562">
        <v>0.1807404</v>
      </c>
      <c r="X2562">
        <v>0.98310739999999996</v>
      </c>
      <c r="Y2562">
        <v>-5.481639E-2</v>
      </c>
      <c r="Z2562" s="1">
        <v>4.91087E-5</v>
      </c>
      <c r="AA2562">
        <v>0.99849650000000001</v>
      </c>
      <c r="AB2562">
        <v>34</v>
      </c>
      <c r="AC2562">
        <v>97.810599999999894</v>
      </c>
      <c r="AD2562">
        <v>-0.13181809999999999</v>
      </c>
      <c r="AE2562">
        <v>4.4841800000000003</v>
      </c>
      <c r="AF2562">
        <v>-5.3771930029711204</v>
      </c>
      <c r="AG2562">
        <v>-0.13181809999999999</v>
      </c>
      <c r="AH2562">
        <v>97.765394624645694</v>
      </c>
      <c r="AI2562">
        <v>90.077135865626204</v>
      </c>
      <c r="AJ2562">
        <v>93.148152365523302</v>
      </c>
      <c r="AK2562">
        <v>97.913247146212996</v>
      </c>
      <c r="AL2562">
        <v>79.587110763292998</v>
      </c>
      <c r="AM2562">
        <v>91.681282314915094</v>
      </c>
      <c r="AN2562">
        <v>0.99999997485958403</v>
      </c>
    </row>
    <row r="2563" spans="1:40" x14ac:dyDescent="0.3">
      <c r="A2563" t="str">
        <f>"20200111150855318"</f>
        <v>20200111150855318</v>
      </c>
      <c r="B2563" t="str">
        <f>"1578726535316574"</f>
        <v>1578726535316574</v>
      </c>
      <c r="C2563" t="s">
        <v>40</v>
      </c>
      <c r="D2563">
        <v>4.983905</v>
      </c>
      <c r="E2563">
        <v>0.4898631</v>
      </c>
      <c r="F2563" t="s">
        <v>96</v>
      </c>
      <c r="G2563">
        <v>-279.68</v>
      </c>
      <c r="H2563">
        <v>1.0863400000000001</v>
      </c>
      <c r="I2563">
        <v>20.446269999999998</v>
      </c>
      <c r="J2563">
        <v>-377.20859999999999</v>
      </c>
      <c r="K2563">
        <v>1.1107720000000001</v>
      </c>
      <c r="L2563">
        <v>15.830260000000001</v>
      </c>
      <c r="M2563">
        <v>0.99988180000000004</v>
      </c>
      <c r="N2563">
        <v>0</v>
      </c>
      <c r="O2563">
        <v>-8.5537089999999996E-3</v>
      </c>
      <c r="P2563">
        <v>0.9855952</v>
      </c>
      <c r="Q2563">
        <v>0.1678896</v>
      </c>
      <c r="R2563">
        <v>2.0379899999999999E-2</v>
      </c>
      <c r="S2563">
        <v>3.041229</v>
      </c>
      <c r="T2563">
        <v>-7.5781350000000004E-4</v>
      </c>
      <c r="U2563">
        <v>0.14346310000000001</v>
      </c>
      <c r="V2563">
        <v>-2.9033010000000001E-2</v>
      </c>
      <c r="W2563">
        <v>0.18043409999999999</v>
      </c>
      <c r="X2563">
        <v>0.98315850000000005</v>
      </c>
      <c r="Y2563">
        <v>-5.5663520000000001E-2</v>
      </c>
      <c r="Z2563" s="1">
        <v>9.0617539999999994E-6</v>
      </c>
      <c r="AA2563">
        <v>0.99844960000000005</v>
      </c>
      <c r="AB2563">
        <v>34</v>
      </c>
      <c r="AC2563">
        <v>97.528599999999898</v>
      </c>
      <c r="AD2563">
        <v>-2.4431999999999999E-2</v>
      </c>
      <c r="AE2563">
        <v>4.6160100000000002</v>
      </c>
      <c r="AF2563">
        <v>-5.4501401142936503</v>
      </c>
      <c r="AG2563">
        <v>-2.4431999999999999E-2</v>
      </c>
      <c r="AH2563">
        <v>97.485538133456103</v>
      </c>
      <c r="AI2563">
        <v>90.014337181735797</v>
      </c>
      <c r="AJ2563">
        <v>93.199913506827599</v>
      </c>
      <c r="AK2563">
        <v>97.637773271196494</v>
      </c>
      <c r="AL2563">
        <v>79.604954168892704</v>
      </c>
      <c r="AM2563">
        <v>91.691472590160799</v>
      </c>
      <c r="AN2563">
        <v>1.0000000081173599</v>
      </c>
    </row>
    <row r="2564" spans="1:40" x14ac:dyDescent="0.3">
      <c r="A2564" t="str">
        <f>"20200111150855331"</f>
        <v>20200111150855331</v>
      </c>
      <c r="B2564" t="str">
        <f>"1578726535326334"</f>
        <v>1578726535326334</v>
      </c>
      <c r="C2564" t="s">
        <v>40</v>
      </c>
      <c r="D2564">
        <v>4.9701490000000002</v>
      </c>
      <c r="E2564">
        <v>0.4898708</v>
      </c>
      <c r="F2564" t="s">
        <v>96</v>
      </c>
      <c r="G2564">
        <v>-279.68</v>
      </c>
      <c r="H2564">
        <v>1.3100909999999999</v>
      </c>
      <c r="I2564">
        <v>20.565449999999998</v>
      </c>
      <c r="J2564">
        <v>-377.03280000000001</v>
      </c>
      <c r="K2564">
        <v>1.110803</v>
      </c>
      <c r="L2564">
        <v>15.8291</v>
      </c>
      <c r="M2564">
        <v>0.99988509999999997</v>
      </c>
      <c r="N2564">
        <v>0</v>
      </c>
      <c r="O2564">
        <v>-8.1743159999999992E-3</v>
      </c>
      <c r="P2564">
        <v>0.98558330000000005</v>
      </c>
      <c r="Q2564">
        <v>0.16794829999999999</v>
      </c>
      <c r="R2564">
        <v>2.046831E-2</v>
      </c>
      <c r="S2564">
        <v>3.0397029999999998</v>
      </c>
      <c r="T2564">
        <v>6.2123539999999998E-3</v>
      </c>
      <c r="U2564">
        <v>0.14758299999999999</v>
      </c>
      <c r="V2564">
        <v>-2.8760359999999999E-2</v>
      </c>
      <c r="W2564">
        <v>0.18048620000000001</v>
      </c>
      <c r="X2564">
        <v>0.9831569</v>
      </c>
      <c r="Y2564">
        <v>-5.6658260000000002E-2</v>
      </c>
      <c r="Z2564" s="1">
        <v>-7.4561500000000001E-5</v>
      </c>
      <c r="AA2564">
        <v>0.99839370000000005</v>
      </c>
      <c r="AB2564">
        <v>34</v>
      </c>
      <c r="AC2564">
        <v>97.352800000000002</v>
      </c>
      <c r="AD2564">
        <v>0.19928799999999899</v>
      </c>
      <c r="AE2564">
        <v>4.7363499999999901</v>
      </c>
      <c r="AF2564">
        <v>-5.53202600695636</v>
      </c>
      <c r="AG2564">
        <v>0.19928799999999899</v>
      </c>
      <c r="AH2564">
        <v>97.310420492900306</v>
      </c>
      <c r="AI2564">
        <v>89.8828497625056</v>
      </c>
      <c r="AJ2564">
        <v>93.253720874885502</v>
      </c>
      <c r="AK2564">
        <v>97.467743197191396</v>
      </c>
      <c r="AL2564">
        <v>79.6019187089517</v>
      </c>
      <c r="AM2564">
        <v>91.675599736220803</v>
      </c>
      <c r="AN2564">
        <v>0.99999995835768896</v>
      </c>
    </row>
    <row r="2565" spans="1:40" x14ac:dyDescent="0.3">
      <c r="A2565" t="str">
        <f>"20200111150855344"</f>
        <v>20200111150855344</v>
      </c>
      <c r="B2565" t="str">
        <f>"1578726535336094"</f>
        <v>1578726535336094</v>
      </c>
      <c r="C2565" t="s">
        <v>40</v>
      </c>
      <c r="D2565">
        <v>4.9566809999999997</v>
      </c>
      <c r="E2565">
        <v>0.48987609999999898</v>
      </c>
      <c r="F2565" t="s">
        <v>69</v>
      </c>
      <c r="G2565">
        <v>-273.40989999999999</v>
      </c>
      <c r="H2565">
        <v>1.4210560000000001</v>
      </c>
      <c r="I2565">
        <v>20.869209999999999</v>
      </c>
      <c r="J2565">
        <v>-376.81889999999999</v>
      </c>
      <c r="K2565">
        <v>1.1108370000000001</v>
      </c>
      <c r="L2565">
        <v>15.82779</v>
      </c>
      <c r="M2565">
        <v>0.99988880000000002</v>
      </c>
      <c r="N2565">
        <v>0</v>
      </c>
      <c r="O2565">
        <v>-7.7039109999999999E-3</v>
      </c>
      <c r="P2565">
        <v>0.98557839999999997</v>
      </c>
      <c r="Q2565">
        <v>0.16793629999999901</v>
      </c>
      <c r="R2565">
        <v>2.0800490000000001E-2</v>
      </c>
      <c r="S2565">
        <v>3.0392760000000001</v>
      </c>
      <c r="T2565">
        <v>9.0998409999999991E-3</v>
      </c>
      <c r="U2565">
        <v>0.14782709999999999</v>
      </c>
      <c r="V2565">
        <v>-2.8643729999999999E-2</v>
      </c>
      <c r="W2565">
        <v>0.18046599999999999</v>
      </c>
      <c r="X2565">
        <v>0.98316409999999999</v>
      </c>
      <c r="Y2565">
        <v>-5.6275220000000001E-2</v>
      </c>
      <c r="Z2565">
        <v>-1.0725159999999999E-4</v>
      </c>
      <c r="AA2565">
        <v>0.99841530000000001</v>
      </c>
      <c r="AB2565">
        <v>34</v>
      </c>
      <c r="AC2565">
        <v>103.40900000000001</v>
      </c>
      <c r="AD2565">
        <v>0.31021899999999902</v>
      </c>
      <c r="AE2565">
        <v>5.0414199999999898</v>
      </c>
      <c r="AF2565">
        <v>-5.83793663719963</v>
      </c>
      <c r="AG2565">
        <v>0.31021899999999902</v>
      </c>
      <c r="AH2565">
        <v>103.36616092016</v>
      </c>
      <c r="AI2565">
        <v>89.828319967024598</v>
      </c>
      <c r="AJ2565">
        <v>93.232529452457001</v>
      </c>
      <c r="AK2565">
        <v>103.531352562305</v>
      </c>
      <c r="AL2565">
        <v>79.603096305924097</v>
      </c>
      <c r="AM2565">
        <v>91.668796422431498</v>
      </c>
      <c r="AN2565">
        <v>1.0000000439765599</v>
      </c>
    </row>
    <row r="2566" spans="1:40" x14ac:dyDescent="0.3">
      <c r="A2566" t="str">
        <f>"20200111150855356"</f>
        <v>20200111150855356</v>
      </c>
      <c r="B2566" t="str">
        <f>"1578726535345853"</f>
        <v>1578726535345853</v>
      </c>
      <c r="C2566" t="s">
        <v>40</v>
      </c>
      <c r="D2566">
        <v>4.999098</v>
      </c>
      <c r="E2566">
        <v>0.48990790000000001</v>
      </c>
      <c r="F2566" t="s">
        <v>69</v>
      </c>
      <c r="G2566">
        <v>-273.40989999999999</v>
      </c>
      <c r="H2566">
        <v>1.5182</v>
      </c>
      <c r="I2566">
        <v>20.891629999999999</v>
      </c>
      <c r="J2566">
        <v>-376.63569999999999</v>
      </c>
      <c r="K2566">
        <v>1.1108659999999999</v>
      </c>
      <c r="L2566">
        <v>15.826750000000001</v>
      </c>
      <c r="M2566">
        <v>0.99989209999999995</v>
      </c>
      <c r="N2566">
        <v>0</v>
      </c>
      <c r="O2566">
        <v>-7.2898869999999897E-3</v>
      </c>
      <c r="P2566">
        <v>0.98559030000000003</v>
      </c>
      <c r="Q2566">
        <v>0.16783879999999901</v>
      </c>
      <c r="R2566">
        <v>2.1021990000000001E-2</v>
      </c>
      <c r="S2566">
        <v>3.0387270000000002</v>
      </c>
      <c r="T2566">
        <v>1.1970639999999999E-2</v>
      </c>
      <c r="U2566">
        <v>0.14880370000000001</v>
      </c>
      <c r="V2566">
        <v>-2.8468480000000001E-2</v>
      </c>
      <c r="W2566">
        <v>0.18036189999999999</v>
      </c>
      <c r="X2566">
        <v>0.98318830000000002</v>
      </c>
      <c r="Y2566">
        <v>-5.6190450000000003E-2</v>
      </c>
      <c r="Z2566">
        <v>-1.3931410000000001E-4</v>
      </c>
      <c r="AA2566">
        <v>0.99842010000000003</v>
      </c>
      <c r="AB2566">
        <v>34</v>
      </c>
      <c r="AC2566">
        <v>103.22580000000001</v>
      </c>
      <c r="AD2566">
        <v>0.40733399999999997</v>
      </c>
      <c r="AE2566">
        <v>5.0648799999999898</v>
      </c>
      <c r="AF2566">
        <v>-5.8172206529526997</v>
      </c>
      <c r="AG2566">
        <v>0.40733399999999997</v>
      </c>
      <c r="AH2566">
        <v>103.18452841723</v>
      </c>
      <c r="AI2566">
        <v>89.774177408925596</v>
      </c>
      <c r="AJ2566">
        <v>93.226740982697905</v>
      </c>
      <c r="AK2566">
        <v>103.34917939586499</v>
      </c>
      <c r="AL2566">
        <v>79.609160378642102</v>
      </c>
      <c r="AM2566">
        <v>91.658551198717603</v>
      </c>
      <c r="AN2566">
        <v>1.0000000512909999</v>
      </c>
    </row>
    <row r="2567" spans="1:40" x14ac:dyDescent="0.3">
      <c r="A2567" t="str">
        <f>"20200111150855376"</f>
        <v>20200111150855376</v>
      </c>
      <c r="B2567" t="str">
        <f>"1578726535366352"</f>
        <v>1578726535366352</v>
      </c>
      <c r="C2567" t="s">
        <v>40</v>
      </c>
      <c r="D2567">
        <v>4.9757600000000002</v>
      </c>
      <c r="E2567">
        <v>0.48990230000000001</v>
      </c>
      <c r="F2567" t="s">
        <v>69</v>
      </c>
      <c r="G2567">
        <v>-273.40989999999999</v>
      </c>
      <c r="H2567">
        <v>1.6019219999999901</v>
      </c>
      <c r="I2567">
        <v>20.89695</v>
      </c>
      <c r="J2567">
        <v>-376.33620000000002</v>
      </c>
      <c r="K2567">
        <v>1.1109009999999999</v>
      </c>
      <c r="L2567">
        <v>15.82526</v>
      </c>
      <c r="M2567">
        <v>0.99989709999999998</v>
      </c>
      <c r="N2567">
        <v>0</v>
      </c>
      <c r="O2567">
        <v>-6.5922280000000003E-3</v>
      </c>
      <c r="P2567">
        <v>0.98556549999999998</v>
      </c>
      <c r="Q2567">
        <v>0.16788819999999999</v>
      </c>
      <c r="R2567">
        <v>2.177544E-2</v>
      </c>
      <c r="S2567">
        <v>3.0382389999999999</v>
      </c>
      <c r="T2567">
        <v>1.4453290000000001E-2</v>
      </c>
      <c r="U2567">
        <v>0.149231</v>
      </c>
      <c r="V2567">
        <v>-2.8550320000000001E-2</v>
      </c>
      <c r="W2567">
        <v>0.1804008</v>
      </c>
      <c r="X2567">
        <v>0.98317869999999996</v>
      </c>
      <c r="Y2567">
        <v>-5.5641509999999998E-2</v>
      </c>
      <c r="Z2567">
        <v>-1.6361110000000001E-4</v>
      </c>
      <c r="AA2567">
        <v>0.99845079999999997</v>
      </c>
      <c r="AB2567">
        <v>34</v>
      </c>
      <c r="AC2567">
        <v>102.9263</v>
      </c>
      <c r="AD2567">
        <v>0.49102099999999899</v>
      </c>
      <c r="AE2567">
        <v>5.0716900000000003</v>
      </c>
      <c r="AF2567">
        <v>-5.7500179492696102</v>
      </c>
      <c r="AG2567">
        <v>0.49102099999999899</v>
      </c>
      <c r="AH2567">
        <v>102.888290771619</v>
      </c>
      <c r="AI2567">
        <v>89.726991410214197</v>
      </c>
      <c r="AJ2567">
        <v>93.198706217403199</v>
      </c>
      <c r="AK2567">
        <v>103.050008180226</v>
      </c>
      <c r="AL2567">
        <v>79.606893473384304</v>
      </c>
      <c r="AM2567">
        <v>91.663332689967703</v>
      </c>
      <c r="AN2567">
        <v>0.99999996277321501</v>
      </c>
    </row>
    <row r="2568" spans="1:40" x14ac:dyDescent="0.3">
      <c r="A2568" t="str">
        <f>"20200111150855388"</f>
        <v>20200111150855388</v>
      </c>
      <c r="B2568" t="str">
        <f>"1578726535385869"</f>
        <v>1578726535385869</v>
      </c>
      <c r="C2568" t="s">
        <v>40</v>
      </c>
      <c r="D2568">
        <v>5.0403440000000002</v>
      </c>
      <c r="E2568">
        <v>0.48972329999999997</v>
      </c>
      <c r="F2568" t="s">
        <v>69</v>
      </c>
      <c r="G2568">
        <v>-273.40989999999999</v>
      </c>
      <c r="H2568">
        <v>1.7916049999999999</v>
      </c>
      <c r="I2568">
        <v>20.9528</v>
      </c>
      <c r="J2568">
        <v>-376.14879999999999</v>
      </c>
      <c r="K2568">
        <v>1.1109230000000001</v>
      </c>
      <c r="L2568">
        <v>15.82446</v>
      </c>
      <c r="M2568">
        <v>0.99990000000000001</v>
      </c>
      <c r="N2568">
        <v>0</v>
      </c>
      <c r="O2568">
        <v>-6.1437089999999998E-3</v>
      </c>
      <c r="P2568">
        <v>0.98555910000000002</v>
      </c>
      <c r="Q2568">
        <v>0.1678578</v>
      </c>
      <c r="R2568">
        <v>2.230588E-2</v>
      </c>
      <c r="S2568">
        <v>3.037201</v>
      </c>
      <c r="T2568">
        <v>2.0086650000000001E-2</v>
      </c>
      <c r="U2568">
        <v>0.1513062</v>
      </c>
      <c r="V2568">
        <v>-2.864802E-2</v>
      </c>
      <c r="W2568">
        <v>0.18036469999999999</v>
      </c>
      <c r="X2568">
        <v>0.98318249999999996</v>
      </c>
      <c r="Y2568">
        <v>-5.5890240000000001E-2</v>
      </c>
      <c r="Z2568">
        <v>-2.2531029999999999E-4</v>
      </c>
      <c r="AA2568">
        <v>0.99843689999999996</v>
      </c>
      <c r="AB2568">
        <v>34</v>
      </c>
      <c r="AC2568">
        <v>102.7389</v>
      </c>
      <c r="AD2568">
        <v>0.68068200000000001</v>
      </c>
      <c r="AE2568">
        <v>5.1283399999999997</v>
      </c>
      <c r="AF2568">
        <v>-5.75924013784116</v>
      </c>
      <c r="AG2568">
        <v>0.68068200000000001</v>
      </c>
      <c r="AH2568">
        <v>102.700954242347</v>
      </c>
      <c r="AI2568">
        <v>89.620855914333404</v>
      </c>
      <c r="AJ2568">
        <v>93.209657678212096</v>
      </c>
      <c r="AK2568">
        <v>102.86456230033301</v>
      </c>
      <c r="AL2568">
        <v>79.608996538982396</v>
      </c>
      <c r="AM2568">
        <v>91.669015000285299</v>
      </c>
      <c r="AN2568">
        <v>0.99999998118112898</v>
      </c>
    </row>
    <row r="2569" spans="1:40" x14ac:dyDescent="0.3">
      <c r="A2569" t="str">
        <f>"20200111150855402"</f>
        <v>20200111150855402</v>
      </c>
      <c r="B2569" t="str">
        <f>"1578726535396606"</f>
        <v>1578726535396606</v>
      </c>
      <c r="C2569" t="s">
        <v>40</v>
      </c>
      <c r="D2569">
        <v>5.0944019999999997</v>
      </c>
      <c r="E2569">
        <v>0.48937249999999999</v>
      </c>
      <c r="F2569" t="s">
        <v>69</v>
      </c>
      <c r="G2569">
        <v>-273.40989999999999</v>
      </c>
      <c r="H2569">
        <v>2.0158529999999999</v>
      </c>
      <c r="I2569">
        <v>21.04082</v>
      </c>
      <c r="J2569">
        <v>-375.9418</v>
      </c>
      <c r="K2569">
        <v>1.110946</v>
      </c>
      <c r="L2569">
        <v>15.823639999999999</v>
      </c>
      <c r="M2569">
        <v>0.99990299999999999</v>
      </c>
      <c r="N2569">
        <v>0</v>
      </c>
      <c r="O2569">
        <v>-5.6412919999999896E-3</v>
      </c>
      <c r="P2569">
        <v>0.98554120000000001</v>
      </c>
      <c r="Q2569">
        <v>0.1678741</v>
      </c>
      <c r="R2569">
        <v>2.2956029999999999E-2</v>
      </c>
      <c r="S2569">
        <v>3.0359500000000001</v>
      </c>
      <c r="T2569">
        <v>2.674091E-2</v>
      </c>
      <c r="U2569">
        <v>0.15414430000000001</v>
      </c>
      <c r="V2569">
        <v>-2.8812999999999998E-2</v>
      </c>
      <c r="W2569">
        <v>0.18037410000000001</v>
      </c>
      <c r="X2569">
        <v>0.98317600000000005</v>
      </c>
      <c r="Y2569">
        <v>-5.6338970000000002E-2</v>
      </c>
      <c r="Z2569">
        <v>-2.9761639999999998E-4</v>
      </c>
      <c r="AA2569">
        <v>0.99841170000000001</v>
      </c>
      <c r="AB2569">
        <v>34</v>
      </c>
      <c r="AC2569">
        <v>102.53189999999999</v>
      </c>
      <c r="AD2569">
        <v>0.90490700000000002</v>
      </c>
      <c r="AE2569">
        <v>5.2171799999999999</v>
      </c>
      <c r="AF2569">
        <v>-5.79510603847487</v>
      </c>
      <c r="AG2569">
        <v>0.90490700000000002</v>
      </c>
      <c r="AH2569">
        <v>102.49287149963099</v>
      </c>
      <c r="AI2569">
        <v>89.494956750887297</v>
      </c>
      <c r="AJ2569">
        <v>93.236146643595106</v>
      </c>
      <c r="AK2569">
        <v>102.660561165988</v>
      </c>
      <c r="AL2569">
        <v>79.608449448431301</v>
      </c>
      <c r="AM2569">
        <v>91.678632235742498</v>
      </c>
      <c r="AN2569">
        <v>1.0000000259479001</v>
      </c>
    </row>
    <row r="2570" spans="1:40" x14ac:dyDescent="0.3">
      <c r="A2570" t="str">
        <f>"20200111150855421"</f>
        <v>20200111150855421</v>
      </c>
      <c r="B2570" t="str">
        <f>"1578726535416126"</f>
        <v>1578726535416126</v>
      </c>
      <c r="C2570" t="s">
        <v>40</v>
      </c>
      <c r="D2570">
        <v>5.0460379999999896</v>
      </c>
      <c r="E2570">
        <v>0.47016049999999998</v>
      </c>
      <c r="F2570" t="s">
        <v>69</v>
      </c>
      <c r="G2570">
        <v>-273.40989999999999</v>
      </c>
      <c r="H2570">
        <v>2.0311050000000002</v>
      </c>
      <c r="I2570">
        <v>21.188639999999999</v>
      </c>
      <c r="J2570">
        <v>-375.6524</v>
      </c>
      <c r="K2570">
        <v>1.1109770000000001</v>
      </c>
      <c r="L2570">
        <v>15.82272</v>
      </c>
      <c r="M2570">
        <v>0.99990670000000004</v>
      </c>
      <c r="N2570">
        <v>0</v>
      </c>
      <c r="O2570">
        <v>-4.9206329999999998E-3</v>
      </c>
      <c r="P2570">
        <v>0.98556129999999997</v>
      </c>
      <c r="Q2570">
        <v>0.1676039</v>
      </c>
      <c r="R2570">
        <v>2.4036849999999998E-2</v>
      </c>
      <c r="S2570">
        <v>3.0357059999999998</v>
      </c>
      <c r="T2570">
        <v>2.7243610000000001E-2</v>
      </c>
      <c r="U2570">
        <v>0.15884400000000001</v>
      </c>
      <c r="V2570">
        <v>-2.919565E-2</v>
      </c>
      <c r="W2570">
        <v>0.18009600000000001</v>
      </c>
      <c r="X2570">
        <v>0.98321570000000003</v>
      </c>
      <c r="Y2570">
        <v>-5.7164930000000003E-2</v>
      </c>
      <c r="Z2570">
        <v>-3.0046329999999999E-4</v>
      </c>
      <c r="AA2570">
        <v>0.99836469999999999</v>
      </c>
      <c r="AB2570">
        <v>34</v>
      </c>
      <c r="AC2570">
        <v>102.24250000000001</v>
      </c>
      <c r="AD2570">
        <v>0.92012799999999895</v>
      </c>
      <c r="AE2570">
        <v>5.3659199999999903</v>
      </c>
      <c r="AF2570">
        <v>-5.8685197099530004</v>
      </c>
      <c r="AG2570">
        <v>0.92012799999999895</v>
      </c>
      <c r="AH2570">
        <v>102.206601128099</v>
      </c>
      <c r="AI2570">
        <v>89.485049463742101</v>
      </c>
      <c r="AJ2570">
        <v>93.286212674489605</v>
      </c>
      <c r="AK2570">
        <v>102.379077321887</v>
      </c>
      <c r="AL2570">
        <v>79.624648774154394</v>
      </c>
      <c r="AM2570">
        <v>91.700843601892004</v>
      </c>
      <c r="AN2570">
        <v>1.0000000339607</v>
      </c>
    </row>
    <row r="2571" spans="1:40" x14ac:dyDescent="0.3">
      <c r="A2571" t="str">
        <f>"20200111150855443"</f>
        <v>20200111150855443</v>
      </c>
      <c r="B2571" t="str">
        <f>"1578726535436621"</f>
        <v>1578726535436621</v>
      </c>
      <c r="C2571" t="s">
        <v>40</v>
      </c>
      <c r="D2571">
        <v>5.0454129999999999</v>
      </c>
      <c r="E2571">
        <v>0.46878979999999998</v>
      </c>
      <c r="F2571" t="s">
        <v>95</v>
      </c>
      <c r="G2571">
        <v>-361.14330000000001</v>
      </c>
      <c r="H2571" s="1">
        <v>-4.5938869999999996E-6</v>
      </c>
      <c r="I2571">
        <v>17.32283</v>
      </c>
      <c r="J2571">
        <v>-375.32209999999998</v>
      </c>
      <c r="K2571">
        <v>1.1110040000000001</v>
      </c>
      <c r="L2571">
        <v>15.821960000000001</v>
      </c>
      <c r="M2571">
        <v>0.99991070000000004</v>
      </c>
      <c r="N2571">
        <v>0</v>
      </c>
      <c r="O2571">
        <v>-4.075871E-3</v>
      </c>
      <c r="P2571">
        <v>0.98544030000000005</v>
      </c>
      <c r="Q2571">
        <v>0.1681609</v>
      </c>
      <c r="R2571">
        <v>2.508991E-2</v>
      </c>
      <c r="S2571">
        <v>3.0762330000000002</v>
      </c>
      <c r="T2571">
        <v>-0.23555139999999999</v>
      </c>
      <c r="U2571">
        <v>0.31805420000000001</v>
      </c>
      <c r="V2571">
        <v>-2.9429879999999999E-2</v>
      </c>
      <c r="W2571">
        <v>0.18064279999999999</v>
      </c>
      <c r="X2571">
        <v>0.98310830000000005</v>
      </c>
      <c r="Y2571">
        <v>-0.1065758</v>
      </c>
      <c r="Z2571">
        <v>4.3744350000000003E-3</v>
      </c>
      <c r="AA2571">
        <v>0.99429489999999998</v>
      </c>
      <c r="AB2571">
        <v>34</v>
      </c>
      <c r="AC2571">
        <v>14.178799999999899</v>
      </c>
      <c r="AD2571">
        <v>-1.111008593887</v>
      </c>
      <c r="AE2571">
        <v>1.5008699999999899</v>
      </c>
      <c r="AF2571">
        <v>-1.54924647303192</v>
      </c>
      <c r="AG2571">
        <v>-1.111008593887</v>
      </c>
      <c r="AH2571">
        <v>14.0870308681325</v>
      </c>
      <c r="AI2571">
        <v>94.482524168704401</v>
      </c>
      <c r="AJ2571">
        <v>96.275984700666896</v>
      </c>
      <c r="AK2571">
        <v>14.2154473517231</v>
      </c>
      <c r="AL2571">
        <v>79.592795991482205</v>
      </c>
      <c r="AM2571">
        <v>91.714668155384203</v>
      </c>
      <c r="AN2571">
        <v>0.99999993427876999</v>
      </c>
    </row>
    <row r="2572" spans="1:40" x14ac:dyDescent="0.3">
      <c r="A2572" t="str">
        <f>"20200111150855456"</f>
        <v>20200111150855456</v>
      </c>
      <c r="B2572" t="str">
        <f>"1578726535446381"</f>
        <v>1578726535446381</v>
      </c>
      <c r="C2572" t="s">
        <v>40</v>
      </c>
      <c r="D2572">
        <v>5.5286989999999996</v>
      </c>
      <c r="E2572">
        <v>0.46878979999999998</v>
      </c>
      <c r="F2572" t="s">
        <v>95</v>
      </c>
      <c r="G2572">
        <v>-360.0061</v>
      </c>
      <c r="H2572" s="1">
        <v>-5.1045839999999998E-6</v>
      </c>
      <c r="I2572">
        <v>17.474339999999899</v>
      </c>
      <c r="J2572">
        <v>-375.10939999999999</v>
      </c>
      <c r="K2572">
        <v>1.1110230000000001</v>
      </c>
      <c r="L2572">
        <v>15.821619999999999</v>
      </c>
      <c r="M2572">
        <v>0.99991289999999999</v>
      </c>
      <c r="N2572">
        <v>0</v>
      </c>
      <c r="O2572">
        <v>-3.5213140000000002E-3</v>
      </c>
      <c r="P2572">
        <v>0.98543809999999998</v>
      </c>
      <c r="Q2572">
        <v>0.16809830000000001</v>
      </c>
      <c r="R2572">
        <v>2.558991E-2</v>
      </c>
      <c r="S2572">
        <v>3.073944</v>
      </c>
      <c r="T2572">
        <v>-0.22298119999999999</v>
      </c>
      <c r="U2572">
        <v>0.3316345</v>
      </c>
      <c r="V2572">
        <v>-2.9390869999999999E-2</v>
      </c>
      <c r="W2572">
        <v>0.18057580000000001</v>
      </c>
      <c r="X2572">
        <v>0.98312189999999999</v>
      </c>
      <c r="Y2572">
        <v>-0.1104678</v>
      </c>
      <c r="Z2572">
        <v>4.2442259999999898E-3</v>
      </c>
      <c r="AA2572">
        <v>0.99387060000000005</v>
      </c>
      <c r="AB2572">
        <v>34</v>
      </c>
      <c r="AC2572">
        <v>15.1032999999999</v>
      </c>
      <c r="AD2572">
        <v>-1.11102810458399</v>
      </c>
      <c r="AE2572">
        <v>1.65271999999999</v>
      </c>
      <c r="AF2572">
        <v>-1.6968240410380699</v>
      </c>
      <c r="AG2572">
        <v>-1.11102810458399</v>
      </c>
      <c r="AH2572">
        <v>15.0170848462301</v>
      </c>
      <c r="AI2572">
        <v>94.204618601323901</v>
      </c>
      <c r="AJ2572">
        <v>96.446673613062998</v>
      </c>
      <c r="AK2572">
        <v>15.1534297290843</v>
      </c>
      <c r="AL2572">
        <v>79.596700280060901</v>
      </c>
      <c r="AM2572">
        <v>91.712373002097294</v>
      </c>
      <c r="AN2572">
        <v>1.0000000565223</v>
      </c>
    </row>
    <row r="2573" spans="1:40" x14ac:dyDescent="0.3">
      <c r="A2573" t="str">
        <f>"20200111150855468"</f>
        <v>20200111150855468</v>
      </c>
      <c r="B2573" t="str">
        <f>"1578726535465902"</f>
        <v>1578726535465902</v>
      </c>
      <c r="C2573" t="s">
        <v>40</v>
      </c>
      <c r="D2573">
        <v>4.9785649999999997</v>
      </c>
      <c r="E2573">
        <v>0.46956769999999998</v>
      </c>
      <c r="F2573" t="s">
        <v>43</v>
      </c>
      <c r="G2573">
        <v>-359.81459999999998</v>
      </c>
      <c r="H2573" s="1">
        <v>-6.1813000000000004E-7</v>
      </c>
      <c r="I2573">
        <v>17.477810000000002</v>
      </c>
      <c r="J2573">
        <v>-374.9239</v>
      </c>
      <c r="K2573">
        <v>1.111035</v>
      </c>
      <c r="L2573">
        <v>15.821440000000001</v>
      </c>
      <c r="M2573">
        <v>0.99991450000000004</v>
      </c>
      <c r="N2573">
        <v>0</v>
      </c>
      <c r="O2573">
        <v>-3.0289129999999998E-3</v>
      </c>
      <c r="P2573">
        <v>0.98539509999999997</v>
      </c>
      <c r="Q2573">
        <v>0.168245799999999</v>
      </c>
      <c r="R2573">
        <v>2.6265150000000001E-2</v>
      </c>
      <c r="S2573">
        <v>3.0737610000000002</v>
      </c>
      <c r="T2573">
        <v>-0.22327910000000001</v>
      </c>
      <c r="U2573">
        <v>0.33285520000000002</v>
      </c>
      <c r="V2573">
        <v>-2.958744E-2</v>
      </c>
      <c r="W2573">
        <v>0.1807183</v>
      </c>
      <c r="X2573">
        <v>0.98308969999999996</v>
      </c>
      <c r="Y2573">
        <v>-0.1103755</v>
      </c>
      <c r="Z2573">
        <v>4.211083E-3</v>
      </c>
      <c r="AA2573">
        <v>0.99388100000000001</v>
      </c>
      <c r="AB2573">
        <v>34</v>
      </c>
      <c r="AC2573">
        <v>15.109299999999999</v>
      </c>
      <c r="AD2573">
        <v>-1.1110356181299901</v>
      </c>
      <c r="AE2573">
        <v>1.6563699999999999</v>
      </c>
      <c r="AF2573">
        <v>-1.69308483316931</v>
      </c>
      <c r="AG2573">
        <v>-1.1110356181299901</v>
      </c>
      <c r="AH2573">
        <v>15.0239414745673</v>
      </c>
      <c r="AI2573">
        <v>94.202875088727296</v>
      </c>
      <c r="AJ2573">
        <v>96.429675484168598</v>
      </c>
      <c r="AK2573">
        <v>15.159807183084</v>
      </c>
      <c r="AL2573">
        <v>79.588397827177303</v>
      </c>
      <c r="AM2573">
        <v>91.723875118430698</v>
      </c>
      <c r="AN2573">
        <v>0.99999993940336496</v>
      </c>
    </row>
    <row r="2574" spans="1:40" x14ac:dyDescent="0.3">
      <c r="A2574" t="str">
        <f>"20200111150855488"</f>
        <v>20200111150855488</v>
      </c>
      <c r="B2574" t="str">
        <f>"1578726535476637"</f>
        <v>1578726535476637</v>
      </c>
      <c r="C2574" t="s">
        <v>40</v>
      </c>
      <c r="D2574">
        <v>4.950145</v>
      </c>
      <c r="E2574">
        <v>0.47064660000000003</v>
      </c>
      <c r="F2574" t="s">
        <v>43</v>
      </c>
      <c r="G2574">
        <v>-357.74270000000001</v>
      </c>
      <c r="H2574" s="1">
        <v>-1.29787999999999E-6</v>
      </c>
      <c r="I2574">
        <v>17.65896</v>
      </c>
      <c r="J2574">
        <v>-374.6345</v>
      </c>
      <c r="K2574">
        <v>1.111057</v>
      </c>
      <c r="L2574">
        <v>15.821350000000001</v>
      </c>
      <c r="M2574">
        <v>0.99991669999999999</v>
      </c>
      <c r="N2574">
        <v>0</v>
      </c>
      <c r="O2574">
        <v>-2.2496109999999999E-3</v>
      </c>
      <c r="P2574">
        <v>0.98537509999999995</v>
      </c>
      <c r="Q2574">
        <v>0.16824710000000001</v>
      </c>
      <c r="R2574">
        <v>2.700582E-2</v>
      </c>
      <c r="S2574">
        <v>3.0696110000000001</v>
      </c>
      <c r="T2574">
        <v>-0.19849900000000001</v>
      </c>
      <c r="U2574">
        <v>0.32830809999999999</v>
      </c>
      <c r="V2574">
        <v>-2.9569649999999999E-2</v>
      </c>
      <c r="W2574">
        <v>0.18071409999999999</v>
      </c>
      <c r="X2574">
        <v>0.9830911</v>
      </c>
      <c r="Y2574">
        <v>-0.1083561</v>
      </c>
      <c r="Z2574">
        <v>3.63482E-3</v>
      </c>
      <c r="AA2574">
        <v>0.99410549999999998</v>
      </c>
      <c r="AB2574">
        <v>34</v>
      </c>
      <c r="AC2574">
        <v>16.8917999999999</v>
      </c>
      <c r="AD2574">
        <v>-1.1110582978800001</v>
      </c>
      <c r="AE2574">
        <v>1.83761</v>
      </c>
      <c r="AF2574">
        <v>-1.8676229095417001</v>
      </c>
      <c r="AG2574">
        <v>-1.1110582978800001</v>
      </c>
      <c r="AH2574">
        <v>16.815723182470599</v>
      </c>
      <c r="AI2574">
        <v>93.757150875644996</v>
      </c>
      <c r="AJ2574">
        <v>96.337530195235402</v>
      </c>
      <c r="AK2574">
        <v>16.9555599147598</v>
      </c>
      <c r="AL2574">
        <v>79.588643457124604</v>
      </c>
      <c r="AM2574">
        <v>91.7228367792451</v>
      </c>
      <c r="AN2574">
        <v>1.00000003051957</v>
      </c>
    </row>
    <row r="2575" spans="1:40" x14ac:dyDescent="0.3">
      <c r="A2575" t="str">
        <f>"20200111150855502"</f>
        <v>20200111150855502</v>
      </c>
      <c r="B2575" t="str">
        <f>"1578726535496158"</f>
        <v>1578726535496158</v>
      </c>
      <c r="C2575" t="s">
        <v>40</v>
      </c>
      <c r="D2575">
        <v>4.9238410000000004</v>
      </c>
      <c r="E2575">
        <v>0.47250330000000001</v>
      </c>
      <c r="F2575" t="s">
        <v>43</v>
      </c>
      <c r="G2575">
        <v>-357.4563</v>
      </c>
      <c r="H2575" s="1">
        <v>-1.4274000000000001E-6</v>
      </c>
      <c r="I2575">
        <v>17.621479999999998</v>
      </c>
      <c r="J2575">
        <v>-374.42509999999999</v>
      </c>
      <c r="K2575">
        <v>1.1110770000000001</v>
      </c>
      <c r="L2575">
        <v>15.82141</v>
      </c>
      <c r="M2575">
        <v>0.99991770000000002</v>
      </c>
      <c r="N2575">
        <v>0</v>
      </c>
      <c r="O2575">
        <v>-1.6766299999999999E-3</v>
      </c>
      <c r="P2575">
        <v>0.98537019999999997</v>
      </c>
      <c r="Q2575">
        <v>0.16816710000000001</v>
      </c>
      <c r="R2575">
        <v>2.7667310000000001E-2</v>
      </c>
      <c r="S2575">
        <v>3.0696409999999998</v>
      </c>
      <c r="T2575">
        <v>-0.19853870000000001</v>
      </c>
      <c r="U2575">
        <v>0.32168580000000002</v>
      </c>
      <c r="V2575">
        <v>-2.967231E-2</v>
      </c>
      <c r="W2575">
        <v>0.18063009999999999</v>
      </c>
      <c r="X2575">
        <v>0.98310339999999996</v>
      </c>
      <c r="Y2575">
        <v>-0.1056708</v>
      </c>
      <c r="Z2575">
        <v>3.5124790000000002E-3</v>
      </c>
      <c r="AA2575">
        <v>0.99439500000000003</v>
      </c>
      <c r="AB2575">
        <v>34</v>
      </c>
      <c r="AC2575">
        <v>16.968799999999899</v>
      </c>
      <c r="AD2575">
        <v>-1.1110784273999901</v>
      </c>
      <c r="AE2575">
        <v>1.8000699999999901</v>
      </c>
      <c r="AF2575">
        <v>-1.8208006616852099</v>
      </c>
      <c r="AG2575">
        <v>-1.1110784273999901</v>
      </c>
      <c r="AH2575">
        <v>16.8941330924836</v>
      </c>
      <c r="AI2575">
        <v>93.741155784510696</v>
      </c>
      <c r="AJ2575">
        <v>96.151428125867398</v>
      </c>
      <c r="AK2575">
        <v>17.028257199959601</v>
      </c>
      <c r="AL2575">
        <v>79.593536373400894</v>
      </c>
      <c r="AM2575">
        <v>91.728792888896393</v>
      </c>
      <c r="AN2575">
        <v>0.99999998704915205</v>
      </c>
    </row>
    <row r="2576" spans="1:40" x14ac:dyDescent="0.3">
      <c r="A2576" t="str">
        <f>"20200111150855522"</f>
        <v>20200111150855522</v>
      </c>
      <c r="B2576" t="str">
        <f>"1578726535516654"</f>
        <v>1578726535516654</v>
      </c>
      <c r="C2576" t="s">
        <v>40</v>
      </c>
      <c r="D2576">
        <v>4.9259589999999998</v>
      </c>
      <c r="E2576">
        <v>0.4731764</v>
      </c>
      <c r="F2576" t="s">
        <v>43</v>
      </c>
      <c r="G2576">
        <v>-355.77089999999998</v>
      </c>
      <c r="H2576" s="1">
        <v>-2.1368200000000002E-6</v>
      </c>
      <c r="I2576">
        <v>17.698060000000002</v>
      </c>
      <c r="J2576">
        <v>-374.11219999999997</v>
      </c>
      <c r="K2576">
        <v>1.111097</v>
      </c>
      <c r="L2576">
        <v>15.82178</v>
      </c>
      <c r="M2576">
        <v>0.999919</v>
      </c>
      <c r="N2576">
        <v>0</v>
      </c>
      <c r="O2576">
        <v>-8.0748470000000004E-4</v>
      </c>
      <c r="P2576">
        <v>0.9853807</v>
      </c>
      <c r="Q2576">
        <v>0.16792270000000001</v>
      </c>
      <c r="R2576">
        <v>2.876124E-2</v>
      </c>
      <c r="S2576">
        <v>3.0670169999999999</v>
      </c>
      <c r="T2576">
        <v>-0.18267749999999999</v>
      </c>
      <c r="U2576">
        <v>0.30856319999999998</v>
      </c>
      <c r="V2576">
        <v>-2.9917940000000001E-2</v>
      </c>
      <c r="W2576">
        <v>0.18038019999999999</v>
      </c>
      <c r="X2576">
        <v>0.98314179999999995</v>
      </c>
      <c r="Y2576">
        <v>-0.100727</v>
      </c>
      <c r="Z2576">
        <v>3.037503E-3</v>
      </c>
      <c r="AA2576">
        <v>0.9949095</v>
      </c>
      <c r="AB2576">
        <v>34</v>
      </c>
      <c r="AC2576">
        <v>18.341299999999901</v>
      </c>
      <c r="AD2576">
        <v>-1.1110991368200001</v>
      </c>
      <c r="AE2576">
        <v>1.8762799999999999</v>
      </c>
      <c r="AF2576">
        <v>-1.88424765637957</v>
      </c>
      <c r="AG2576">
        <v>-1.1110991368200001</v>
      </c>
      <c r="AH2576">
        <v>18.273413106588599</v>
      </c>
      <c r="AI2576">
        <v>93.461229414322105</v>
      </c>
      <c r="AJ2576">
        <v>95.887199775143003</v>
      </c>
      <c r="AK2576">
        <v>18.403873426169199</v>
      </c>
      <c r="AL2576">
        <v>79.608093310445994</v>
      </c>
      <c r="AM2576">
        <v>91.743027155820698</v>
      </c>
      <c r="AN2576">
        <v>0.99999994929656</v>
      </c>
    </row>
    <row r="2577" spans="1:40" x14ac:dyDescent="0.3">
      <c r="A2577" t="str">
        <f>"20200111150855538"</f>
        <v>20200111150855538</v>
      </c>
      <c r="B2577" t="str">
        <f>"1578726535526414"</f>
        <v>1578726535526414</v>
      </c>
      <c r="C2577" t="s">
        <v>40</v>
      </c>
      <c r="D2577">
        <v>4.941865</v>
      </c>
      <c r="E2577">
        <v>0.47344370000000002</v>
      </c>
      <c r="F2577" t="s">
        <v>43</v>
      </c>
      <c r="G2577">
        <v>-355.7869</v>
      </c>
      <c r="H2577" s="1">
        <v>-2.1380440000000001E-6</v>
      </c>
      <c r="I2577">
        <v>17.652629999999998</v>
      </c>
      <c r="J2577">
        <v>-373.86259999999999</v>
      </c>
      <c r="K2577">
        <v>1.111111</v>
      </c>
      <c r="L2577">
        <v>15.82227</v>
      </c>
      <c r="M2577">
        <v>0.99991920000000001</v>
      </c>
      <c r="N2577">
        <v>0</v>
      </c>
      <c r="O2577">
        <v>-1.063855E-4</v>
      </c>
      <c r="P2577">
        <v>0.98538709999999996</v>
      </c>
      <c r="Q2577">
        <v>0.16772409999999999</v>
      </c>
      <c r="R2577">
        <v>2.9681519999999999E-2</v>
      </c>
      <c r="S2577">
        <v>3.0672609999999998</v>
      </c>
      <c r="T2577">
        <v>-0.18597330000000001</v>
      </c>
      <c r="U2577">
        <v>0.30645749999999999</v>
      </c>
      <c r="V2577">
        <v>-3.015207E-2</v>
      </c>
      <c r="W2577">
        <v>0.180178</v>
      </c>
      <c r="X2577">
        <v>0.98317180000000004</v>
      </c>
      <c r="Y2577">
        <v>-9.9342520000000004E-2</v>
      </c>
      <c r="Z2577">
        <v>3.0078689999999998E-3</v>
      </c>
      <c r="AA2577">
        <v>0.99504879999999996</v>
      </c>
      <c r="AB2577">
        <v>34</v>
      </c>
      <c r="AC2577">
        <v>18.075699999999902</v>
      </c>
      <c r="AD2577">
        <v>-1.111113138044</v>
      </c>
      <c r="AE2577">
        <v>1.83035999999999</v>
      </c>
      <c r="AF2577">
        <v>-1.8254555525345599</v>
      </c>
      <c r="AG2577">
        <v>-1.111113138044</v>
      </c>
      <c r="AH2577">
        <v>18.008150914207501</v>
      </c>
      <c r="AI2577">
        <v>93.512750114437395</v>
      </c>
      <c r="AJ2577">
        <v>95.788203885717806</v>
      </c>
      <c r="AK2577">
        <v>18.134507429998902</v>
      </c>
      <c r="AL2577">
        <v>79.619872277915306</v>
      </c>
      <c r="AM2577">
        <v>91.756605550477204</v>
      </c>
      <c r="AN2577">
        <v>1.0000000236622599</v>
      </c>
    </row>
    <row r="2578" spans="1:40" x14ac:dyDescent="0.3">
      <c r="A2578" t="str">
        <f>"20200111150855555"</f>
        <v>20200111150855555</v>
      </c>
      <c r="B2578" t="str">
        <f>"1578726535545933"</f>
        <v>1578726535545933</v>
      </c>
      <c r="C2578" t="s">
        <v>40</v>
      </c>
      <c r="D2578">
        <v>4.9064310000000004</v>
      </c>
      <c r="E2578">
        <v>0.473881</v>
      </c>
      <c r="F2578" t="s">
        <v>43</v>
      </c>
      <c r="G2578">
        <v>-355.97030000000001</v>
      </c>
      <c r="H2578" s="1">
        <v>-2.0663559999999999E-6</v>
      </c>
      <c r="I2578">
        <v>17.613199999999999</v>
      </c>
      <c r="J2578">
        <v>-373.59269999999998</v>
      </c>
      <c r="K2578">
        <v>1.111124</v>
      </c>
      <c r="L2578">
        <v>15.823</v>
      </c>
      <c r="M2578">
        <v>0.99991909999999895</v>
      </c>
      <c r="N2578">
        <v>0</v>
      </c>
      <c r="O2578">
        <v>6.5780789999999895E-4</v>
      </c>
      <c r="P2578">
        <v>0.98531120000000005</v>
      </c>
      <c r="Q2578">
        <v>0.1679745</v>
      </c>
      <c r="R2578">
        <v>3.0767429999999998E-2</v>
      </c>
      <c r="S2578">
        <v>3.0676269999999999</v>
      </c>
      <c r="T2578">
        <v>-0.1904988</v>
      </c>
      <c r="U2578">
        <v>0.3070679</v>
      </c>
      <c r="V2578">
        <v>-3.0489619999999999E-2</v>
      </c>
      <c r="W2578">
        <v>0.18042330000000001</v>
      </c>
      <c r="X2578">
        <v>0.9831164</v>
      </c>
      <c r="Y2578">
        <v>-9.8760009999999995E-2</v>
      </c>
      <c r="Z2578">
        <v>3.015209E-3</v>
      </c>
      <c r="AA2578">
        <v>0.99510670000000001</v>
      </c>
      <c r="AB2578">
        <v>34</v>
      </c>
      <c r="AC2578">
        <v>17.622399999999899</v>
      </c>
      <c r="AD2578">
        <v>-1.1111260663560001</v>
      </c>
      <c r="AE2578">
        <v>1.79019999999999</v>
      </c>
      <c r="AF2578">
        <v>-1.7716352518568601</v>
      </c>
      <c r="AG2578">
        <v>-1.1111260663560001</v>
      </c>
      <c r="AH2578">
        <v>17.5544980618293</v>
      </c>
      <c r="AI2578">
        <v>93.603494739757494</v>
      </c>
      <c r="AJ2578">
        <v>95.762892661971406</v>
      </c>
      <c r="AK2578">
        <v>17.6786225369435</v>
      </c>
      <c r="AL2578">
        <v>79.605583413572802</v>
      </c>
      <c r="AM2578">
        <v>91.776358111022603</v>
      </c>
      <c r="AN2578">
        <v>1.00000002002979</v>
      </c>
    </row>
    <row r="2579" spans="1:40" x14ac:dyDescent="0.3">
      <c r="A2579" t="str">
        <f>"20200111150855568"</f>
        <v>20200111150855568</v>
      </c>
      <c r="B2579" t="str">
        <f>"1578726535556670"</f>
        <v>1578726535556670</v>
      </c>
      <c r="C2579" t="s">
        <v>40</v>
      </c>
      <c r="D2579">
        <v>4.919219</v>
      </c>
      <c r="E2579">
        <v>0.4741361</v>
      </c>
      <c r="F2579" t="s">
        <v>43</v>
      </c>
      <c r="G2579">
        <v>-356.55079999999998</v>
      </c>
      <c r="H2579" s="1">
        <v>-1.8327480000000001E-6</v>
      </c>
      <c r="I2579">
        <v>17.526050000000001</v>
      </c>
      <c r="J2579">
        <v>-373.41210000000001</v>
      </c>
      <c r="K2579">
        <v>1.1111260000000001</v>
      </c>
      <c r="L2579">
        <v>15.82361</v>
      </c>
      <c r="M2579">
        <v>0.99991859999999999</v>
      </c>
      <c r="N2579">
        <v>0</v>
      </c>
      <c r="O2579">
        <v>1.1714830000000001E-3</v>
      </c>
      <c r="P2579">
        <v>0.98532909999999996</v>
      </c>
      <c r="Q2579">
        <v>0.1677794</v>
      </c>
      <c r="R2579">
        <v>3.1253049999999997E-2</v>
      </c>
      <c r="S2579">
        <v>3.0692140000000001</v>
      </c>
      <c r="T2579">
        <v>-0.2001117</v>
      </c>
      <c r="U2579">
        <v>0.30673220000000001</v>
      </c>
      <c r="V2579">
        <v>-3.047105E-2</v>
      </c>
      <c r="W2579">
        <v>0.18022679999999999</v>
      </c>
      <c r="X2579">
        <v>0.98315300000000005</v>
      </c>
      <c r="Y2579">
        <v>-9.8073450000000006E-2</v>
      </c>
      <c r="Z2579">
        <v>3.1097630000000002E-3</v>
      </c>
      <c r="AA2579">
        <v>0.99517429999999996</v>
      </c>
      <c r="AB2579">
        <v>34</v>
      </c>
      <c r="AC2579">
        <v>16.8613</v>
      </c>
      <c r="AD2579">
        <v>-1.1111278327480001</v>
      </c>
      <c r="AE2579">
        <v>1.70244</v>
      </c>
      <c r="AF2579">
        <v>-1.6754820523318801</v>
      </c>
      <c r="AG2579">
        <v>-1.1111278327480001</v>
      </c>
      <c r="AH2579">
        <v>16.7911024169345</v>
      </c>
      <c r="AI2579">
        <v>93.767294322163096</v>
      </c>
      <c r="AJ2579">
        <v>95.698335090609405</v>
      </c>
      <c r="AK2579">
        <v>16.911030883549898</v>
      </c>
      <c r="AL2579">
        <v>79.617029491524804</v>
      </c>
      <c r="AM2579">
        <v>91.775210849099096</v>
      </c>
      <c r="AN2579">
        <v>1.0000000028676701</v>
      </c>
    </row>
    <row r="2580" spans="1:40" x14ac:dyDescent="0.3">
      <c r="A2580" t="str">
        <f>"20200111150855587"</f>
        <v>20200111150855587</v>
      </c>
      <c r="B2580" t="str">
        <f>"1578726535585950"</f>
        <v>1578726535585950</v>
      </c>
      <c r="C2580" t="s">
        <v>40</v>
      </c>
      <c r="D2580">
        <v>4.9443720000000004</v>
      </c>
      <c r="E2580">
        <v>0.47443580000000002</v>
      </c>
      <c r="F2580" t="s">
        <v>43</v>
      </c>
      <c r="G2580">
        <v>-356.48140000000001</v>
      </c>
      <c r="H2580" s="1">
        <v>-1.8650079999999999E-6</v>
      </c>
      <c r="I2580">
        <v>17.512170000000001</v>
      </c>
      <c r="J2580">
        <v>-373.10180000000003</v>
      </c>
      <c r="K2580">
        <v>1.111135</v>
      </c>
      <c r="L2580">
        <v>15.824859999999999</v>
      </c>
      <c r="M2580">
        <v>0.99991730000000001</v>
      </c>
      <c r="N2580">
        <v>0</v>
      </c>
      <c r="O2580">
        <v>2.056572E-3</v>
      </c>
      <c r="P2580">
        <v>0.98528439999999995</v>
      </c>
      <c r="Q2580">
        <v>0.16791919999999999</v>
      </c>
      <c r="R2580">
        <v>3.1906839999999999E-2</v>
      </c>
      <c r="S2580">
        <v>3.0692439999999999</v>
      </c>
      <c r="T2580">
        <v>-0.2014282</v>
      </c>
      <c r="U2580">
        <v>0.3061218</v>
      </c>
      <c r="V2580">
        <v>-3.025651E-2</v>
      </c>
      <c r="W2580">
        <v>0.1803633</v>
      </c>
      <c r="X2580">
        <v>0.98313459999999997</v>
      </c>
      <c r="Y2580">
        <v>-9.6997079999999999E-2</v>
      </c>
      <c r="Z2580">
        <v>3.0370990000000001E-3</v>
      </c>
      <c r="AA2580">
        <v>0.99528000000000005</v>
      </c>
      <c r="AB2580">
        <v>34</v>
      </c>
      <c r="AC2580">
        <v>16.6204</v>
      </c>
      <c r="AD2580">
        <v>-1.111136865008</v>
      </c>
      <c r="AE2580">
        <v>1.6873099999999901</v>
      </c>
      <c r="AF2580">
        <v>-1.6458416926606201</v>
      </c>
      <c r="AG2580">
        <v>-1.111136865008</v>
      </c>
      <c r="AH2580">
        <v>16.5506179726307</v>
      </c>
      <c r="AI2580">
        <v>93.822032084273204</v>
      </c>
      <c r="AJ2580">
        <v>95.6789887918072</v>
      </c>
      <c r="AK2580">
        <v>16.669324380011599</v>
      </c>
      <c r="AL2580">
        <v>79.609078383333994</v>
      </c>
      <c r="AM2580">
        <v>91.762752860558194</v>
      </c>
      <c r="AN2580">
        <v>1.00000000905071</v>
      </c>
    </row>
    <row r="2581" spans="1:40" x14ac:dyDescent="0.3">
      <c r="A2581" t="str">
        <f>"20200111150855601"</f>
        <v>20200111150855601</v>
      </c>
      <c r="B2581" t="str">
        <f>"1578726535596687"</f>
        <v>1578726535596687</v>
      </c>
      <c r="C2581" t="s">
        <v>40</v>
      </c>
      <c r="D2581">
        <v>6.4679710000000004</v>
      </c>
      <c r="E2581">
        <v>0.47443580000000002</v>
      </c>
      <c r="F2581" t="s">
        <v>43</v>
      </c>
      <c r="G2581">
        <v>-356.11900000000003</v>
      </c>
      <c r="H2581" s="1">
        <v>-2.019642E-6</v>
      </c>
      <c r="I2581">
        <v>17.516829999999999</v>
      </c>
      <c r="J2581">
        <v>-372.90609999999998</v>
      </c>
      <c r="K2581">
        <v>1.1111439999999999</v>
      </c>
      <c r="L2581">
        <v>15.8257799999999</v>
      </c>
      <c r="M2581">
        <v>0.99991600000000003</v>
      </c>
      <c r="N2581">
        <v>0</v>
      </c>
      <c r="O2581">
        <v>2.6163549999999999E-3</v>
      </c>
      <c r="P2581">
        <v>0.98520390000000002</v>
      </c>
      <c r="Q2581">
        <v>0.16830209999999901</v>
      </c>
      <c r="R2581">
        <v>3.237081E-2</v>
      </c>
      <c r="S2581">
        <v>3.0691220000000001</v>
      </c>
      <c r="T2581">
        <v>-0.20080339999999999</v>
      </c>
      <c r="U2581">
        <v>0.30578610000000001</v>
      </c>
      <c r="V2581">
        <v>-3.017185E-2</v>
      </c>
      <c r="W2581">
        <v>0.18074370000000001</v>
      </c>
      <c r="X2581">
        <v>0.98306729999999998</v>
      </c>
      <c r="Y2581">
        <v>-9.6339800000000003E-2</v>
      </c>
      <c r="Z2581">
        <v>2.969911E-3</v>
      </c>
      <c r="AA2581">
        <v>0.99534400000000001</v>
      </c>
      <c r="AB2581">
        <v>34</v>
      </c>
      <c r="AC2581">
        <v>16.787099999999899</v>
      </c>
      <c r="AD2581">
        <v>-1.111146019642</v>
      </c>
      <c r="AE2581">
        <v>1.6910499999999999</v>
      </c>
      <c r="AF2581">
        <v>-1.64000667679406</v>
      </c>
      <c r="AG2581">
        <v>-1.111146019642</v>
      </c>
      <c r="AH2581">
        <v>16.7189543886279</v>
      </c>
      <c r="AI2581">
        <v>93.784191320277202</v>
      </c>
      <c r="AJ2581">
        <v>95.602372195042705</v>
      </c>
      <c r="AK2581">
        <v>16.8359051798802</v>
      </c>
      <c r="AL2581">
        <v>79.586918480194797</v>
      </c>
      <c r="AM2581">
        <v>91.757943907405703</v>
      </c>
      <c r="AN2581">
        <v>0.99999997097570004</v>
      </c>
    </row>
    <row r="2582" spans="1:40" x14ac:dyDescent="0.3">
      <c r="A2582" t="str">
        <f>"20200111150855613"</f>
        <v>20200111150855613</v>
      </c>
      <c r="B2582" t="str">
        <f>"1578726535606447"</f>
        <v>1578726535606447</v>
      </c>
      <c r="C2582" t="s">
        <v>40</v>
      </c>
      <c r="D2582">
        <v>5.0309080000000002</v>
      </c>
      <c r="E2582">
        <v>0.46318599999999999</v>
      </c>
      <c r="F2582" t="s">
        <v>43</v>
      </c>
      <c r="G2582">
        <v>-355.81900000000002</v>
      </c>
      <c r="H2582" s="1">
        <v>-2.1447540000000002E-6</v>
      </c>
      <c r="I2582">
        <v>17.537009999999999</v>
      </c>
      <c r="J2582">
        <v>-372.7176</v>
      </c>
      <c r="K2582">
        <v>1.111148</v>
      </c>
      <c r="L2582">
        <v>15.82681</v>
      </c>
      <c r="M2582">
        <v>0.99991450000000004</v>
      </c>
      <c r="N2582">
        <v>0</v>
      </c>
      <c r="O2582">
        <v>3.156098E-3</v>
      </c>
      <c r="P2582">
        <v>0.98509979999999997</v>
      </c>
      <c r="Q2582">
        <v>0.1688568</v>
      </c>
      <c r="R2582">
        <v>3.2649110000000002E-2</v>
      </c>
      <c r="S2582">
        <v>3.0690309999999998</v>
      </c>
      <c r="T2582">
        <v>-0.19957449999999999</v>
      </c>
      <c r="U2582">
        <v>0.30737300000000001</v>
      </c>
      <c r="V2582">
        <v>-2.9920780000000001E-2</v>
      </c>
      <c r="W2582">
        <v>0.18129609999999999</v>
      </c>
      <c r="X2582">
        <v>0.98297330000000005</v>
      </c>
      <c r="Y2582">
        <v>-9.6318639999999997E-2</v>
      </c>
      <c r="Z2582">
        <v>2.9161249999999999E-3</v>
      </c>
      <c r="AA2582">
        <v>0.99534630000000002</v>
      </c>
      <c r="AB2582">
        <v>34</v>
      </c>
      <c r="AC2582">
        <v>16.898599999999899</v>
      </c>
      <c r="AD2582">
        <v>-1.111150144754</v>
      </c>
      <c r="AE2582">
        <v>1.7101999999999999</v>
      </c>
      <c r="AF2582">
        <v>-1.6497928453256101</v>
      </c>
      <c r="AG2582">
        <v>-1.111150144754</v>
      </c>
      <c r="AH2582">
        <v>16.8318775645625</v>
      </c>
      <c r="AI2582">
        <v>93.758918463278405</v>
      </c>
      <c r="AJ2582">
        <v>95.598020264767996</v>
      </c>
      <c r="AK2582">
        <v>16.948999186533001</v>
      </c>
      <c r="AL2582">
        <v>79.554737132172306</v>
      </c>
      <c r="AM2582">
        <v>91.743491144269797</v>
      </c>
      <c r="AN2582">
        <v>1.00000001873195</v>
      </c>
    </row>
    <row r="2583" spans="1:40" x14ac:dyDescent="0.3">
      <c r="A2583" t="str">
        <f>"20200111150855633"</f>
        <v>20200111150855633</v>
      </c>
      <c r="B2583" t="str">
        <f>"1578726535625965"</f>
        <v>1578726535625965</v>
      </c>
      <c r="C2583" t="s">
        <v>40</v>
      </c>
      <c r="D2583">
        <v>4.9353590000000001</v>
      </c>
      <c r="E2583">
        <v>0.47064420000000001</v>
      </c>
      <c r="F2583" t="s">
        <v>76</v>
      </c>
      <c r="G2583">
        <v>-168.52780000000001</v>
      </c>
      <c r="H2583">
        <v>83.70729</v>
      </c>
      <c r="I2583">
        <v>43.578609999999998</v>
      </c>
      <c r="J2583">
        <v>-372.4085</v>
      </c>
      <c r="K2583">
        <v>1.111156</v>
      </c>
      <c r="L2583">
        <v>15.828670000000001</v>
      </c>
      <c r="M2583">
        <v>0.99991129999999995</v>
      </c>
      <c r="N2583">
        <v>0</v>
      </c>
      <c r="O2583">
        <v>4.0410749999999999E-3</v>
      </c>
      <c r="P2583">
        <v>0.98501340000000004</v>
      </c>
      <c r="Q2583">
        <v>0.16920260000000001</v>
      </c>
      <c r="R2583">
        <v>3.3452580000000003E-2</v>
      </c>
      <c r="S2583">
        <v>2.8359380000000001</v>
      </c>
      <c r="T2583">
        <v>1.1471559999999901</v>
      </c>
      <c r="U2583">
        <v>0.38543699999999997</v>
      </c>
      <c r="V2583">
        <v>-2.9855119999999999E-2</v>
      </c>
      <c r="W2583">
        <v>0.18163840000000001</v>
      </c>
      <c r="X2583">
        <v>0.98291209999999996</v>
      </c>
      <c r="Y2583">
        <v>-0.12157900000000001</v>
      </c>
      <c r="Z2583">
        <v>-2.1995609999999999E-2</v>
      </c>
      <c r="AA2583">
        <v>0.99233800000000005</v>
      </c>
      <c r="AB2583">
        <v>34</v>
      </c>
      <c r="AC2583">
        <v>203.88069999999999</v>
      </c>
      <c r="AD2583">
        <v>82.596133999999907</v>
      </c>
      <c r="AE2583">
        <v>27.749939999999899</v>
      </c>
      <c r="AF2583">
        <v>-23.189124008908902</v>
      </c>
      <c r="AG2583">
        <v>82.596133999999907</v>
      </c>
      <c r="AH2583">
        <v>175.682270130359</v>
      </c>
      <c r="AI2583">
        <v>65.009672953990901</v>
      </c>
      <c r="AJ2583">
        <v>97.519270405034405</v>
      </c>
      <c r="AK2583">
        <v>195.50988942302399</v>
      </c>
      <c r="AL2583">
        <v>79.534793641208495</v>
      </c>
      <c r="AM2583">
        <v>91.739775725725806</v>
      </c>
      <c r="AN2583">
        <v>1.00000001643559</v>
      </c>
    </row>
    <row r="2584" spans="1:40" x14ac:dyDescent="0.3">
      <c r="A2584" t="str">
        <f>"20200111150855647"</f>
        <v>20200111150855647</v>
      </c>
      <c r="B2584" t="str">
        <f>"1578726535636702"</f>
        <v>1578726535636702</v>
      </c>
      <c r="C2584" t="s">
        <v>40</v>
      </c>
      <c r="D2584">
        <v>4.9855179999999999</v>
      </c>
      <c r="E2584">
        <v>0.4794446</v>
      </c>
      <c r="F2584" t="s">
        <v>76</v>
      </c>
      <c r="G2584">
        <v>-169.10849999999999</v>
      </c>
      <c r="H2584">
        <v>80.136469999999903</v>
      </c>
      <c r="I2584">
        <v>39.328060000000001</v>
      </c>
      <c r="J2584">
        <v>-372.20589999999999</v>
      </c>
      <c r="K2584">
        <v>1.111159</v>
      </c>
      <c r="L2584">
        <v>15.83005</v>
      </c>
      <c r="M2584">
        <v>0.99990869999999998</v>
      </c>
      <c r="N2584">
        <v>0</v>
      </c>
      <c r="O2584">
        <v>4.62116E-3</v>
      </c>
      <c r="P2584">
        <v>0.98495109999999997</v>
      </c>
      <c r="Q2584">
        <v>0.16947290000000001</v>
      </c>
      <c r="R2584">
        <v>3.3919900000000003E-2</v>
      </c>
      <c r="S2584">
        <v>2.8445130000000001</v>
      </c>
      <c r="T2584">
        <v>1.105699</v>
      </c>
      <c r="U2584">
        <v>0.32879639999999999</v>
      </c>
      <c r="V2584">
        <v>-2.9752850000000001E-2</v>
      </c>
      <c r="W2584">
        <v>0.18190709999999999</v>
      </c>
      <c r="X2584">
        <v>0.98286549999999995</v>
      </c>
      <c r="Y2584">
        <v>-0.103143899999999</v>
      </c>
      <c r="Z2584">
        <v>-1.755601E-2</v>
      </c>
      <c r="AA2584">
        <v>0.99451149999999999</v>
      </c>
      <c r="AB2584">
        <v>34</v>
      </c>
      <c r="AC2584">
        <v>203.09739999999999</v>
      </c>
      <c r="AD2584">
        <v>79.025310999999903</v>
      </c>
      <c r="AE2584">
        <v>23.498010000000001</v>
      </c>
      <c r="AF2584">
        <v>-19.626892443555001</v>
      </c>
      <c r="AG2584">
        <v>79.025310999999903</v>
      </c>
      <c r="AH2584">
        <v>176.79131661240999</v>
      </c>
      <c r="AI2584">
        <v>66.045938648889404</v>
      </c>
      <c r="AJ2584">
        <v>96.334881557890697</v>
      </c>
      <c r="AK2584">
        <v>194.641681854599</v>
      </c>
      <c r="AL2584">
        <v>79.519137353702604</v>
      </c>
      <c r="AM2584">
        <v>91.733901847206099</v>
      </c>
      <c r="AN2584">
        <v>1.00000000810189</v>
      </c>
    </row>
    <row r="2585" spans="1:40" x14ac:dyDescent="0.3">
      <c r="A2585" t="str">
        <f>"20200111150855658"</f>
        <v>20200111150855658</v>
      </c>
      <c r="B2585" t="str">
        <f>"1578726535656222"</f>
        <v>1578726535656222</v>
      </c>
      <c r="C2585" t="s">
        <v>40</v>
      </c>
      <c r="D2585">
        <v>5.5624289999999998</v>
      </c>
      <c r="E2585">
        <v>0.47285519999999998</v>
      </c>
      <c r="F2585" t="s">
        <v>44</v>
      </c>
      <c r="G2585">
        <v>-286.05009999999999</v>
      </c>
      <c r="H2585">
        <v>-0.05</v>
      </c>
      <c r="I2585">
        <v>23.490950000000002</v>
      </c>
      <c r="J2585">
        <v>-372.02269999999999</v>
      </c>
      <c r="K2585">
        <v>1.1111629999999999</v>
      </c>
      <c r="L2585">
        <v>15.83136</v>
      </c>
      <c r="M2585">
        <v>0.99990619999999997</v>
      </c>
      <c r="N2585">
        <v>0</v>
      </c>
      <c r="O2585">
        <v>5.1455099999999998E-3</v>
      </c>
      <c r="P2585">
        <v>0.98493379999999997</v>
      </c>
      <c r="Q2585">
        <v>0.16946629999999999</v>
      </c>
      <c r="R2585">
        <v>3.4449090000000002E-2</v>
      </c>
      <c r="S2585">
        <v>3.0435490000000001</v>
      </c>
      <c r="T2585">
        <v>-4.1019199999999902E-2</v>
      </c>
      <c r="U2585">
        <v>0.27062989999999998</v>
      </c>
      <c r="V2585">
        <v>-2.9766480000000001E-2</v>
      </c>
      <c r="W2585">
        <v>0.18189959999999999</v>
      </c>
      <c r="X2585">
        <v>0.98286649999999998</v>
      </c>
      <c r="Y2585">
        <v>-8.3435819999999994E-2</v>
      </c>
      <c r="Z2585">
        <v>4.9190780000000003E-4</v>
      </c>
      <c r="AA2585">
        <v>0.99651299999999998</v>
      </c>
      <c r="AB2585">
        <v>34</v>
      </c>
      <c r="AC2585">
        <v>85.9726</v>
      </c>
      <c r="AD2585">
        <v>-1.1611629999999999</v>
      </c>
      <c r="AE2585">
        <v>7.6595899999999997</v>
      </c>
      <c r="AF2585">
        <v>-7.2157741536650404</v>
      </c>
      <c r="AG2585">
        <v>-1.1611629999999999</v>
      </c>
      <c r="AH2585">
        <v>85.995313860342193</v>
      </c>
      <c r="AI2585">
        <v>90.770888052813206</v>
      </c>
      <c r="AJ2585">
        <v>94.796391535155806</v>
      </c>
      <c r="AK2585">
        <v>86.305328352819799</v>
      </c>
      <c r="AL2585">
        <v>79.519574619579501</v>
      </c>
      <c r="AM2585">
        <v>91.734693911369902</v>
      </c>
      <c r="AN2585">
        <v>1.00000003231699</v>
      </c>
    </row>
    <row r="2586" spans="1:40" x14ac:dyDescent="0.3">
      <c r="A2586" t="str">
        <f>"20200111150855677"</f>
        <v>20200111150855677</v>
      </c>
      <c r="B2586" t="str">
        <f>"1578726535665981"</f>
        <v>1578726535665981</v>
      </c>
      <c r="C2586" t="s">
        <v>40</v>
      </c>
      <c r="D2586">
        <v>4.9296119999999997</v>
      </c>
      <c r="E2586">
        <v>0.47343819999999998</v>
      </c>
      <c r="F2586" t="s">
        <v>43</v>
      </c>
      <c r="G2586">
        <v>-352.21530000000001</v>
      </c>
      <c r="H2586" s="1">
        <v>-3.6196290000000002E-6</v>
      </c>
      <c r="I2586">
        <v>17.937819999999999</v>
      </c>
      <c r="J2586">
        <v>-371.73950000000002</v>
      </c>
      <c r="K2586">
        <v>1.1111660000000001</v>
      </c>
      <c r="L2586">
        <v>15.83362</v>
      </c>
      <c r="M2586">
        <v>0.99990179999999995</v>
      </c>
      <c r="N2586">
        <v>0</v>
      </c>
      <c r="O2586">
        <v>5.9554819999999998E-3</v>
      </c>
      <c r="P2586">
        <v>0.98488279999999995</v>
      </c>
      <c r="Q2586">
        <v>0.16972499999999999</v>
      </c>
      <c r="R2586">
        <v>3.4637370000000001E-2</v>
      </c>
      <c r="S2586">
        <v>3.0640559999999999</v>
      </c>
      <c r="T2586">
        <v>-0.17188889999999901</v>
      </c>
      <c r="U2586">
        <v>0.32586670000000001</v>
      </c>
      <c r="V2586">
        <v>-2.9158139999999999E-2</v>
      </c>
      <c r="W2586">
        <v>0.18215700000000001</v>
      </c>
      <c r="X2586">
        <v>0.98283699999999996</v>
      </c>
      <c r="Y2586">
        <v>-9.9684869999999995E-2</v>
      </c>
      <c r="Z2586">
        <v>2.453158E-3</v>
      </c>
      <c r="AA2586">
        <v>0.99501600000000001</v>
      </c>
      <c r="AB2586">
        <v>34</v>
      </c>
      <c r="AC2586">
        <v>19.5242</v>
      </c>
      <c r="AD2586">
        <v>-1.111169619629</v>
      </c>
      <c r="AE2586">
        <v>2.1042000000000001</v>
      </c>
      <c r="AF2586">
        <v>-1.9815327597586201</v>
      </c>
      <c r="AG2586">
        <v>-1.111169619629</v>
      </c>
      <c r="AH2586">
        <v>19.474033604272201</v>
      </c>
      <c r="AI2586">
        <v>93.248961367768104</v>
      </c>
      <c r="AJ2586">
        <v>95.809995841885694</v>
      </c>
      <c r="AK2586">
        <v>19.6060999390982</v>
      </c>
      <c r="AL2586">
        <v>79.504575440434806</v>
      </c>
      <c r="AM2586">
        <v>91.699313804564198</v>
      </c>
      <c r="AN2586">
        <v>0.99999996917312906</v>
      </c>
    </row>
    <row r="2587" spans="1:40" x14ac:dyDescent="0.3">
      <c r="A2587" t="str">
        <f>"20200111150855692"</f>
        <v>20200111150855692</v>
      </c>
      <c r="B2587" t="str">
        <f>"1578726535686478"</f>
        <v>1578726535686478</v>
      </c>
      <c r="C2587" t="s">
        <v>40</v>
      </c>
      <c r="D2587">
        <v>4.9652440000000002</v>
      </c>
      <c r="E2587">
        <v>0.47459869999999998</v>
      </c>
      <c r="F2587" t="s">
        <v>43</v>
      </c>
      <c r="G2587">
        <v>-352.61680000000001</v>
      </c>
      <c r="H2587" s="1">
        <v>-3.4643430000000001E-6</v>
      </c>
      <c r="I2587">
        <v>17.842369999999999</v>
      </c>
      <c r="J2587">
        <v>-371.52890000000002</v>
      </c>
      <c r="K2587">
        <v>1.1111690000000001</v>
      </c>
      <c r="L2587">
        <v>15.83548</v>
      </c>
      <c r="M2587">
        <v>0.99989790000000001</v>
      </c>
      <c r="N2587">
        <v>0</v>
      </c>
      <c r="O2587">
        <v>6.5577860000000003E-3</v>
      </c>
      <c r="P2587">
        <v>0.98488730000000002</v>
      </c>
      <c r="Q2587">
        <v>0.16966609999999999</v>
      </c>
      <c r="R2587">
        <v>3.4790260000000003E-2</v>
      </c>
      <c r="S2587">
        <v>3.0654300000000001</v>
      </c>
      <c r="T2587">
        <v>-0.17812359999999999</v>
      </c>
      <c r="U2587">
        <v>0.32202150000000002</v>
      </c>
      <c r="V2587">
        <v>-2.871839E-2</v>
      </c>
      <c r="W2587">
        <v>0.18209790000000001</v>
      </c>
      <c r="X2587">
        <v>0.98286090000000004</v>
      </c>
      <c r="Y2587">
        <v>-9.7797640000000005E-2</v>
      </c>
      <c r="Z2587">
        <v>2.4515230000000002E-3</v>
      </c>
      <c r="AA2587">
        <v>0.99520330000000001</v>
      </c>
      <c r="AB2587">
        <v>34</v>
      </c>
      <c r="AC2587">
        <v>18.912099999999999</v>
      </c>
      <c r="AD2587">
        <v>-1.1111724643430001</v>
      </c>
      <c r="AE2587">
        <v>2.0068899999999998</v>
      </c>
      <c r="AF2587">
        <v>-1.8764099132031999</v>
      </c>
      <c r="AG2587">
        <v>-1.1111724643430001</v>
      </c>
      <c r="AH2587">
        <v>18.8604718526</v>
      </c>
      <c r="AI2587">
        <v>93.355181056803701</v>
      </c>
      <c r="AJ2587">
        <v>95.681604703197294</v>
      </c>
      <c r="AK2587">
        <v>18.986126959193101</v>
      </c>
      <c r="AL2587">
        <v>79.508019226552605</v>
      </c>
      <c r="AM2587">
        <v>91.673659527867599</v>
      </c>
      <c r="AN2587">
        <v>0.99999996992870499</v>
      </c>
    </row>
    <row r="2588" spans="1:40" x14ac:dyDescent="0.3">
      <c r="A2588" t="str">
        <f>"20200111150855711"</f>
        <v>20200111150855711</v>
      </c>
      <c r="B2588" t="str">
        <f>"1578726535705998"</f>
        <v>1578726535705998</v>
      </c>
      <c r="C2588" t="s">
        <v>40</v>
      </c>
      <c r="D2588">
        <v>4.9540369999999996</v>
      </c>
      <c r="E2588">
        <v>0.47520010000000001</v>
      </c>
      <c r="F2588" t="s">
        <v>43</v>
      </c>
      <c r="G2588">
        <v>-353.93369999999999</v>
      </c>
      <c r="H2588" s="1">
        <v>-2.9362890000000001E-6</v>
      </c>
      <c r="I2588">
        <v>17.634439999999898</v>
      </c>
      <c r="J2588">
        <v>-371.22609999999997</v>
      </c>
      <c r="K2588">
        <v>1.1111690000000001</v>
      </c>
      <c r="L2588">
        <v>15.83832</v>
      </c>
      <c r="M2588">
        <v>0.99989209999999995</v>
      </c>
      <c r="N2588">
        <v>0</v>
      </c>
      <c r="O2588">
        <v>7.4228209999999996E-3</v>
      </c>
      <c r="P2588">
        <v>0.98485049999999996</v>
      </c>
      <c r="Q2588">
        <v>0.16987289999999999</v>
      </c>
      <c r="R2588">
        <v>3.4830279999999998E-2</v>
      </c>
      <c r="S2588">
        <v>3.068298</v>
      </c>
      <c r="T2588">
        <v>-0.19376869999999999</v>
      </c>
      <c r="U2588">
        <v>0.31372070000000002</v>
      </c>
      <c r="V2588">
        <v>-2.7907439999999999E-2</v>
      </c>
      <c r="W2588">
        <v>0.18230469999999999</v>
      </c>
      <c r="X2588">
        <v>0.982846</v>
      </c>
      <c r="Y2588">
        <v>-9.4156879999999998E-2</v>
      </c>
      <c r="Z2588">
        <v>2.495358E-3</v>
      </c>
      <c r="AA2588">
        <v>0.9955543</v>
      </c>
      <c r="AB2588">
        <v>34</v>
      </c>
      <c r="AC2588">
        <v>17.292399999999901</v>
      </c>
      <c r="AD2588">
        <v>-1.111171936289</v>
      </c>
      <c r="AE2588">
        <v>1.7961199999999899</v>
      </c>
      <c r="AF2588">
        <v>-1.66091696557386</v>
      </c>
      <c r="AG2588">
        <v>-1.111171936289</v>
      </c>
      <c r="AH2588">
        <v>17.234852560474899</v>
      </c>
      <c r="AI2588">
        <v>93.671925123112601</v>
      </c>
      <c r="AJ2588">
        <v>95.504576528687707</v>
      </c>
      <c r="AK2588">
        <v>17.350316741196298</v>
      </c>
      <c r="AL2588">
        <v>79.495969538915404</v>
      </c>
      <c r="AM2588">
        <v>91.626449120171799</v>
      </c>
      <c r="AN2588">
        <v>1.0000000442827199</v>
      </c>
    </row>
    <row r="2589" spans="1:40" x14ac:dyDescent="0.3">
      <c r="A2589" t="str">
        <f>"20200111150855726"</f>
        <v>20200111150855726</v>
      </c>
      <c r="B2589" t="str">
        <f>"1578726535715758"</f>
        <v>1578726535715758</v>
      </c>
      <c r="C2589" t="s">
        <v>40</v>
      </c>
      <c r="D2589">
        <v>5.0200800000000001</v>
      </c>
      <c r="E2589">
        <v>0.47526760000000001</v>
      </c>
      <c r="F2589" t="s">
        <v>43</v>
      </c>
      <c r="G2589">
        <v>-353.2919</v>
      </c>
      <c r="H2589" s="1">
        <v>-3.2093989999999999E-6</v>
      </c>
      <c r="I2589">
        <v>17.646789999999999</v>
      </c>
      <c r="J2589">
        <v>-371</v>
      </c>
      <c r="K2589">
        <v>1.1111679999999999</v>
      </c>
      <c r="L2589">
        <v>15.84064</v>
      </c>
      <c r="M2589">
        <v>0.99988690000000002</v>
      </c>
      <c r="N2589">
        <v>0</v>
      </c>
      <c r="O2589">
        <v>8.0689850000000007E-3</v>
      </c>
      <c r="P2589">
        <v>0.98480679999999998</v>
      </c>
      <c r="Q2589">
        <v>0.1700565</v>
      </c>
      <c r="R2589">
        <v>3.5159070000000001E-2</v>
      </c>
      <c r="S2589">
        <v>3.067993</v>
      </c>
      <c r="T2589">
        <v>-0.19008729999999999</v>
      </c>
      <c r="U2589">
        <v>0.30938719999999997</v>
      </c>
      <c r="V2589">
        <v>-2.760046E-2</v>
      </c>
      <c r="W2589">
        <v>0.1824875</v>
      </c>
      <c r="X2589">
        <v>0.98282069999999999</v>
      </c>
      <c r="Y2589">
        <v>-9.2142890000000005E-2</v>
      </c>
      <c r="Z2589">
        <v>2.3463889999999999E-3</v>
      </c>
      <c r="AA2589">
        <v>0.99574300000000004</v>
      </c>
      <c r="AB2589">
        <v>34</v>
      </c>
      <c r="AC2589">
        <v>17.708100000000002</v>
      </c>
      <c r="AD2589">
        <v>-1.1111712093989901</v>
      </c>
      <c r="AE2589">
        <v>1.8061499999999999</v>
      </c>
      <c r="AF2589">
        <v>-1.6567370895134499</v>
      </c>
      <c r="AG2589">
        <v>-1.1111712093989901</v>
      </c>
      <c r="AH2589">
        <v>17.653304584640601</v>
      </c>
      <c r="AI2589">
        <v>93.585963432435193</v>
      </c>
      <c r="AJ2589">
        <v>95.361422461398107</v>
      </c>
      <c r="AK2589">
        <v>17.765659064567799</v>
      </c>
      <c r="AL2589">
        <v>79.485316715475705</v>
      </c>
      <c r="AM2589">
        <v>91.608609125173302</v>
      </c>
      <c r="AN2589">
        <v>1.0000000006984699</v>
      </c>
    </row>
    <row r="2590" spans="1:40" x14ac:dyDescent="0.3">
      <c r="A2590" t="str">
        <f>"20200111150855746"</f>
        <v>20200111150855746</v>
      </c>
      <c r="B2590" t="str">
        <f>"1578726535736253"</f>
        <v>1578726535736253</v>
      </c>
      <c r="C2590" t="s">
        <v>40</v>
      </c>
      <c r="D2590">
        <v>5.0035040000000004</v>
      </c>
      <c r="E2590">
        <v>0.47480070000000002</v>
      </c>
      <c r="F2590" t="s">
        <v>43</v>
      </c>
      <c r="G2590">
        <v>-353.53579999999999</v>
      </c>
      <c r="H2590" s="1">
        <v>-3.1124500000000002E-6</v>
      </c>
      <c r="I2590">
        <v>17.603439999999999</v>
      </c>
      <c r="J2590">
        <v>-370.70060000000001</v>
      </c>
      <c r="K2590">
        <v>1.1111690000000001</v>
      </c>
      <c r="L2590">
        <v>15.8439</v>
      </c>
      <c r="M2590">
        <v>0.99987959999999998</v>
      </c>
      <c r="N2590">
        <v>0</v>
      </c>
      <c r="O2590">
        <v>8.9245929999999998E-3</v>
      </c>
      <c r="P2590">
        <v>0.98486940000000001</v>
      </c>
      <c r="Q2590">
        <v>0.1696472</v>
      </c>
      <c r="R2590">
        <v>3.5382299999999998E-2</v>
      </c>
      <c r="S2590">
        <v>3.0689090000000001</v>
      </c>
      <c r="T2590">
        <v>-0.1952612</v>
      </c>
      <c r="U2590">
        <v>0.3097839</v>
      </c>
      <c r="V2590">
        <v>-2.6979699999999999E-2</v>
      </c>
      <c r="W2590">
        <v>0.18207960000000001</v>
      </c>
      <c r="X2590">
        <v>0.98291360000000005</v>
      </c>
      <c r="Y2590">
        <v>-9.1383119999999998E-2</v>
      </c>
      <c r="Z2590">
        <v>2.3310760000000001E-3</v>
      </c>
      <c r="AA2590">
        <v>0.99581310000000001</v>
      </c>
      <c r="AB2590">
        <v>34</v>
      </c>
      <c r="AC2590">
        <v>17.1648</v>
      </c>
      <c r="AD2590">
        <v>-1.11117211245</v>
      </c>
      <c r="AE2590">
        <v>1.7595399999999899</v>
      </c>
      <c r="AF2590">
        <v>-1.5996348579811199</v>
      </c>
      <c r="AG2590">
        <v>-1.11117211245</v>
      </c>
      <c r="AH2590">
        <v>17.108868410613599</v>
      </c>
      <c r="AI2590">
        <v>93.699886717876694</v>
      </c>
      <c r="AJ2590">
        <v>95.341478367747101</v>
      </c>
      <c r="AK2590">
        <v>17.219376104669099</v>
      </c>
      <c r="AL2590">
        <v>79.509086044577501</v>
      </c>
      <c r="AM2590">
        <v>91.572299838195605</v>
      </c>
      <c r="AN2590">
        <v>1.0000000150066</v>
      </c>
    </row>
    <row r="2591" spans="1:40" x14ac:dyDescent="0.3">
      <c r="A2591" t="str">
        <f>"20200111150855758"</f>
        <v>20200111150855758</v>
      </c>
      <c r="B2591" t="str">
        <f>"1578726535755774"</f>
        <v>1578726535755774</v>
      </c>
      <c r="C2591" t="s">
        <v>40</v>
      </c>
      <c r="D2591">
        <v>4.9923279999999997</v>
      </c>
      <c r="E2591">
        <v>0.47594449999999999</v>
      </c>
      <c r="F2591" t="s">
        <v>43</v>
      </c>
      <c r="G2591">
        <v>-353.63760000000002</v>
      </c>
      <c r="H2591" s="1">
        <v>-3.0711300000000001E-6</v>
      </c>
      <c r="I2591">
        <v>17.590260000000001</v>
      </c>
      <c r="J2591">
        <v>-370.50349999999997</v>
      </c>
      <c r="K2591">
        <v>1.1111660000000001</v>
      </c>
      <c r="L2591">
        <v>15.84619</v>
      </c>
      <c r="M2591">
        <v>0.99987459999999995</v>
      </c>
      <c r="N2591">
        <v>0</v>
      </c>
      <c r="O2591">
        <v>9.4877260000000001E-3</v>
      </c>
      <c r="P2591">
        <v>0.98490979999999995</v>
      </c>
      <c r="Q2591">
        <v>0.16943939999999999</v>
      </c>
      <c r="R2591">
        <v>3.5261000000000001E-2</v>
      </c>
      <c r="S2591">
        <v>3.0692750000000002</v>
      </c>
      <c r="T2591">
        <v>-0.19987669999999999</v>
      </c>
      <c r="U2591">
        <v>0.31414789999999998</v>
      </c>
      <c r="V2591">
        <v>-2.6302519999999999E-2</v>
      </c>
      <c r="W2591">
        <v>0.1818728</v>
      </c>
      <c r="X2591">
        <v>0.98297020000000002</v>
      </c>
      <c r="Y2591">
        <v>-9.2203460000000001E-2</v>
      </c>
      <c r="Z2591">
        <v>2.3756939999999998E-3</v>
      </c>
      <c r="AA2591">
        <v>0.99573739999999999</v>
      </c>
      <c r="AB2591">
        <v>34</v>
      </c>
      <c r="AC2591">
        <v>16.8658999999999</v>
      </c>
      <c r="AD2591">
        <v>-1.11116907113</v>
      </c>
      <c r="AE2591">
        <v>1.74407</v>
      </c>
      <c r="AF2591">
        <v>-1.57718621427221</v>
      </c>
      <c r="AG2591">
        <v>-1.11116907113</v>
      </c>
      <c r="AH2591">
        <v>16.8094994025425</v>
      </c>
      <c r="AI2591">
        <v>93.765466766037605</v>
      </c>
      <c r="AJ2591">
        <v>95.360202788193803</v>
      </c>
      <c r="AK2591">
        <v>16.9198547045536</v>
      </c>
      <c r="AL2591">
        <v>79.521135597459207</v>
      </c>
      <c r="AM2591">
        <v>91.532766572095895</v>
      </c>
      <c r="AN2591">
        <v>0.99999997601311397</v>
      </c>
    </row>
    <row r="2592" spans="1:40" x14ac:dyDescent="0.3">
      <c r="A2592" t="str">
        <f>"20200111150855771"</f>
        <v>20200111150855771</v>
      </c>
      <c r="B2592" t="str">
        <f>"1578726535766510"</f>
        <v>1578726535766510</v>
      </c>
      <c r="C2592" t="s">
        <v>40</v>
      </c>
      <c r="D2592">
        <v>5.0203800000000003</v>
      </c>
      <c r="E2592">
        <v>0.47594449999999999</v>
      </c>
      <c r="F2592" t="s">
        <v>43</v>
      </c>
      <c r="G2592">
        <v>-353.81259999999997</v>
      </c>
      <c r="H2592" s="1">
        <v>-3.011083E-6</v>
      </c>
      <c r="I2592">
        <v>17.505489999999899</v>
      </c>
      <c r="J2592">
        <v>-370.31659999999999</v>
      </c>
      <c r="K2592">
        <v>1.1111679999999999</v>
      </c>
      <c r="L2592">
        <v>15.848509999999999</v>
      </c>
      <c r="M2592">
        <v>0.99986929999999996</v>
      </c>
      <c r="N2592">
        <v>0</v>
      </c>
      <c r="O2592">
        <v>1.0022069999999999E-2</v>
      </c>
      <c r="P2592">
        <v>0.98502679999999998</v>
      </c>
      <c r="Q2592">
        <v>0.1687526</v>
      </c>
      <c r="R2592">
        <v>3.5283290000000002E-2</v>
      </c>
      <c r="S2592">
        <v>3.0702210000000001</v>
      </c>
      <c r="T2592">
        <v>-0.20439489999999999</v>
      </c>
      <c r="U2592">
        <v>0.30523679999999997</v>
      </c>
      <c r="V2592">
        <v>-2.5795869999999999E-2</v>
      </c>
      <c r="W2592">
        <v>0.18118780000000001</v>
      </c>
      <c r="X2592">
        <v>0.98311009999999999</v>
      </c>
      <c r="Y2592">
        <v>-8.8779559999999993E-2</v>
      </c>
      <c r="Z2592">
        <v>2.2798800000000002E-3</v>
      </c>
      <c r="AA2592">
        <v>0.99604870000000001</v>
      </c>
      <c r="AB2592">
        <v>34</v>
      </c>
      <c r="AC2592">
        <v>16.504000000000001</v>
      </c>
      <c r="AD2592">
        <v>-1.111171011083</v>
      </c>
      <c r="AE2592">
        <v>1.6569799999999899</v>
      </c>
      <c r="AF2592">
        <v>-1.4848157479548001</v>
      </c>
      <c r="AG2592">
        <v>-1.111171011083</v>
      </c>
      <c r="AH2592">
        <v>16.4459734592266</v>
      </c>
      <c r="AI2592">
        <v>93.849699833097304</v>
      </c>
      <c r="AJ2592">
        <v>95.1589312546851</v>
      </c>
      <c r="AK2592">
        <v>16.5502091177976</v>
      </c>
      <c r="AL2592">
        <v>79.561046112669104</v>
      </c>
      <c r="AM2592">
        <v>91.503041649511502</v>
      </c>
      <c r="AN2592">
        <v>0.99999995724995205</v>
      </c>
    </row>
    <row r="2593" spans="1:40" x14ac:dyDescent="0.3">
      <c r="A2593" t="str">
        <f>"20200111150855788"</f>
        <v>20200111150855788</v>
      </c>
      <c r="B2593" t="str">
        <f>"1578726535786031"</f>
        <v>1578726535786031</v>
      </c>
      <c r="C2593" t="s">
        <v>40</v>
      </c>
      <c r="D2593">
        <v>5.1088800000000001</v>
      </c>
      <c r="E2593">
        <v>0.50659750000000003</v>
      </c>
      <c r="F2593" t="s">
        <v>43</v>
      </c>
      <c r="G2593">
        <v>-353.78230000000002</v>
      </c>
      <c r="H2593" s="1">
        <v>-3.0254919999999999E-6</v>
      </c>
      <c r="I2593">
        <v>17.497450000000001</v>
      </c>
      <c r="J2593">
        <v>-370.0489</v>
      </c>
      <c r="K2593">
        <v>1.1111660000000001</v>
      </c>
      <c r="L2593">
        <v>15.85196</v>
      </c>
      <c r="M2593">
        <v>0.99986140000000001</v>
      </c>
      <c r="N2593">
        <v>0</v>
      </c>
      <c r="O2593">
        <v>1.078695E-2</v>
      </c>
      <c r="P2593">
        <v>0.98510739999999997</v>
      </c>
      <c r="Q2593">
        <v>0.16836760000000001</v>
      </c>
      <c r="R2593">
        <v>3.4870850000000002E-2</v>
      </c>
      <c r="S2593">
        <v>3.0700069999999999</v>
      </c>
      <c r="T2593">
        <v>-0.206317</v>
      </c>
      <c r="U2593">
        <v>0.30618289999999998</v>
      </c>
      <c r="V2593">
        <v>-2.462847E-2</v>
      </c>
      <c r="W2593">
        <v>0.1808051</v>
      </c>
      <c r="X2593">
        <v>0.98321060000000005</v>
      </c>
      <c r="Y2593">
        <v>-8.8327790000000003E-2</v>
      </c>
      <c r="Z2593">
        <v>2.2350629999999998E-3</v>
      </c>
      <c r="AA2593">
        <v>0.996089</v>
      </c>
      <c r="AB2593">
        <v>34</v>
      </c>
      <c r="AC2593">
        <v>16.266599999999901</v>
      </c>
      <c r="AD2593">
        <v>-1.1111690254919999</v>
      </c>
      <c r="AE2593">
        <v>1.6454899999999999</v>
      </c>
      <c r="AF2593">
        <v>-1.4631548673454899</v>
      </c>
      <c r="AG2593">
        <v>-1.1111690254919999</v>
      </c>
      <c r="AH2593">
        <v>16.208537930546601</v>
      </c>
      <c r="AI2593">
        <v>93.905917853399401</v>
      </c>
      <c r="AJ2593">
        <v>95.158145332642405</v>
      </c>
      <c r="AK2593">
        <v>16.312333389647801</v>
      </c>
      <c r="AL2593">
        <v>79.583342577095394</v>
      </c>
      <c r="AM2593">
        <v>91.434903532388802</v>
      </c>
      <c r="AN2593">
        <v>1.00000006483645</v>
      </c>
    </row>
    <row r="2594" spans="1:40" x14ac:dyDescent="0.3">
      <c r="A2594" t="str">
        <f>"20200111150855824"</f>
        <v>20200111150855824</v>
      </c>
      <c r="B2594" t="str">
        <f>"1578726535816286"</f>
        <v>1578726535816286</v>
      </c>
      <c r="C2594" t="s">
        <v>40</v>
      </c>
      <c r="D2594">
        <v>4.9709919999999999</v>
      </c>
      <c r="E2594">
        <v>0.50829150000000001</v>
      </c>
      <c r="F2594" t="s">
        <v>43</v>
      </c>
      <c r="G2594">
        <v>-330.28480000000002</v>
      </c>
      <c r="H2594" s="1">
        <v>-4.6806340000000002E-6</v>
      </c>
      <c r="I2594">
        <v>16.625329999999899</v>
      </c>
      <c r="J2594">
        <v>-369.50850000000003</v>
      </c>
      <c r="K2594">
        <v>1.111164</v>
      </c>
      <c r="L2594">
        <v>15.859500000000001</v>
      </c>
      <c r="M2594">
        <v>0.9998435</v>
      </c>
      <c r="N2594">
        <v>0</v>
      </c>
      <c r="O2594">
        <v>1.2331740000000001E-2</v>
      </c>
      <c r="P2594">
        <v>0.98517399999999999</v>
      </c>
      <c r="Q2594">
        <v>0.16773879999999999</v>
      </c>
      <c r="R2594">
        <v>3.5998589999999997E-2</v>
      </c>
      <c r="S2594">
        <v>3.0578919999999998</v>
      </c>
      <c r="T2594">
        <v>-8.5449810000000001E-2</v>
      </c>
      <c r="U2594">
        <v>5.9478759999999999E-2</v>
      </c>
      <c r="V2594">
        <v>-2.4231389999999998E-2</v>
      </c>
      <c r="W2594">
        <v>0.18017659999999999</v>
      </c>
      <c r="X2594">
        <v>0.98333570000000003</v>
      </c>
      <c r="Y2594">
        <v>-7.1173819999999898E-3</v>
      </c>
      <c r="Z2594">
        <v>-2.4509420000000002E-4</v>
      </c>
      <c r="AA2594">
        <v>0.99997469999999999</v>
      </c>
      <c r="AB2594">
        <v>34</v>
      </c>
      <c r="AC2594">
        <v>39.223700000000001</v>
      </c>
      <c r="AD2594">
        <v>-1.111168680634</v>
      </c>
      <c r="AE2594">
        <v>0.76582999999999701</v>
      </c>
      <c r="AF2594">
        <v>-0.28181029276741598</v>
      </c>
      <c r="AG2594">
        <v>-1.111168680634</v>
      </c>
      <c r="AH2594">
        <v>39.198715500744903</v>
      </c>
      <c r="AI2594">
        <v>91.623690632397796</v>
      </c>
      <c r="AJ2594">
        <v>90.411907941874503</v>
      </c>
      <c r="AK2594">
        <v>39.215474111455897</v>
      </c>
      <c r="AL2594">
        <v>79.619952876909096</v>
      </c>
      <c r="AM2594">
        <v>91.411598769348501</v>
      </c>
      <c r="AN2594">
        <v>0.999999933171688</v>
      </c>
    </row>
    <row r="2595" spans="1:40" x14ac:dyDescent="0.3">
      <c r="A2595" t="str">
        <f>"20200111150855836"</f>
        <v>20200111150855836</v>
      </c>
      <c r="B2595" t="str">
        <f>"1578726535826046"</f>
        <v>1578726535826046</v>
      </c>
      <c r="C2595" t="s">
        <v>40</v>
      </c>
      <c r="D2595">
        <v>5.1315470000000003</v>
      </c>
      <c r="E2595">
        <v>0.48788130000000002</v>
      </c>
      <c r="F2595" t="s">
        <v>43</v>
      </c>
      <c r="G2595">
        <v>-344.51080000000002</v>
      </c>
      <c r="H2595" s="1">
        <v>-2.9323779999999999E-6</v>
      </c>
      <c r="I2595">
        <v>16.260679999999901</v>
      </c>
      <c r="J2595">
        <v>-369.30840000000001</v>
      </c>
      <c r="K2595">
        <v>1.1111629999999999</v>
      </c>
      <c r="L2595">
        <v>15.862550000000001</v>
      </c>
      <c r="M2595">
        <v>0.99983630000000001</v>
      </c>
      <c r="N2595">
        <v>0</v>
      </c>
      <c r="O2595">
        <v>1.2903629999999999E-2</v>
      </c>
      <c r="P2595">
        <v>0.98521420000000004</v>
      </c>
      <c r="Q2595">
        <v>0.1673972</v>
      </c>
      <c r="R2595">
        <v>3.6486070000000002E-2</v>
      </c>
      <c r="S2595">
        <v>3.0665589999999998</v>
      </c>
      <c r="T2595">
        <v>-0.13631070000000001</v>
      </c>
      <c r="U2595">
        <v>4.9224850000000001E-2</v>
      </c>
      <c r="V2595">
        <v>-2.4153689999999998E-2</v>
      </c>
      <c r="W2595">
        <v>0.17983469999999999</v>
      </c>
      <c r="X2595">
        <v>0.9834003</v>
      </c>
      <c r="Y2595">
        <v>-3.155363E-3</v>
      </c>
      <c r="Z2595">
        <v>-5.0318499999999996E-4</v>
      </c>
      <c r="AA2595">
        <v>0.99999490000000002</v>
      </c>
      <c r="AB2595">
        <v>34</v>
      </c>
      <c r="AC2595">
        <v>24.7975999999999</v>
      </c>
      <c r="AD2595">
        <v>-1.1111659323780001</v>
      </c>
      <c r="AE2595">
        <v>0.39812999999999599</v>
      </c>
      <c r="AF2595">
        <v>-7.7935607098236395E-2</v>
      </c>
      <c r="AG2595">
        <v>-1.1111659323780001</v>
      </c>
      <c r="AH2595">
        <v>24.750988574432299</v>
      </c>
      <c r="AI2595">
        <v>92.570486564000007</v>
      </c>
      <c r="AJ2595">
        <v>90.180411646560898</v>
      </c>
      <c r="AK2595">
        <v>24.776040827779699</v>
      </c>
      <c r="AL2595">
        <v>79.6398686680797</v>
      </c>
      <c r="AM2595">
        <v>91.406981787043406</v>
      </c>
      <c r="AN2595">
        <v>1.0000000350523901</v>
      </c>
    </row>
    <row r="2596" spans="1:40" x14ac:dyDescent="0.3">
      <c r="A2596" t="str">
        <f>"20200111150855848"</f>
        <v>20200111150855848</v>
      </c>
      <c r="B2596" t="str">
        <f>"1578726535846541"</f>
        <v>1578726535846541</v>
      </c>
      <c r="C2596" t="s">
        <v>40</v>
      </c>
      <c r="D2596">
        <v>4.6926829999999997</v>
      </c>
      <c r="E2596">
        <v>0.49338359999999898</v>
      </c>
      <c r="F2596" t="s">
        <v>76</v>
      </c>
      <c r="G2596">
        <v>-168.51910000000001</v>
      </c>
      <c r="H2596">
        <v>57.703299999999999</v>
      </c>
      <c r="I2596">
        <v>29.87351</v>
      </c>
      <c r="J2596">
        <v>-369.13549999999998</v>
      </c>
      <c r="K2596">
        <v>1.1111629999999999</v>
      </c>
      <c r="L2596">
        <v>15.865259999999999</v>
      </c>
      <c r="M2596">
        <v>0.99982979999999999</v>
      </c>
      <c r="N2596">
        <v>0</v>
      </c>
      <c r="O2596">
        <v>1.3398149999999999E-2</v>
      </c>
      <c r="P2596">
        <v>0.98524140000000004</v>
      </c>
      <c r="Q2596">
        <v>0.1671811</v>
      </c>
      <c r="R2596">
        <v>3.673945E-2</v>
      </c>
      <c r="S2596">
        <v>2.8987120000000002</v>
      </c>
      <c r="T2596">
        <v>0.81699719999999998</v>
      </c>
      <c r="U2596">
        <v>0.20227049999999999</v>
      </c>
      <c r="V2596">
        <v>-2.3918780000000001E-2</v>
      </c>
      <c r="W2596">
        <v>0.1796189</v>
      </c>
      <c r="X2596">
        <v>0.98344549999999997</v>
      </c>
      <c r="Y2596">
        <v>-5.46385E-2</v>
      </c>
      <c r="Z2596">
        <v>-3.8444629999999998E-3</v>
      </c>
      <c r="AA2596">
        <v>0.99849880000000002</v>
      </c>
      <c r="AB2596">
        <v>34</v>
      </c>
      <c r="AC2596">
        <v>200.6164</v>
      </c>
      <c r="AD2596">
        <v>56.592137000000001</v>
      </c>
      <c r="AE2596">
        <v>14.008249999999901</v>
      </c>
      <c r="AF2596">
        <v>-10.4883236603365</v>
      </c>
      <c r="AG2596">
        <v>56.592137000000001</v>
      </c>
      <c r="AH2596">
        <v>186.05269089213201</v>
      </c>
      <c r="AI2596">
        <v>73.106964159540297</v>
      </c>
      <c r="AJ2596">
        <v>93.226512423959903</v>
      </c>
      <c r="AK2596">
        <v>194.75183873749199</v>
      </c>
      <c r="AL2596">
        <v>79.652437967082506</v>
      </c>
      <c r="AM2596">
        <v>91.393239402427298</v>
      </c>
      <c r="AN2596">
        <v>1.00000005437207</v>
      </c>
    </row>
    <row r="2597" spans="1:40" x14ac:dyDescent="0.3">
      <c r="A2597" t="str">
        <f>"20200111150855868"</f>
        <v>20200111150855868</v>
      </c>
      <c r="B2597" t="str">
        <f>"1578726535856304"</f>
        <v>1578726535856304</v>
      </c>
      <c r="C2597" t="s">
        <v>40</v>
      </c>
      <c r="D2597">
        <v>4.6477729999999999</v>
      </c>
      <c r="E2597">
        <v>0.51227639999999997</v>
      </c>
      <c r="F2597" t="s">
        <v>76</v>
      </c>
      <c r="G2597">
        <v>-169.1009</v>
      </c>
      <c r="H2597">
        <v>57.423380000000002</v>
      </c>
      <c r="I2597">
        <v>26.839269999999999</v>
      </c>
      <c r="J2597">
        <v>-368.84519999999998</v>
      </c>
      <c r="K2597">
        <v>1.111159</v>
      </c>
      <c r="L2597">
        <v>15.87</v>
      </c>
      <c r="M2597">
        <v>0.9998184</v>
      </c>
      <c r="N2597">
        <v>0</v>
      </c>
      <c r="O2597">
        <v>1.422782E-2</v>
      </c>
      <c r="P2597">
        <v>0.98512999999999995</v>
      </c>
      <c r="Q2597">
        <v>0.16762659999999999</v>
      </c>
      <c r="R2597">
        <v>3.7686089999999998E-2</v>
      </c>
      <c r="S2597">
        <v>2.9004210000000001</v>
      </c>
      <c r="T2597">
        <v>0.81650449999999997</v>
      </c>
      <c r="U2597">
        <v>0.1591187</v>
      </c>
      <c r="V2597">
        <v>-2.4049979999999999E-2</v>
      </c>
      <c r="W2597">
        <v>0.18006220000000001</v>
      </c>
      <c r="X2597">
        <v>0.98336120000000005</v>
      </c>
      <c r="Y2597">
        <v>-3.9582609999999997E-2</v>
      </c>
      <c r="Z2597">
        <v>-1.5354030000000001E-3</v>
      </c>
      <c r="AA2597">
        <v>0.99921510000000002</v>
      </c>
      <c r="AB2597">
        <v>34</v>
      </c>
      <c r="AC2597">
        <v>199.74430000000001</v>
      </c>
      <c r="AD2597">
        <v>56.312220999999901</v>
      </c>
      <c r="AE2597">
        <v>10.96927</v>
      </c>
      <c r="AF2597">
        <v>-7.5293718412974204</v>
      </c>
      <c r="AG2597">
        <v>56.312220999999901</v>
      </c>
      <c r="AH2597">
        <v>185.20441753410799</v>
      </c>
      <c r="AI2597">
        <v>73.101037039510501</v>
      </c>
      <c r="AJ2597">
        <v>92.328042709425304</v>
      </c>
      <c r="AK2597">
        <v>193.72256953805299</v>
      </c>
      <c r="AL2597">
        <v>79.626617447497196</v>
      </c>
      <c r="AM2597">
        <v>91.400998647810596</v>
      </c>
      <c r="AN2597">
        <v>1.0000000235361399</v>
      </c>
    </row>
    <row r="2598" spans="1:40" x14ac:dyDescent="0.3">
      <c r="A2598" t="str">
        <f>"20200111150855879"</f>
        <v>20200111150855879</v>
      </c>
      <c r="B2598" t="str">
        <f>"1578726535875822"</f>
        <v>1578726535875822</v>
      </c>
      <c r="C2598" t="s">
        <v>40</v>
      </c>
      <c r="D2598">
        <v>4.7278190000000002</v>
      </c>
      <c r="E2598">
        <v>0.51227639999999997</v>
      </c>
      <c r="F2598" t="s">
        <v>43</v>
      </c>
      <c r="G2598">
        <v>-335.12360000000001</v>
      </c>
      <c r="H2598" s="1">
        <v>-2.6941580000000001E-6</v>
      </c>
      <c r="I2598">
        <v>16.121679999999898</v>
      </c>
      <c r="J2598">
        <v>-368.66500000000002</v>
      </c>
      <c r="K2598">
        <v>1.1111580000000001</v>
      </c>
      <c r="L2598">
        <v>15.87302</v>
      </c>
      <c r="M2598">
        <v>0.99981089999999995</v>
      </c>
      <c r="N2598">
        <v>0</v>
      </c>
      <c r="O2598">
        <v>1.4742969999999999E-2</v>
      </c>
      <c r="P2598">
        <v>0.98505220000000004</v>
      </c>
      <c r="Q2598">
        <v>0.16792979999999999</v>
      </c>
      <c r="R2598">
        <v>3.8364099999999998E-2</v>
      </c>
      <c r="S2598">
        <v>3.0615839999999999</v>
      </c>
      <c r="T2598">
        <v>-0.10088220000000001</v>
      </c>
      <c r="U2598">
        <v>2.285767E-2</v>
      </c>
      <c r="V2598">
        <v>-2.4221650000000001E-2</v>
      </c>
      <c r="W2598">
        <v>0.1803633</v>
      </c>
      <c r="X2598">
        <v>0.9833018</v>
      </c>
      <c r="Y2598">
        <v>7.266855E-3</v>
      </c>
      <c r="Z2598">
        <v>-6.0536640000000001E-4</v>
      </c>
      <c r="AA2598">
        <v>0.99997340000000001</v>
      </c>
      <c r="AB2598">
        <v>34</v>
      </c>
      <c r="AC2598">
        <v>33.541400000000003</v>
      </c>
      <c r="AD2598">
        <v>-1.1111606941579999</v>
      </c>
      <c r="AE2598">
        <v>0.24865999999999699</v>
      </c>
      <c r="AF2598">
        <v>0.245637084653196</v>
      </c>
      <c r="AG2598">
        <v>-1.1111606941579999</v>
      </c>
      <c r="AH2598">
        <v>33.504652078379102</v>
      </c>
      <c r="AI2598">
        <v>91.899431255531994</v>
      </c>
      <c r="AJ2598">
        <v>89.5799474037332</v>
      </c>
      <c r="AK2598">
        <v>33.523972416150599</v>
      </c>
      <c r="AL2598">
        <v>79.609078488909304</v>
      </c>
      <c r="AM2598">
        <v>91.411080222037796</v>
      </c>
      <c r="AN2598">
        <v>1.00000001909942</v>
      </c>
    </row>
    <row r="2599" spans="1:40" x14ac:dyDescent="0.3">
      <c r="A2599" t="str">
        <f>"20200111150855893"</f>
        <v>20200111150855893</v>
      </c>
      <c r="B2599" t="str">
        <f>"1578726535886557"</f>
        <v>1578726535886557</v>
      </c>
      <c r="C2599" t="s">
        <v>40</v>
      </c>
      <c r="D2599">
        <v>4.7275510000000001</v>
      </c>
      <c r="E2599">
        <v>0.51998029999999995</v>
      </c>
      <c r="F2599" t="s">
        <v>43</v>
      </c>
      <c r="G2599">
        <v>-334.62880000000001</v>
      </c>
      <c r="H2599" s="1">
        <v>-2.9011789999999999E-6</v>
      </c>
      <c r="I2599">
        <v>16.151139999999899</v>
      </c>
      <c r="J2599">
        <v>-368.46129999999999</v>
      </c>
      <c r="K2599">
        <v>1.1111599999999999</v>
      </c>
      <c r="L2599">
        <v>15.876620000000001</v>
      </c>
      <c r="M2599">
        <v>0.99980219999999997</v>
      </c>
      <c r="N2599">
        <v>0</v>
      </c>
      <c r="O2599">
        <v>1.532534E-2</v>
      </c>
      <c r="P2599">
        <v>0.9850101</v>
      </c>
      <c r="Q2599">
        <v>0.16799749999999999</v>
      </c>
      <c r="R2599">
        <v>3.9142129999999997E-2</v>
      </c>
      <c r="S2599">
        <v>3.0616150000000002</v>
      </c>
      <c r="T2599">
        <v>-9.9950910000000004E-2</v>
      </c>
      <c r="U2599">
        <v>2.502441E-2</v>
      </c>
      <c r="V2599">
        <v>-2.4426710000000001E-2</v>
      </c>
      <c r="W2599">
        <v>0.1804299</v>
      </c>
      <c r="X2599">
        <v>0.98328450000000001</v>
      </c>
      <c r="Y2599">
        <v>7.1417269999999996E-3</v>
      </c>
      <c r="Z2599">
        <v>-6.1673749999999997E-4</v>
      </c>
      <c r="AA2599">
        <v>0.99997429999999998</v>
      </c>
      <c r="AB2599">
        <v>34</v>
      </c>
      <c r="AC2599">
        <v>33.832499999999897</v>
      </c>
      <c r="AD2599">
        <v>-1.1111629011790001</v>
      </c>
      <c r="AE2599">
        <v>0.27451999999999699</v>
      </c>
      <c r="AF2599">
        <v>0.243785529029548</v>
      </c>
      <c r="AG2599">
        <v>-1.1111629011790001</v>
      </c>
      <c r="AH2599">
        <v>33.796281001670401</v>
      </c>
      <c r="AI2599">
        <v>91.883058221526696</v>
      </c>
      <c r="AJ2599">
        <v>89.586710748928198</v>
      </c>
      <c r="AK2599">
        <v>33.815421392036299</v>
      </c>
      <c r="AL2599">
        <v>79.605198851218404</v>
      </c>
      <c r="AM2599">
        <v>91.423046533761195</v>
      </c>
      <c r="AN2599">
        <v>1.0000000104578399</v>
      </c>
    </row>
    <row r="2600" spans="1:40" x14ac:dyDescent="0.3">
      <c r="A2600" t="str">
        <f>"20200111150855911"</f>
        <v>20200111150855911</v>
      </c>
      <c r="B2600" t="str">
        <f>"1578726535906077"</f>
        <v>1578726535906077</v>
      </c>
      <c r="C2600" t="s">
        <v>40</v>
      </c>
      <c r="D2600">
        <v>6.0046200000000001</v>
      </c>
      <c r="E2600">
        <v>0.52000900000000005</v>
      </c>
      <c r="F2600" t="s">
        <v>69</v>
      </c>
      <c r="G2600">
        <v>-274.99380000000002</v>
      </c>
      <c r="H2600">
        <v>11.62753</v>
      </c>
      <c r="I2600">
        <v>14.63829</v>
      </c>
      <c r="J2600">
        <v>-368.1848</v>
      </c>
      <c r="K2600">
        <v>1.111159</v>
      </c>
      <c r="L2600">
        <v>15.88165</v>
      </c>
      <c r="M2600">
        <v>0.99978979999999995</v>
      </c>
      <c r="N2600">
        <v>0</v>
      </c>
      <c r="O2600">
        <v>1.611609E-2</v>
      </c>
      <c r="P2600">
        <v>0.98493439999999999</v>
      </c>
      <c r="Q2600">
        <v>0.1681021</v>
      </c>
      <c r="R2600">
        <v>4.0573369999999997E-2</v>
      </c>
      <c r="S2600">
        <v>2.9898380000000002</v>
      </c>
      <c r="T2600">
        <v>0.33639790000000003</v>
      </c>
      <c r="U2600">
        <v>-3.9611819999999999E-2</v>
      </c>
      <c r="V2600">
        <v>-2.507935E-2</v>
      </c>
      <c r="W2600">
        <v>0.18053169999999999</v>
      </c>
      <c r="X2600">
        <v>0.98324940000000005</v>
      </c>
      <c r="Y2600">
        <v>2.907678E-2</v>
      </c>
      <c r="Z2600">
        <v>3.438188E-3</v>
      </c>
      <c r="AA2600">
        <v>0.99957130000000005</v>
      </c>
      <c r="AB2600">
        <v>34</v>
      </c>
      <c r="AC2600">
        <v>93.190999999999903</v>
      </c>
      <c r="AD2600">
        <v>10.516370999999999</v>
      </c>
      <c r="AE2600">
        <v>-1.24336</v>
      </c>
      <c r="AF2600">
        <v>2.7106805019047</v>
      </c>
      <c r="AG2600">
        <v>10.516370999999999</v>
      </c>
      <c r="AH2600">
        <v>91.987641971562596</v>
      </c>
      <c r="AI2600">
        <v>83.480853275703097</v>
      </c>
      <c r="AJ2600">
        <v>88.312103479232803</v>
      </c>
      <c r="AK2600">
        <v>92.626497954318793</v>
      </c>
      <c r="AL2600">
        <v>79.599268918702094</v>
      </c>
      <c r="AM2600">
        <v>91.461103776220995</v>
      </c>
      <c r="AN2600">
        <v>1.0000000255508299</v>
      </c>
    </row>
    <row r="2601" spans="1:40" x14ac:dyDescent="0.3">
      <c r="A2601" t="str">
        <f>"20200111150855923"</f>
        <v>20200111150855923</v>
      </c>
      <c r="B2601" t="str">
        <f>"1578726535915837"</f>
        <v>1578726535915837</v>
      </c>
      <c r="C2601" t="s">
        <v>40</v>
      </c>
      <c r="D2601">
        <v>4.7219100000000003</v>
      </c>
      <c r="E2601">
        <v>0.51817760000000002</v>
      </c>
      <c r="F2601" t="s">
        <v>69</v>
      </c>
      <c r="G2601">
        <v>-273.40989999999999</v>
      </c>
      <c r="H2601">
        <v>9.1723060000000007</v>
      </c>
      <c r="I2601">
        <v>14.79548</v>
      </c>
      <c r="J2601">
        <v>-367.9923</v>
      </c>
      <c r="K2601">
        <v>1.111159</v>
      </c>
      <c r="L2601">
        <v>15.8852799999999</v>
      </c>
      <c r="M2601">
        <v>0.99978080000000003</v>
      </c>
      <c r="N2601">
        <v>0</v>
      </c>
      <c r="O2601">
        <v>1.6666630000000002E-2</v>
      </c>
      <c r="P2601">
        <v>0.98490599999999995</v>
      </c>
      <c r="Q2601">
        <v>0.16815739999999901</v>
      </c>
      <c r="R2601">
        <v>4.1032270000000003E-2</v>
      </c>
      <c r="S2601">
        <v>3.0036619999999998</v>
      </c>
      <c r="T2601">
        <v>0.2554787</v>
      </c>
      <c r="U2601">
        <v>-3.4423830000000002E-2</v>
      </c>
      <c r="V2601">
        <v>-2.4996109999999998E-2</v>
      </c>
      <c r="W2601">
        <v>0.18058650000000001</v>
      </c>
      <c r="X2601">
        <v>0.98324140000000004</v>
      </c>
      <c r="Y2601">
        <v>2.7964019999999999E-2</v>
      </c>
      <c r="Z2601">
        <v>2.6021590000000002E-3</v>
      </c>
      <c r="AA2601">
        <v>0.99960550000000004</v>
      </c>
      <c r="AB2601">
        <v>34</v>
      </c>
      <c r="AC2601">
        <v>94.582400000000007</v>
      </c>
      <c r="AD2601">
        <v>8.0611469999999894</v>
      </c>
      <c r="AE2601">
        <v>-1.0897999999999901</v>
      </c>
      <c r="AF2601">
        <v>2.6469204947707801</v>
      </c>
      <c r="AG2601">
        <v>8.0611469999999894</v>
      </c>
      <c r="AH2601">
        <v>93.869324000353501</v>
      </c>
      <c r="AI2601">
        <v>85.093635266293603</v>
      </c>
      <c r="AJ2601">
        <v>88.384805702968094</v>
      </c>
      <c r="AK2601">
        <v>94.251993439632898</v>
      </c>
      <c r="AL2601">
        <v>79.596076058766101</v>
      </c>
      <c r="AM2601">
        <v>91.456268212624096</v>
      </c>
      <c r="AN2601">
        <v>0.99999997008566999</v>
      </c>
    </row>
    <row r="2602" spans="1:40" x14ac:dyDescent="0.3">
      <c r="A2602" t="str">
        <f>"20200111150855935"</f>
        <v>20200111150855935</v>
      </c>
      <c r="B2602" t="str">
        <f>"1578726535926573"</f>
        <v>1578726535926573</v>
      </c>
      <c r="C2602" t="s">
        <v>40</v>
      </c>
      <c r="D2602">
        <v>5.7353300000000003</v>
      </c>
      <c r="E2602">
        <v>0.51870340000000004</v>
      </c>
      <c r="F2602" t="s">
        <v>69</v>
      </c>
      <c r="G2602">
        <v>-273.40989999999999</v>
      </c>
      <c r="H2602">
        <v>7.4604889999999999</v>
      </c>
      <c r="I2602">
        <v>15.332380000000001</v>
      </c>
      <c r="J2602">
        <v>-367.80790000000002</v>
      </c>
      <c r="K2602">
        <v>1.1111610000000001</v>
      </c>
      <c r="L2602">
        <v>15.88885</v>
      </c>
      <c r="M2602">
        <v>0.99977179999999999</v>
      </c>
      <c r="N2602">
        <v>0</v>
      </c>
      <c r="O2602">
        <v>1.7194000000000001E-2</v>
      </c>
      <c r="P2602">
        <v>0.98488129999999996</v>
      </c>
      <c r="Q2602">
        <v>0.16817969999999999</v>
      </c>
      <c r="R2602">
        <v>4.1527189999999999E-2</v>
      </c>
      <c r="S2602">
        <v>3.0122070000000001</v>
      </c>
      <c r="T2602">
        <v>0.2022101</v>
      </c>
      <c r="U2602">
        <v>-1.7608639999999998E-2</v>
      </c>
      <c r="V2602">
        <v>-2.4971630000000002E-2</v>
      </c>
      <c r="W2602">
        <v>0.18060809999999999</v>
      </c>
      <c r="X2602">
        <v>0.9832381</v>
      </c>
      <c r="Y2602">
        <v>2.2949529999999999E-2</v>
      </c>
      <c r="Z2602">
        <v>1.922425E-3</v>
      </c>
      <c r="AA2602">
        <v>0.99973480000000003</v>
      </c>
      <c r="AB2602">
        <v>34</v>
      </c>
      <c r="AC2602">
        <v>94.397999999999996</v>
      </c>
      <c r="AD2602">
        <v>6.3493279999999999</v>
      </c>
      <c r="AE2602">
        <v>-0.55647000000000002</v>
      </c>
      <c r="AF2602">
        <v>2.1697814625937699</v>
      </c>
      <c r="AG2602">
        <v>6.3493279999999999</v>
      </c>
      <c r="AH2602">
        <v>93.949454649147896</v>
      </c>
      <c r="AI2602">
        <v>86.134721427298004</v>
      </c>
      <c r="AJ2602">
        <v>88.676977697012106</v>
      </c>
      <c r="AK2602">
        <v>94.188757006976701</v>
      </c>
      <c r="AL2602">
        <v>79.594818249468304</v>
      </c>
      <c r="AM2602">
        <v>91.454847506844203</v>
      </c>
      <c r="AN2602">
        <v>1.0000000146910299</v>
      </c>
    </row>
    <row r="2603" spans="1:40" x14ac:dyDescent="0.3">
      <c r="A2603" t="str">
        <f>"20200111150855947"</f>
        <v>20200111150855947</v>
      </c>
      <c r="B2603" t="str">
        <f>"1578726535936333"</f>
        <v>1578726535936333</v>
      </c>
      <c r="C2603" t="s">
        <v>40</v>
      </c>
      <c r="D2603">
        <v>4.6823620000000004</v>
      </c>
      <c r="E2603">
        <v>0.52008029999999905</v>
      </c>
      <c r="F2603" t="s">
        <v>69</v>
      </c>
      <c r="G2603">
        <v>-273.40989999999999</v>
      </c>
      <c r="H2603">
        <v>6.5800340000000004</v>
      </c>
      <c r="I2603">
        <v>15.263439999999999</v>
      </c>
      <c r="J2603">
        <v>-367.63200000000001</v>
      </c>
      <c r="K2603">
        <v>1.111165</v>
      </c>
      <c r="L2603">
        <v>15.89236</v>
      </c>
      <c r="M2603">
        <v>0.99976310000000002</v>
      </c>
      <c r="N2603">
        <v>0</v>
      </c>
      <c r="O2603">
        <v>1.769662E-2</v>
      </c>
      <c r="P2603">
        <v>0.98488379999999998</v>
      </c>
      <c r="Q2603">
        <v>0.1680651</v>
      </c>
      <c r="R2603">
        <v>4.1931549999999998E-2</v>
      </c>
      <c r="S2603">
        <v>3.017029</v>
      </c>
      <c r="T2603">
        <v>0.17478929999999901</v>
      </c>
      <c r="U2603">
        <v>-1.9989010000000001E-2</v>
      </c>
      <c r="V2603">
        <v>-2.4879800000000001E-2</v>
      </c>
      <c r="W2603">
        <v>0.18049319999999999</v>
      </c>
      <c r="X2603">
        <v>0.98326150000000001</v>
      </c>
      <c r="Y2603">
        <v>2.4251539999999999E-2</v>
      </c>
      <c r="Z2603">
        <v>1.726329E-3</v>
      </c>
      <c r="AA2603">
        <v>0.99970440000000005</v>
      </c>
      <c r="AB2603">
        <v>34</v>
      </c>
      <c r="AC2603">
        <v>94.222099999999898</v>
      </c>
      <c r="AD2603">
        <v>5.4688689999999998</v>
      </c>
      <c r="AE2603">
        <v>-0.62892000000000003</v>
      </c>
      <c r="AF2603">
        <v>2.2886581424152901</v>
      </c>
      <c r="AG2603">
        <v>5.4688689999999998</v>
      </c>
      <c r="AH2603">
        <v>93.879952963496805</v>
      </c>
      <c r="AI2603">
        <v>86.667055936633801</v>
      </c>
      <c r="AJ2603">
        <v>88.603487966653304</v>
      </c>
      <c r="AK2603">
        <v>94.066955157804301</v>
      </c>
      <c r="AL2603">
        <v>79.601511258988594</v>
      </c>
      <c r="AM2603">
        <v>91.449465295446998</v>
      </c>
      <c r="AN2603">
        <v>0.999999988538264</v>
      </c>
    </row>
    <row r="2604" spans="1:40" x14ac:dyDescent="0.3">
      <c r="A2604" t="str">
        <f>"20200111150855960"</f>
        <v>20200111150855960</v>
      </c>
      <c r="B2604" t="str">
        <f>"1578726535955854"</f>
        <v>1578726535955854</v>
      </c>
      <c r="C2604" t="s">
        <v>40</v>
      </c>
      <c r="D2604">
        <v>4.7254639999999997</v>
      </c>
      <c r="E2604">
        <v>0.51985550000000003</v>
      </c>
      <c r="F2604" t="s">
        <v>69</v>
      </c>
      <c r="G2604">
        <v>-274.15660000000003</v>
      </c>
      <c r="H2604">
        <v>5.8583679999999996</v>
      </c>
      <c r="I2604">
        <v>14.984019999999999</v>
      </c>
      <c r="J2604">
        <v>-367.4468</v>
      </c>
      <c r="K2604">
        <v>1.111165</v>
      </c>
      <c r="L2604">
        <v>15.89615</v>
      </c>
      <c r="M2604">
        <v>0.99975360000000002</v>
      </c>
      <c r="N2604">
        <v>0</v>
      </c>
      <c r="O2604">
        <v>1.8226550000000001E-2</v>
      </c>
      <c r="P2604">
        <v>0.98483770000000004</v>
      </c>
      <c r="Q2604">
        <v>0.16826479999999999</v>
      </c>
      <c r="R2604">
        <v>4.2210150000000002E-2</v>
      </c>
      <c r="S2604">
        <v>3.0211489999999999</v>
      </c>
      <c r="T2604">
        <v>0.15343080000000001</v>
      </c>
      <c r="U2604">
        <v>-2.9357910000000001E-2</v>
      </c>
      <c r="V2604">
        <v>-2.463742E-2</v>
      </c>
      <c r="W2604">
        <v>0.18069299999999999</v>
      </c>
      <c r="X2604">
        <v>0.98323090000000002</v>
      </c>
      <c r="Y2604">
        <v>2.7883120000000001E-2</v>
      </c>
      <c r="Z2604">
        <v>1.6326419999999999E-3</v>
      </c>
      <c r="AA2604">
        <v>0.99960979999999999</v>
      </c>
      <c r="AB2604">
        <v>34</v>
      </c>
      <c r="AC2604">
        <v>93.290199999999899</v>
      </c>
      <c r="AD2604">
        <v>4.7472029999999998</v>
      </c>
      <c r="AE2604">
        <v>-0.912129999999999</v>
      </c>
      <c r="AF2604">
        <v>2.6057267549089098</v>
      </c>
      <c r="AG2604">
        <v>4.7472029999999998</v>
      </c>
      <c r="AH2604">
        <v>93.017235816569496</v>
      </c>
      <c r="AI2604">
        <v>87.079546297725201</v>
      </c>
      <c r="AJ2604">
        <v>88.395371469783598</v>
      </c>
      <c r="AK2604">
        <v>93.174738567917402</v>
      </c>
      <c r="AL2604">
        <v>79.589872130001098</v>
      </c>
      <c r="AM2604">
        <v>91.435395135331902</v>
      </c>
      <c r="AN2604">
        <v>0.99999998271403301</v>
      </c>
    </row>
    <row r="2605" spans="1:40" x14ac:dyDescent="0.3">
      <c r="A2605" t="str">
        <f>"20200111150855978"</f>
        <v>20200111150855978</v>
      </c>
      <c r="B2605" t="str">
        <f>"1578726535976350"</f>
        <v>1578726535976350</v>
      </c>
      <c r="C2605" t="s">
        <v>40</v>
      </c>
      <c r="D2605">
        <v>5.1348750000000001</v>
      </c>
      <c r="E2605">
        <v>0.52030050000000005</v>
      </c>
      <c r="F2605" t="s">
        <v>69</v>
      </c>
      <c r="G2605">
        <v>-274.15660000000003</v>
      </c>
      <c r="H2605">
        <v>5.4507079999999997</v>
      </c>
      <c r="I2605">
        <v>15.07499</v>
      </c>
      <c r="J2605">
        <v>-367.15780000000001</v>
      </c>
      <c r="K2605">
        <v>1.1111610000000001</v>
      </c>
      <c r="L2605">
        <v>15.90225</v>
      </c>
      <c r="M2605">
        <v>0.99973820000000002</v>
      </c>
      <c r="N2605">
        <v>0</v>
      </c>
      <c r="O2605">
        <v>1.9051200000000001E-2</v>
      </c>
      <c r="P2605">
        <v>0.98488529999999996</v>
      </c>
      <c r="Q2605">
        <v>0.16778850000000001</v>
      </c>
      <c r="R2605">
        <v>4.2990769999999998E-2</v>
      </c>
      <c r="S2605">
        <v>3.0232540000000001</v>
      </c>
      <c r="T2605">
        <v>0.1406317</v>
      </c>
      <c r="U2605">
        <v>-2.6611329999999999E-2</v>
      </c>
      <c r="V2605">
        <v>-2.4602570000000001E-2</v>
      </c>
      <c r="W2605">
        <v>0.1802174</v>
      </c>
      <c r="X2605">
        <v>0.98331900000000005</v>
      </c>
      <c r="Y2605">
        <v>2.7801599999999999E-2</v>
      </c>
      <c r="Z2605">
        <v>1.5320080000000001E-3</v>
      </c>
      <c r="AA2605">
        <v>0.99961230000000001</v>
      </c>
      <c r="AB2605">
        <v>34</v>
      </c>
      <c r="AC2605">
        <v>93.001199999999898</v>
      </c>
      <c r="AD2605">
        <v>4.3395469999999996</v>
      </c>
      <c r="AE2605">
        <v>-0.82726</v>
      </c>
      <c r="AF2605">
        <v>2.59339051717859</v>
      </c>
      <c r="AG2605">
        <v>4.3395469999999996</v>
      </c>
      <c r="AH2605">
        <v>92.766595220258395</v>
      </c>
      <c r="AI2605">
        <v>87.322746301691794</v>
      </c>
      <c r="AJ2605">
        <v>88.398651592567205</v>
      </c>
      <c r="AK2605">
        <v>92.904243882069593</v>
      </c>
      <c r="AL2605">
        <v>79.617576238212607</v>
      </c>
      <c r="AM2605">
        <v>91.433237226882994</v>
      </c>
      <c r="AN2605">
        <v>0.99999992673717897</v>
      </c>
    </row>
    <row r="2606" spans="1:40" x14ac:dyDescent="0.3">
      <c r="A2606" t="str">
        <f>"20200111150855990"</f>
        <v>20200111150855990</v>
      </c>
      <c r="B2606" t="str">
        <f>"1578726535986110"</f>
        <v>1578726535986110</v>
      </c>
      <c r="C2606" t="s">
        <v>40</v>
      </c>
      <c r="D2606">
        <v>6.4362810000000001</v>
      </c>
      <c r="E2606">
        <v>0.51741700000000002</v>
      </c>
      <c r="F2606" t="s">
        <v>69</v>
      </c>
      <c r="G2606">
        <v>-274.15660000000003</v>
      </c>
      <c r="H2606">
        <v>5.5583019999999896</v>
      </c>
      <c r="I2606">
        <v>15.030900000000001</v>
      </c>
      <c r="J2606">
        <v>-366.98849999999999</v>
      </c>
      <c r="K2606">
        <v>1.1111580000000001</v>
      </c>
      <c r="L2606">
        <v>15.90598</v>
      </c>
      <c r="M2606">
        <v>0.99972890000000003</v>
      </c>
      <c r="N2606">
        <v>0</v>
      </c>
      <c r="O2606">
        <v>1.953332E-2</v>
      </c>
      <c r="P2606">
        <v>0.98491580000000001</v>
      </c>
      <c r="Q2606">
        <v>0.16751820000000001</v>
      </c>
      <c r="R2606">
        <v>4.334197E-2</v>
      </c>
      <c r="S2606">
        <v>3.022675</v>
      </c>
      <c r="T2606">
        <v>0.14453859999999999</v>
      </c>
      <c r="U2606">
        <v>-2.8320310000000001E-2</v>
      </c>
      <c r="V2606">
        <v>-2.447674E-2</v>
      </c>
      <c r="W2606">
        <v>0.17994540000000001</v>
      </c>
      <c r="X2606">
        <v>0.98337200000000002</v>
      </c>
      <c r="Y2606">
        <v>2.8845840000000001E-2</v>
      </c>
      <c r="Z2606">
        <v>1.6228130000000001E-3</v>
      </c>
      <c r="AA2606">
        <v>0.99958250000000004</v>
      </c>
      <c r="AB2606">
        <v>34</v>
      </c>
      <c r="AC2606">
        <v>92.831899999999905</v>
      </c>
      <c r="AD2606">
        <v>4.4471439999999998</v>
      </c>
      <c r="AE2606">
        <v>-0.87507999999999797</v>
      </c>
      <c r="AF2606">
        <v>2.6822188915370702</v>
      </c>
      <c r="AG2606">
        <v>4.4471439999999998</v>
      </c>
      <c r="AH2606">
        <v>92.584635215995107</v>
      </c>
      <c r="AI2606">
        <v>87.251160742576104</v>
      </c>
      <c r="AJ2606">
        <v>88.340579409757694</v>
      </c>
      <c r="AK2606">
        <v>92.730178830938002</v>
      </c>
      <c r="AL2606">
        <v>79.633420201284807</v>
      </c>
      <c r="AM2606">
        <v>91.425833140730603</v>
      </c>
      <c r="AN2606">
        <v>0.99999997408309305</v>
      </c>
    </row>
    <row r="2607" spans="1:40" x14ac:dyDescent="0.3">
      <c r="A2607" t="str">
        <f>"20200111150856002"</f>
        <v>20200111150856002</v>
      </c>
      <c r="B2607" t="str">
        <f>"1578726535995870"</f>
        <v>1578726535995870</v>
      </c>
      <c r="C2607" t="s">
        <v>40</v>
      </c>
      <c r="D2607">
        <v>6.4262009999999998</v>
      </c>
      <c r="E2607">
        <v>0.51624910000000002</v>
      </c>
      <c r="F2607" t="s">
        <v>100</v>
      </c>
      <c r="G2607">
        <v>-276.38420000000002</v>
      </c>
      <c r="H2607">
        <v>6.0730000000000004</v>
      </c>
      <c r="I2607">
        <v>15.76299</v>
      </c>
      <c r="J2607">
        <v>-366.7919</v>
      </c>
      <c r="K2607">
        <v>1.1111549999999999</v>
      </c>
      <c r="L2607">
        <v>15.91037</v>
      </c>
      <c r="M2607">
        <v>0.99971779999999999</v>
      </c>
      <c r="N2607">
        <v>0</v>
      </c>
      <c r="O2607">
        <v>2.009263E-2</v>
      </c>
      <c r="P2607">
        <v>0.98494720000000002</v>
      </c>
      <c r="Q2607">
        <v>0.16730030000000001</v>
      </c>
      <c r="R2607">
        <v>4.3468720000000002E-2</v>
      </c>
      <c r="S2607">
        <v>3.018097</v>
      </c>
      <c r="T2607">
        <v>0.1652826</v>
      </c>
      <c r="U2607">
        <v>-4.7607420000000001E-3</v>
      </c>
      <c r="V2607">
        <v>-2.4050539999999999E-2</v>
      </c>
      <c r="W2607">
        <v>0.17972539999999901</v>
      </c>
      <c r="X2607">
        <v>0.98342280000000004</v>
      </c>
      <c r="Y2607">
        <v>2.1608820000000001E-2</v>
      </c>
      <c r="Z2607">
        <v>1.6908100000000001E-3</v>
      </c>
      <c r="AA2607">
        <v>0.99976509999999996</v>
      </c>
      <c r="AB2607">
        <v>34</v>
      </c>
      <c r="AC2607">
        <v>90.407699999999906</v>
      </c>
      <c r="AD2607">
        <v>4.9618449999999896</v>
      </c>
      <c r="AE2607">
        <v>-0.14738000000000001</v>
      </c>
      <c r="AF2607">
        <v>1.9581264579092099</v>
      </c>
      <c r="AG2607">
        <v>4.9618449999999896</v>
      </c>
      <c r="AH2607">
        <v>90.115045661591907</v>
      </c>
      <c r="AI2607">
        <v>86.849148696057995</v>
      </c>
      <c r="AJ2607">
        <v>88.755205321396801</v>
      </c>
      <c r="AK2607">
        <v>90.272784490232596</v>
      </c>
      <c r="AL2607">
        <v>79.646234723659703</v>
      </c>
      <c r="AM2607">
        <v>91.400943533503806</v>
      </c>
      <c r="AN2607">
        <v>1.00000002571964</v>
      </c>
    </row>
    <row r="2608" spans="1:40" x14ac:dyDescent="0.3">
      <c r="A2608" t="str">
        <f>"20200111150856014"</f>
        <v>20200111150856014</v>
      </c>
      <c r="B2608" t="str">
        <f>"1578726536006605"</f>
        <v>1578726536006605</v>
      </c>
      <c r="C2608" t="s">
        <v>40</v>
      </c>
      <c r="D2608">
        <v>5.2582690000000003</v>
      </c>
      <c r="E2608">
        <v>0.51674249999999999</v>
      </c>
      <c r="F2608" t="s">
        <v>100</v>
      </c>
      <c r="G2608">
        <v>-276.39359999999999</v>
      </c>
      <c r="H2608">
        <v>6.621067</v>
      </c>
      <c r="I2608">
        <v>16.053070000000002</v>
      </c>
      <c r="J2608">
        <v>-366.6003</v>
      </c>
      <c r="K2608">
        <v>1.1111500000000001</v>
      </c>
      <c r="L2608">
        <v>15.91473</v>
      </c>
      <c r="M2608">
        <v>0.99970689999999995</v>
      </c>
      <c r="N2608">
        <v>0</v>
      </c>
      <c r="O2608">
        <v>2.063369E-2</v>
      </c>
      <c r="P2608">
        <v>0.98494789999999999</v>
      </c>
      <c r="Q2608">
        <v>0.16723959999999999</v>
      </c>
      <c r="R2608">
        <v>4.3686929999999999E-2</v>
      </c>
      <c r="S2608">
        <v>3.014465</v>
      </c>
      <c r="T2608">
        <v>0.18373610000000001</v>
      </c>
      <c r="U2608">
        <v>4.7607420000000001E-3</v>
      </c>
      <c r="V2608">
        <v>-2.3733830000000001E-2</v>
      </c>
      <c r="W2608">
        <v>0.17966019999999999</v>
      </c>
      <c r="X2608">
        <v>0.98344240000000005</v>
      </c>
      <c r="Y2608">
        <v>1.8982849999999999E-2</v>
      </c>
      <c r="Z2608">
        <v>1.8344959999999999E-3</v>
      </c>
      <c r="AA2608">
        <v>0.99981810000000004</v>
      </c>
      <c r="AB2608">
        <v>34</v>
      </c>
      <c r="AC2608">
        <v>90.206699999999998</v>
      </c>
      <c r="AD2608">
        <v>5.5099169999999997</v>
      </c>
      <c r="AE2608">
        <v>0.13834000000000299</v>
      </c>
      <c r="AF2608">
        <v>1.7167308818261</v>
      </c>
      <c r="AG2608">
        <v>5.5099169999999997</v>
      </c>
      <c r="AH2608">
        <v>89.855108059296001</v>
      </c>
      <c r="AI2608">
        <v>86.491654018165804</v>
      </c>
      <c r="AJ2608">
        <v>88.905466024048593</v>
      </c>
      <c r="AK2608">
        <v>90.040250969304097</v>
      </c>
      <c r="AL2608">
        <v>79.6500321417316</v>
      </c>
      <c r="AM2608">
        <v>91.382474846548405</v>
      </c>
      <c r="AN2608">
        <v>1.00000001813413</v>
      </c>
    </row>
    <row r="2609" spans="1:40" x14ac:dyDescent="0.3">
      <c r="A2609" t="str">
        <f>"20200111150856027"</f>
        <v>20200111150856027</v>
      </c>
      <c r="B2609" t="str">
        <f>"1578726536016366"</f>
        <v>1578726536016366</v>
      </c>
      <c r="C2609" t="s">
        <v>40</v>
      </c>
      <c r="D2609">
        <v>5.1697480000000002</v>
      </c>
      <c r="E2609">
        <v>0.51788900000000004</v>
      </c>
      <c r="F2609" t="s">
        <v>100</v>
      </c>
      <c r="G2609">
        <v>-276.48829999999998</v>
      </c>
      <c r="H2609">
        <v>7.0290220000000003</v>
      </c>
      <c r="I2609">
        <v>15.956659999999999</v>
      </c>
      <c r="J2609">
        <v>-366.41849999999999</v>
      </c>
      <c r="K2609">
        <v>1.111148</v>
      </c>
      <c r="L2609">
        <v>15.91901</v>
      </c>
      <c r="M2609">
        <v>0.99969640000000004</v>
      </c>
      <c r="N2609">
        <v>0</v>
      </c>
      <c r="O2609">
        <v>2.1143929999999998E-2</v>
      </c>
      <c r="P2609">
        <v>0.98498750000000002</v>
      </c>
      <c r="Q2609">
        <v>0.16703170000000001</v>
      </c>
      <c r="R2609">
        <v>4.3589940000000001E-2</v>
      </c>
      <c r="S2609">
        <v>3.012238</v>
      </c>
      <c r="T2609">
        <v>0.19782069999999999</v>
      </c>
      <c r="U2609">
        <v>1.403809E-3</v>
      </c>
      <c r="V2609">
        <v>-2.313074E-2</v>
      </c>
      <c r="W2609">
        <v>0.17944860000000001</v>
      </c>
      <c r="X2609">
        <v>0.98349540000000002</v>
      </c>
      <c r="Y2609">
        <v>2.058979E-2</v>
      </c>
      <c r="Z2609">
        <v>2.0624710000000002E-3</v>
      </c>
      <c r="AA2609">
        <v>0.99978590000000001</v>
      </c>
      <c r="AB2609">
        <v>34</v>
      </c>
      <c r="AC2609">
        <v>89.930199999999999</v>
      </c>
      <c r="AD2609">
        <v>5.9178739999999896</v>
      </c>
      <c r="AE2609">
        <v>3.7650000000001002E-2</v>
      </c>
      <c r="AF2609">
        <v>1.85595157972264</v>
      </c>
      <c r="AG2609">
        <v>5.9178739999999896</v>
      </c>
      <c r="AH2609">
        <v>89.523223885981295</v>
      </c>
      <c r="AI2609">
        <v>86.218812630208404</v>
      </c>
      <c r="AJ2609">
        <v>88.8123421247317</v>
      </c>
      <c r="AK2609">
        <v>89.737803649775699</v>
      </c>
      <c r="AL2609">
        <v>79.662356201713095</v>
      </c>
      <c r="AM2609">
        <v>91.347285917956199</v>
      </c>
      <c r="AN2609">
        <v>1.0000000164980301</v>
      </c>
    </row>
    <row r="2610" spans="1:40" x14ac:dyDescent="0.3">
      <c r="A2610" t="str">
        <f>"20200111150856046"</f>
        <v>20200111150856046</v>
      </c>
      <c r="B2610" t="str">
        <f>"1578726536035885"</f>
        <v>1578726536035885</v>
      </c>
      <c r="C2610" t="s">
        <v>40</v>
      </c>
      <c r="D2610">
        <v>4.6937949999999997</v>
      </c>
      <c r="E2610">
        <v>0.51952299999999996</v>
      </c>
      <c r="F2610" t="s">
        <v>69</v>
      </c>
      <c r="G2610">
        <v>-274.15660000000003</v>
      </c>
      <c r="H2610">
        <v>6.2685649999999997</v>
      </c>
      <c r="I2610">
        <v>15.68666</v>
      </c>
      <c r="J2610">
        <v>-366.12549999999999</v>
      </c>
      <c r="K2610">
        <v>1.11114</v>
      </c>
      <c r="L2610">
        <v>15.926030000000001</v>
      </c>
      <c r="M2610">
        <v>0.99967899999999998</v>
      </c>
      <c r="N2610">
        <v>0</v>
      </c>
      <c r="O2610">
        <v>2.1957620000000001E-2</v>
      </c>
      <c r="P2610">
        <v>0.98497639999999997</v>
      </c>
      <c r="Q2610">
        <v>0.167101</v>
      </c>
      <c r="R2610">
        <v>4.357809E-2</v>
      </c>
      <c r="S2610">
        <v>3.0174560000000001</v>
      </c>
      <c r="T2610">
        <v>0.1686752</v>
      </c>
      <c r="U2610">
        <v>-7.59887699999999E-3</v>
      </c>
      <c r="V2610">
        <v>-2.2313530000000002E-2</v>
      </c>
      <c r="W2610">
        <v>0.17951149999999999</v>
      </c>
      <c r="X2610">
        <v>0.98350280000000001</v>
      </c>
      <c r="Y2610">
        <v>2.4404619999999998E-2</v>
      </c>
      <c r="Z2610">
        <v>1.9080729999999999E-3</v>
      </c>
      <c r="AA2610">
        <v>0.99970040000000004</v>
      </c>
      <c r="AB2610">
        <v>34</v>
      </c>
      <c r="AC2610">
        <v>91.968899999999906</v>
      </c>
      <c r="AD2610">
        <v>5.1574249999999999</v>
      </c>
      <c r="AE2610">
        <v>-0.239369999999999</v>
      </c>
      <c r="AF2610">
        <v>2.25181047156416</v>
      </c>
      <c r="AG2610">
        <v>5.1574249999999999</v>
      </c>
      <c r="AH2610">
        <v>91.653243480006296</v>
      </c>
      <c r="AI2610">
        <v>86.780271927139395</v>
      </c>
      <c r="AJ2610">
        <v>88.592594424458397</v>
      </c>
      <c r="AK2610">
        <v>91.825849973936002</v>
      </c>
      <c r="AL2610">
        <v>79.658692793277595</v>
      </c>
      <c r="AM2610">
        <v>91.299693101008003</v>
      </c>
      <c r="AN2610">
        <v>1.0000000149305699</v>
      </c>
    </row>
    <row r="2611" spans="1:40" x14ac:dyDescent="0.3">
      <c r="A2611" t="str">
        <f>"20200111150856058"</f>
        <v>20200111150856058</v>
      </c>
      <c r="B2611" t="str">
        <f>"1578726536056382"</f>
        <v>1578726536056382</v>
      </c>
      <c r="C2611" t="s">
        <v>40</v>
      </c>
      <c r="D2611">
        <v>4.7015089999999997</v>
      </c>
      <c r="E2611">
        <v>0.51878899999999994</v>
      </c>
      <c r="F2611" t="s">
        <v>69</v>
      </c>
      <c r="G2611">
        <v>-273.40989999999999</v>
      </c>
      <c r="H2611">
        <v>6.7711869999999896</v>
      </c>
      <c r="I2611">
        <v>15.278589999999999</v>
      </c>
      <c r="J2611">
        <v>-365.9409</v>
      </c>
      <c r="K2611">
        <v>1.1111310000000001</v>
      </c>
      <c r="L2611">
        <v>15.930540000000001</v>
      </c>
      <c r="M2611">
        <v>0.99966759999999999</v>
      </c>
      <c r="N2611">
        <v>0</v>
      </c>
      <c r="O2611">
        <v>2.2465010000000001E-2</v>
      </c>
      <c r="P2611">
        <v>0.984989</v>
      </c>
      <c r="Q2611">
        <v>0.16697989999999999</v>
      </c>
      <c r="R2611">
        <v>4.3754139999999997E-2</v>
      </c>
      <c r="S2611">
        <v>3.0154719999999999</v>
      </c>
      <c r="T2611">
        <v>0.18408679999999999</v>
      </c>
      <c r="U2611">
        <v>-2.105713E-2</v>
      </c>
      <c r="V2611">
        <v>-2.1985290000000001E-2</v>
      </c>
      <c r="W2611">
        <v>0.1793862</v>
      </c>
      <c r="X2611">
        <v>0.98353299999999999</v>
      </c>
      <c r="Y2611">
        <v>2.9350899999999999E-2</v>
      </c>
      <c r="Z2611">
        <v>2.2652430000000001E-3</v>
      </c>
      <c r="AA2611">
        <v>0.99956659999999997</v>
      </c>
      <c r="AB2611">
        <v>34</v>
      </c>
      <c r="AC2611">
        <v>92.531000000000006</v>
      </c>
      <c r="AD2611">
        <v>5.6600559999999902</v>
      </c>
      <c r="AE2611">
        <v>-0.65194999999999903</v>
      </c>
      <c r="AF2611">
        <v>2.72048293295614</v>
      </c>
      <c r="AG2611">
        <v>5.6600559999999902</v>
      </c>
      <c r="AH2611">
        <v>92.148224667929696</v>
      </c>
      <c r="AI2611">
        <v>86.486642074642006</v>
      </c>
      <c r="AJ2611">
        <v>88.308953554229006</v>
      </c>
      <c r="AK2611">
        <v>92.361964957242506</v>
      </c>
      <c r="AL2611">
        <v>79.665989860446999</v>
      </c>
      <c r="AM2611">
        <v>91.280541257068407</v>
      </c>
      <c r="AN2611">
        <v>0.99999996190791096</v>
      </c>
    </row>
    <row r="2612" spans="1:40" x14ac:dyDescent="0.3">
      <c r="A2612" t="str">
        <f>"20200111150856071"</f>
        <v>20200111150856071</v>
      </c>
      <c r="B2612" t="str">
        <f>"1578726536066142"</f>
        <v>1578726536066142</v>
      </c>
      <c r="C2612" t="s">
        <v>40</v>
      </c>
      <c r="D2612">
        <v>4.4304920000000001</v>
      </c>
      <c r="E2612">
        <v>0.51878899999999994</v>
      </c>
      <c r="F2612" t="s">
        <v>69</v>
      </c>
      <c r="G2612">
        <v>-273.40989999999999</v>
      </c>
      <c r="H2612">
        <v>7.6782029999999999</v>
      </c>
      <c r="I2612">
        <v>15.464309999999999</v>
      </c>
      <c r="J2612">
        <v>-365.76280000000003</v>
      </c>
      <c r="K2612">
        <v>1.111124</v>
      </c>
      <c r="L2612">
        <v>15.935029999999999</v>
      </c>
      <c r="M2612">
        <v>0.99965689999999996</v>
      </c>
      <c r="N2612">
        <v>0</v>
      </c>
      <c r="O2612">
        <v>2.2945210000000001E-2</v>
      </c>
      <c r="P2612">
        <v>0.98495690000000002</v>
      </c>
      <c r="Q2612">
        <v>0.16710229999999901</v>
      </c>
      <c r="R2612">
        <v>4.400946E-2</v>
      </c>
      <c r="S2612">
        <v>3.010132</v>
      </c>
      <c r="T2612">
        <v>0.21363380000000001</v>
      </c>
      <c r="U2612">
        <v>-1.516724E-2</v>
      </c>
      <c r="V2612">
        <v>-2.1764390000000002E-2</v>
      </c>
      <c r="W2612">
        <v>0.1795049</v>
      </c>
      <c r="X2612">
        <v>0.98351630000000001</v>
      </c>
      <c r="Y2612">
        <v>2.7856300000000001E-2</v>
      </c>
      <c r="Z2612">
        <v>2.6137030000000002E-3</v>
      </c>
      <c r="AA2612">
        <v>0.99960850000000001</v>
      </c>
      <c r="AB2612">
        <v>34</v>
      </c>
      <c r="AC2612">
        <v>92.352900000000005</v>
      </c>
      <c r="AD2612">
        <v>6.5670789999999997</v>
      </c>
      <c r="AE2612">
        <v>-0.47071999999999797</v>
      </c>
      <c r="AF2612">
        <v>2.57679283975965</v>
      </c>
      <c r="AG2612">
        <v>6.5670789999999997</v>
      </c>
      <c r="AH2612">
        <v>91.853342886942997</v>
      </c>
      <c r="AI2612">
        <v>85.9121841946248</v>
      </c>
      <c r="AJ2612">
        <v>88.393083606791393</v>
      </c>
      <c r="AK2612">
        <v>92.123845921876196</v>
      </c>
      <c r="AL2612">
        <v>79.659077086387796</v>
      </c>
      <c r="AM2612">
        <v>91.267700593624099</v>
      </c>
      <c r="AN2612">
        <v>1.0000000050808799</v>
      </c>
    </row>
    <row r="2613" spans="1:40" x14ac:dyDescent="0.3">
      <c r="A2613" t="str">
        <f>"20200111150856089"</f>
        <v>20200111150856089</v>
      </c>
      <c r="B2613" t="str">
        <f>"1578726536086638"</f>
        <v>1578726536086638</v>
      </c>
      <c r="C2613" t="s">
        <v>40</v>
      </c>
      <c r="D2613">
        <v>4.5178190000000003</v>
      </c>
      <c r="E2613">
        <v>0.51974709999999902</v>
      </c>
      <c r="F2613" t="s">
        <v>69</v>
      </c>
      <c r="G2613">
        <v>-273.40989999999999</v>
      </c>
      <c r="H2613">
        <v>7.6766969999999999</v>
      </c>
      <c r="I2613">
        <v>15.49404</v>
      </c>
      <c r="J2613">
        <v>-365.47559999999999</v>
      </c>
      <c r="K2613">
        <v>1.1111089999999999</v>
      </c>
      <c r="L2613">
        <v>15.942410000000001</v>
      </c>
      <c r="M2613">
        <v>0.99963930000000001</v>
      </c>
      <c r="N2613">
        <v>0</v>
      </c>
      <c r="O2613">
        <v>2.3705919999999998E-2</v>
      </c>
      <c r="P2613">
        <v>0.9849445</v>
      </c>
      <c r="Q2613">
        <v>0.1671851</v>
      </c>
      <c r="R2613">
        <v>4.3976649999999999E-2</v>
      </c>
      <c r="S2613">
        <v>3.0101930000000001</v>
      </c>
      <c r="T2613">
        <v>0.21400130000000001</v>
      </c>
      <c r="U2613">
        <v>-1.4373779999999999E-2</v>
      </c>
      <c r="V2613">
        <v>-2.097479E-2</v>
      </c>
      <c r="W2613">
        <v>0.17958180000000001</v>
      </c>
      <c r="X2613">
        <v>0.98351940000000004</v>
      </c>
      <c r="Y2613">
        <v>2.834979E-2</v>
      </c>
      <c r="Z2613">
        <v>2.6896609999999999E-3</v>
      </c>
      <c r="AA2613">
        <v>0.99959439999999999</v>
      </c>
      <c r="AB2613">
        <v>34</v>
      </c>
      <c r="AC2613">
        <v>92.065700000000007</v>
      </c>
      <c r="AD2613">
        <v>6.565588</v>
      </c>
      <c r="AE2613">
        <v>-0.44836999999999999</v>
      </c>
      <c r="AF2613">
        <v>2.6176078749832401</v>
      </c>
      <c r="AG2613">
        <v>6.565588</v>
      </c>
      <c r="AH2613">
        <v>91.563538763083102</v>
      </c>
      <c r="AI2613">
        <v>85.900279739743695</v>
      </c>
      <c r="AJ2613">
        <v>88.362480869861599</v>
      </c>
      <c r="AK2613">
        <v>91.835943113747902</v>
      </c>
      <c r="AL2613">
        <v>79.6545980758263</v>
      </c>
      <c r="AM2613">
        <v>91.221719471178503</v>
      </c>
      <c r="AN2613">
        <v>0.99999998744157204</v>
      </c>
    </row>
    <row r="2614" spans="1:40" x14ac:dyDescent="0.3">
      <c r="A2614" t="str">
        <f>"20200111150856102"</f>
        <v>20200111150856102</v>
      </c>
      <c r="B2614" t="str">
        <f>"1578726536096399"</f>
        <v>1578726536096399</v>
      </c>
      <c r="C2614" t="s">
        <v>40</v>
      </c>
      <c r="D2614">
        <v>4.728027</v>
      </c>
      <c r="E2614">
        <v>0.52043950000000005</v>
      </c>
      <c r="F2614" t="s">
        <v>69</v>
      </c>
      <c r="G2614">
        <v>-273.40989999999999</v>
      </c>
      <c r="H2614">
        <v>7.4217329999999997</v>
      </c>
      <c r="I2614">
        <v>15.267950000000001</v>
      </c>
      <c r="J2614">
        <v>-365.2842</v>
      </c>
      <c r="K2614">
        <v>1.1110960000000001</v>
      </c>
      <c r="L2614">
        <v>15.94745</v>
      </c>
      <c r="M2614">
        <v>0.99962740000000005</v>
      </c>
      <c r="N2614">
        <v>0</v>
      </c>
      <c r="O2614">
        <v>2.4201420000000001E-2</v>
      </c>
      <c r="P2614">
        <v>0.98495109999999997</v>
      </c>
      <c r="Q2614">
        <v>0.1671464</v>
      </c>
      <c r="R2614">
        <v>4.3972129999999998E-2</v>
      </c>
      <c r="S2614">
        <v>3.0118100000000001</v>
      </c>
      <c r="T2614">
        <v>0.20644409999999999</v>
      </c>
      <c r="U2614">
        <v>-2.2064210000000001E-2</v>
      </c>
      <c r="V2614">
        <v>-2.0475489999999999E-2</v>
      </c>
      <c r="W2614">
        <v>0.17954010000000001</v>
      </c>
      <c r="X2614">
        <v>0.98353760000000001</v>
      </c>
      <c r="Y2614">
        <v>3.1395810000000003E-2</v>
      </c>
      <c r="Z2614">
        <v>2.7317000000000001E-3</v>
      </c>
      <c r="AA2614">
        <v>0.99950329999999998</v>
      </c>
      <c r="AB2614">
        <v>34</v>
      </c>
      <c r="AC2614">
        <v>91.874300000000005</v>
      </c>
      <c r="AD2614">
        <v>6.3106369999999998</v>
      </c>
      <c r="AE2614">
        <v>-0.67949999999999899</v>
      </c>
      <c r="AF2614">
        <v>2.8893354953902501</v>
      </c>
      <c r="AG2614">
        <v>6.3106369999999998</v>
      </c>
      <c r="AH2614">
        <v>91.399739049273506</v>
      </c>
      <c r="AI2614">
        <v>86.052283292002201</v>
      </c>
      <c r="AJ2614">
        <v>88.189364440843903</v>
      </c>
      <c r="AK2614">
        <v>91.662886149335193</v>
      </c>
      <c r="AL2614">
        <v>79.657027458116005</v>
      </c>
      <c r="AM2614">
        <v>91.192623162550106</v>
      </c>
      <c r="AN2614">
        <v>1.00000005190625</v>
      </c>
    </row>
    <row r="2615" spans="1:40" x14ac:dyDescent="0.3">
      <c r="A2615" t="str">
        <f>"20200111150856114"</f>
        <v>20200111150856114</v>
      </c>
      <c r="B2615" t="str">
        <f>"1578726536106158"</f>
        <v>1578726536106158</v>
      </c>
      <c r="C2615" t="s">
        <v>40</v>
      </c>
      <c r="D2615">
        <v>5.5854739999999996</v>
      </c>
      <c r="E2615">
        <v>0.52043950000000005</v>
      </c>
      <c r="F2615" t="s">
        <v>69</v>
      </c>
      <c r="G2615">
        <v>-274.15660000000003</v>
      </c>
      <c r="H2615">
        <v>7.9574550000000004</v>
      </c>
      <c r="I2615">
        <v>15.104480000000001</v>
      </c>
      <c r="J2615">
        <v>-365.08190000000002</v>
      </c>
      <c r="K2615">
        <v>1.111078</v>
      </c>
      <c r="L2615">
        <v>15.952819999999999</v>
      </c>
      <c r="M2615">
        <v>0.99961509999999998</v>
      </c>
      <c r="N2615">
        <v>0</v>
      </c>
      <c r="O2615">
        <v>2.4708750000000002E-2</v>
      </c>
      <c r="P2615">
        <v>0.9849599</v>
      </c>
      <c r="Q2615">
        <v>0.16709270000000001</v>
      </c>
      <c r="R2615">
        <v>4.39815E-2</v>
      </c>
      <c r="S2615">
        <v>3.0087280000000001</v>
      </c>
      <c r="T2615">
        <v>0.22604389999999999</v>
      </c>
      <c r="U2615">
        <v>-2.7832030000000001E-2</v>
      </c>
      <c r="V2615">
        <v>-1.9977160000000001E-2</v>
      </c>
      <c r="W2615">
        <v>0.17948329999999901</v>
      </c>
      <c r="X2615">
        <v>0.98355820000000005</v>
      </c>
      <c r="Y2615">
        <v>3.3792009999999997E-2</v>
      </c>
      <c r="Z2615">
        <v>3.1213349999999998E-3</v>
      </c>
      <c r="AA2615">
        <v>0.99942399999999998</v>
      </c>
      <c r="AB2615">
        <v>34</v>
      </c>
      <c r="AC2615">
        <v>90.925299999999993</v>
      </c>
      <c r="AD2615">
        <v>6.8463770000000004</v>
      </c>
      <c r="AE2615">
        <v>-0.84834000000000198</v>
      </c>
      <c r="AF2615">
        <v>3.0774637774312299</v>
      </c>
      <c r="AG2615">
        <v>6.8463770000000004</v>
      </c>
      <c r="AH2615">
        <v>90.364287855633407</v>
      </c>
      <c r="AI2615">
        <v>85.669810103945295</v>
      </c>
      <c r="AJ2615">
        <v>88.049477634484305</v>
      </c>
      <c r="AK2615">
        <v>90.675510370680001</v>
      </c>
      <c r="AL2615">
        <v>79.660335443921198</v>
      </c>
      <c r="AM2615">
        <v>91.163580959841198</v>
      </c>
      <c r="AN2615">
        <v>1.00000003734389</v>
      </c>
    </row>
    <row r="2616" spans="1:40" x14ac:dyDescent="0.3">
      <c r="A2616" t="str">
        <f>"20200111150856128"</f>
        <v>20200111150856128</v>
      </c>
      <c r="B2616" t="str">
        <f>"1578726536115919"</f>
        <v>1578726536115919</v>
      </c>
      <c r="C2616" t="s">
        <v>40</v>
      </c>
      <c r="D2616">
        <v>6.9395160000000002</v>
      </c>
      <c r="E2616">
        <v>0.51655669999999998</v>
      </c>
      <c r="F2616" t="s">
        <v>69</v>
      </c>
      <c r="G2616">
        <v>-274.15660000000003</v>
      </c>
      <c r="H2616">
        <v>7.9376559999999996</v>
      </c>
      <c r="I2616">
        <v>15.11172</v>
      </c>
      <c r="J2616">
        <v>-364.89359999999999</v>
      </c>
      <c r="K2616">
        <v>1.111059</v>
      </c>
      <c r="L2616">
        <v>15.95795</v>
      </c>
      <c r="M2616">
        <v>0.99960360000000004</v>
      </c>
      <c r="N2616">
        <v>0</v>
      </c>
      <c r="O2616">
        <v>2.516647E-2</v>
      </c>
      <c r="P2616">
        <v>0.98493149999999996</v>
      </c>
      <c r="Q2616">
        <v>0.1671974</v>
      </c>
      <c r="R2616">
        <v>4.4214690000000001E-2</v>
      </c>
      <c r="S2616">
        <v>3.0087280000000001</v>
      </c>
      <c r="T2616">
        <v>0.22589229999999999</v>
      </c>
      <c r="U2616">
        <v>-2.7832030000000001E-2</v>
      </c>
      <c r="V2616">
        <v>-1.9752140000000001E-2</v>
      </c>
      <c r="W2616">
        <v>0.1795842</v>
      </c>
      <c r="X2616">
        <v>0.98354430000000004</v>
      </c>
      <c r="Y2616">
        <v>3.4247300000000001E-2</v>
      </c>
      <c r="Z2616">
        <v>3.1706260000000002E-3</v>
      </c>
      <c r="AA2616">
        <v>0.99940839999999997</v>
      </c>
      <c r="AB2616">
        <v>34</v>
      </c>
      <c r="AC2616">
        <v>90.736999999999895</v>
      </c>
      <c r="AD2616">
        <v>6.8265969999999996</v>
      </c>
      <c r="AE2616">
        <v>-0.84622999999999804</v>
      </c>
      <c r="AF2616">
        <v>3.1120601460647799</v>
      </c>
      <c r="AG2616">
        <v>6.8265969999999996</v>
      </c>
      <c r="AH2616">
        <v>90.176575983165407</v>
      </c>
      <c r="AI2616">
        <v>85.673386548876707</v>
      </c>
      <c r="AJ2616">
        <v>88.023464820523699</v>
      </c>
      <c r="AK2616">
        <v>90.488132929134593</v>
      </c>
      <c r="AL2616">
        <v>79.654458539826706</v>
      </c>
      <c r="AM2616">
        <v>91.150494340469393</v>
      </c>
      <c r="AN2616">
        <v>1.00000001099335</v>
      </c>
    </row>
    <row r="2617" spans="1:40" x14ac:dyDescent="0.3">
      <c r="A2617" t="str">
        <f>"20200111150856147"</f>
        <v>20200111150856147</v>
      </c>
      <c r="B2617" t="str">
        <f>"1578726536136418"</f>
        <v>1578726536136418</v>
      </c>
      <c r="C2617" t="s">
        <v>40</v>
      </c>
      <c r="D2617">
        <v>6.0430599999999997</v>
      </c>
      <c r="E2617">
        <v>0.5177638</v>
      </c>
      <c r="F2617" t="s">
        <v>49</v>
      </c>
      <c r="G2617">
        <v>0</v>
      </c>
      <c r="H2617">
        <v>0</v>
      </c>
      <c r="I2617">
        <v>0</v>
      </c>
      <c r="J2617">
        <v>-364.59550000000002</v>
      </c>
      <c r="K2617">
        <v>1.111027</v>
      </c>
      <c r="L2617">
        <v>15.966189999999999</v>
      </c>
      <c r="M2617">
        <v>0.99958619999999998</v>
      </c>
      <c r="N2617">
        <v>0</v>
      </c>
      <c r="O2617">
        <v>2.5859679999999999E-2</v>
      </c>
      <c r="P2617">
        <v>0.98497380000000001</v>
      </c>
      <c r="Q2617">
        <v>0.1669987</v>
      </c>
      <c r="R2617">
        <v>4.4030630000000001E-2</v>
      </c>
      <c r="S2617">
        <v>2.9175110000000002</v>
      </c>
      <c r="T2617">
        <v>0.75676969999999899</v>
      </c>
      <c r="U2617">
        <v>-2.0751950000000002E-3</v>
      </c>
      <c r="V2617">
        <v>-1.886879E-2</v>
      </c>
      <c r="W2617">
        <v>0.17938200000000001</v>
      </c>
      <c r="X2617">
        <v>0.98359850000000004</v>
      </c>
      <c r="Y2617">
        <v>2.4893240000000001E-2</v>
      </c>
      <c r="Z2617">
        <v>9.7744649999999995E-3</v>
      </c>
      <c r="AA2617">
        <v>0.99964229999999998</v>
      </c>
      <c r="AB2617">
        <v>34</v>
      </c>
      <c r="AC2617">
        <v>2.9175110000000002</v>
      </c>
      <c r="AD2617">
        <v>0.75676969999999899</v>
      </c>
      <c r="AE2617">
        <v>-2.0751950000000002E-3</v>
      </c>
      <c r="AF2617">
        <v>7.2639050958285503E-2</v>
      </c>
      <c r="AG2617">
        <v>0.75676969999999899</v>
      </c>
      <c r="AH2617">
        <v>2.7326237026618299</v>
      </c>
      <c r="AI2617">
        <v>74.525725902874697</v>
      </c>
      <c r="AJ2617">
        <v>88.477312783883704</v>
      </c>
      <c r="AK2617">
        <v>2.8364077829027798</v>
      </c>
      <c r="AL2617">
        <v>79.666234567402995</v>
      </c>
      <c r="AM2617">
        <v>91.098994604216699</v>
      </c>
      <c r="AN2617">
        <v>0.99999997118115602</v>
      </c>
    </row>
    <row r="2618" spans="1:40" x14ac:dyDescent="0.3">
      <c r="A2618" t="str">
        <f>"20200111150858368"</f>
        <v>20200111150858368</v>
      </c>
      <c r="B2618" t="str">
        <f>"1578726538366172"</f>
        <v>1578726538366172</v>
      </c>
      <c r="C2618" t="s">
        <v>40</v>
      </c>
      <c r="D2618">
        <v>4.5823689999999999</v>
      </c>
      <c r="E2618">
        <v>0.46485029999999999</v>
      </c>
      <c r="F2618" t="s">
        <v>49</v>
      </c>
      <c r="G2618">
        <v>0</v>
      </c>
      <c r="H2618">
        <v>0</v>
      </c>
      <c r="I2618">
        <v>0</v>
      </c>
      <c r="J2618">
        <v>-331.2115</v>
      </c>
      <c r="K2618">
        <v>1.109469</v>
      </c>
      <c r="L2618">
        <v>17.00836</v>
      </c>
      <c r="M2618">
        <v>0.99931800000000004</v>
      </c>
      <c r="N2618">
        <v>0</v>
      </c>
      <c r="O2618">
        <v>3.4746569999999997E-2</v>
      </c>
      <c r="P2618">
        <v>0.98582499999999995</v>
      </c>
      <c r="Q2618">
        <v>0.16218070000000001</v>
      </c>
      <c r="R2618">
        <v>4.2969819999999999E-2</v>
      </c>
      <c r="S2618">
        <v>2.9109189999999998</v>
      </c>
      <c r="T2618">
        <v>0.79866559999999998</v>
      </c>
      <c r="U2618">
        <v>-1.2512209999999999E-2</v>
      </c>
      <c r="V2618">
        <v>-8.3473190000000006E-3</v>
      </c>
      <c r="W2618">
        <v>0.17451620000000001</v>
      </c>
      <c r="X2618">
        <v>0.98461889999999996</v>
      </c>
      <c r="Y2618">
        <v>3.6415080000000002E-2</v>
      </c>
      <c r="Z2618">
        <v>1.426477E-2</v>
      </c>
      <c r="AA2618">
        <v>0.99923490000000004</v>
      </c>
      <c r="AB2618">
        <v>33</v>
      </c>
      <c r="AC2618">
        <v>2.9109189999999998</v>
      </c>
      <c r="AD2618">
        <v>0.79866559999999998</v>
      </c>
      <c r="AE2618">
        <v>-1.2512209999999999E-2</v>
      </c>
      <c r="AF2618">
        <v>0.10570022071162299</v>
      </c>
      <c r="AG2618">
        <v>0.79866559999999998</v>
      </c>
      <c r="AH2618">
        <v>2.70509503983941</v>
      </c>
      <c r="AI2618">
        <v>73.562897304395193</v>
      </c>
      <c r="AJ2618">
        <v>87.762334761210994</v>
      </c>
      <c r="AK2618">
        <v>2.8225127903776901</v>
      </c>
      <c r="AL2618">
        <v>79.949494621977806</v>
      </c>
      <c r="AM2618">
        <v>90.485725686878197</v>
      </c>
      <c r="AN2618">
        <v>0.99999998001706802</v>
      </c>
    </row>
    <row r="2619" spans="1:40" x14ac:dyDescent="0.3">
      <c r="A2619" t="str">
        <f>"20200111150858381"</f>
        <v>20200111150858381</v>
      </c>
      <c r="B2619" t="str">
        <f>"1578726538376440"</f>
        <v>1578726538376440</v>
      </c>
      <c r="C2619" t="s">
        <v>40</v>
      </c>
      <c r="D2619">
        <v>6.0240650000000002</v>
      </c>
      <c r="E2619">
        <v>0.4870237</v>
      </c>
      <c r="F2619" t="s">
        <v>44</v>
      </c>
      <c r="G2619">
        <v>-299.86</v>
      </c>
      <c r="H2619">
        <v>-0.05</v>
      </c>
      <c r="I2619">
        <v>21.247620000000001</v>
      </c>
      <c r="J2619">
        <v>-331.03230000000002</v>
      </c>
      <c r="K2619">
        <v>1.109405</v>
      </c>
      <c r="L2619">
        <v>17.014099999999999</v>
      </c>
      <c r="M2619">
        <v>0.99933899999999998</v>
      </c>
      <c r="N2619">
        <v>0</v>
      </c>
      <c r="O2619">
        <v>3.414085E-2</v>
      </c>
      <c r="P2619">
        <v>0.98593889999999995</v>
      </c>
      <c r="Q2619">
        <v>0.16180329999999901</v>
      </c>
      <c r="R2619">
        <v>4.176585E-2</v>
      </c>
      <c r="S2619">
        <v>3.043701</v>
      </c>
      <c r="T2619">
        <v>-0.11256480000000001</v>
      </c>
      <c r="U2619">
        <v>0.41156009999999998</v>
      </c>
      <c r="V2619">
        <v>-7.7121339999999998E-3</v>
      </c>
      <c r="W2619">
        <v>0.17414009999999999</v>
      </c>
      <c r="X2619">
        <v>0.98469070000000003</v>
      </c>
      <c r="Y2619">
        <v>-0.10003960000000001</v>
      </c>
      <c r="Z2619">
        <v>5.8519829999999998E-4</v>
      </c>
      <c r="AA2619">
        <v>0.99498330000000001</v>
      </c>
      <c r="AB2619">
        <v>33</v>
      </c>
      <c r="AC2619">
        <v>31.1723</v>
      </c>
      <c r="AD2619">
        <v>-1.159405</v>
      </c>
      <c r="AE2619">
        <v>4.2335200000000004</v>
      </c>
      <c r="AF2619">
        <v>-3.1624242669509099</v>
      </c>
      <c r="AG2619">
        <v>-1.159405</v>
      </c>
      <c r="AH2619">
        <v>31.256216651757398</v>
      </c>
      <c r="AI2619">
        <v>92.113551001036001</v>
      </c>
      <c r="AJ2619">
        <v>95.777380231800393</v>
      </c>
      <c r="AK2619">
        <v>31.437179049333</v>
      </c>
      <c r="AL2619">
        <v>79.9713789968485</v>
      </c>
      <c r="AM2619">
        <v>90.448733490251399</v>
      </c>
      <c r="AN2619">
        <v>1.0000000130526601</v>
      </c>
    </row>
    <row r="2620" spans="1:40" x14ac:dyDescent="0.3">
      <c r="A2620" t="str">
        <f>"20200111150858393"</f>
        <v>20200111150858393</v>
      </c>
      <c r="B2620" t="str">
        <f>"1578726538386200"</f>
        <v>1578726538386200</v>
      </c>
      <c r="C2620" t="s">
        <v>40</v>
      </c>
      <c r="D2620">
        <v>5.1508760000000002</v>
      </c>
      <c r="E2620">
        <v>0.49876280000000001</v>
      </c>
      <c r="F2620" t="s">
        <v>101</v>
      </c>
      <c r="G2620">
        <v>-241.6901</v>
      </c>
      <c r="H2620">
        <v>21.790759999999999</v>
      </c>
      <c r="I2620">
        <v>23.982119999999998</v>
      </c>
      <c r="J2620">
        <v>-330.8519</v>
      </c>
      <c r="K2620">
        <v>1.1093379999999999</v>
      </c>
      <c r="L2620">
        <v>17.019649999999999</v>
      </c>
      <c r="M2620">
        <v>0.99936159999999996</v>
      </c>
      <c r="N2620">
        <v>0</v>
      </c>
      <c r="O2620">
        <v>3.3468379999999999E-2</v>
      </c>
      <c r="P2620">
        <v>0.98605640000000006</v>
      </c>
      <c r="Q2620">
        <v>0.16134000000000001</v>
      </c>
      <c r="R2620">
        <v>4.0768239999999997E-2</v>
      </c>
      <c r="S2620">
        <v>2.9221189999999999</v>
      </c>
      <c r="T2620">
        <v>0.67642579999999997</v>
      </c>
      <c r="U2620">
        <v>0.22790530000000001</v>
      </c>
      <c r="V2620">
        <v>-7.3483790000000004E-3</v>
      </c>
      <c r="W2620">
        <v>0.173679</v>
      </c>
      <c r="X2620">
        <v>0.98477490000000001</v>
      </c>
      <c r="Y2620">
        <v>-4.406525E-2</v>
      </c>
      <c r="Z2620">
        <v>2.6059080000000001E-3</v>
      </c>
      <c r="AA2620">
        <v>0.9990253</v>
      </c>
      <c r="AB2620">
        <v>33</v>
      </c>
      <c r="AC2620">
        <v>89.161799999999999</v>
      </c>
      <c r="AD2620">
        <v>20.681422000000001</v>
      </c>
      <c r="AE2620">
        <v>6.9624699999999997</v>
      </c>
      <c r="AF2620">
        <v>-3.7724948583717199</v>
      </c>
      <c r="AG2620">
        <v>20.681422000000001</v>
      </c>
      <c r="AH2620">
        <v>84.809563959299396</v>
      </c>
      <c r="AI2620">
        <v>76.308514333921295</v>
      </c>
      <c r="AJ2620">
        <v>92.546949100335397</v>
      </c>
      <c r="AK2620">
        <v>87.376284381776202</v>
      </c>
      <c r="AL2620">
        <v>79.9982067490036</v>
      </c>
      <c r="AM2620">
        <v>90.427532513986407</v>
      </c>
      <c r="AN2620">
        <v>0.99999999869246803</v>
      </c>
    </row>
    <row r="2621" spans="1:40" x14ac:dyDescent="0.3">
      <c r="A2621" t="str">
        <f>"20200111150858404"</f>
        <v>20200111150858404</v>
      </c>
      <c r="B2621" t="str">
        <f>"1578726538395961"</f>
        <v>1578726538395961</v>
      </c>
      <c r="C2621" t="s">
        <v>40</v>
      </c>
      <c r="D2621">
        <v>5.5895229999999998</v>
      </c>
      <c r="E2621">
        <v>0.49740709999999999</v>
      </c>
      <c r="F2621" t="s">
        <v>69</v>
      </c>
      <c r="G2621">
        <v>-274.99380000000002</v>
      </c>
      <c r="H2621">
        <v>11.071580000000001</v>
      </c>
      <c r="I2621">
        <v>19.51811</v>
      </c>
      <c r="J2621">
        <v>-330.67970000000003</v>
      </c>
      <c r="K2621">
        <v>1.1092759999999999</v>
      </c>
      <c r="L2621">
        <v>17.024840000000001</v>
      </c>
      <c r="M2621">
        <v>0.99938380000000004</v>
      </c>
      <c r="N2621">
        <v>0</v>
      </c>
      <c r="O2621">
        <v>3.2801919999999998E-2</v>
      </c>
      <c r="P2621">
        <v>0.98611459999999995</v>
      </c>
      <c r="Q2621">
        <v>0.16126109999999999</v>
      </c>
      <c r="R2621">
        <v>3.9662339999999997E-2</v>
      </c>
      <c r="S2621">
        <v>2.9508670000000001</v>
      </c>
      <c r="T2621">
        <v>0.52628520000000001</v>
      </c>
      <c r="U2621">
        <v>0.13198850000000001</v>
      </c>
      <c r="V2621">
        <v>-6.8737319999999996E-3</v>
      </c>
      <c r="W2621">
        <v>0.17360100000000001</v>
      </c>
      <c r="X2621">
        <v>0.98479209999999995</v>
      </c>
      <c r="Y2621">
        <v>-1.221233E-2</v>
      </c>
      <c r="Z2621">
        <v>4.7202059999999898E-3</v>
      </c>
      <c r="AA2621">
        <v>0.99991430000000003</v>
      </c>
      <c r="AB2621">
        <v>33</v>
      </c>
      <c r="AC2621">
        <v>55.685899999999997</v>
      </c>
      <c r="AD2621">
        <v>9.9623039999999996</v>
      </c>
      <c r="AE2621">
        <v>2.4932699999999901</v>
      </c>
      <c r="AF2621">
        <v>-0.64459169752894097</v>
      </c>
      <c r="AG2621">
        <v>9.9623039999999996</v>
      </c>
      <c r="AH2621">
        <v>54.012464471936099</v>
      </c>
      <c r="AI2621">
        <v>79.550285131670407</v>
      </c>
      <c r="AJ2621">
        <v>90.683742742400597</v>
      </c>
      <c r="AK2621">
        <v>54.927309398668903</v>
      </c>
      <c r="AL2621">
        <v>80.002744948850605</v>
      </c>
      <c r="AM2621">
        <v>90.399911247827802</v>
      </c>
      <c r="AN2621">
        <v>1.0000000178074999</v>
      </c>
    </row>
    <row r="2622" spans="1:40" x14ac:dyDescent="0.3">
      <c r="A2622" t="str">
        <f>"20200111150858415"</f>
        <v>20200111150858415</v>
      </c>
      <c r="B2622" t="str">
        <f>"1578726538406696"</f>
        <v>1578726538406696</v>
      </c>
      <c r="C2622" t="s">
        <v>40</v>
      </c>
      <c r="D2622">
        <v>4.8297169999999996</v>
      </c>
      <c r="E2622">
        <v>0.50640070000000004</v>
      </c>
      <c r="F2622" t="s">
        <v>69</v>
      </c>
      <c r="G2622">
        <v>-274.99380000000002</v>
      </c>
      <c r="H2622">
        <v>11.770300000000001</v>
      </c>
      <c r="I2622">
        <v>19.660689999999999</v>
      </c>
      <c r="J2622">
        <v>-330.50240000000002</v>
      </c>
      <c r="K2622">
        <v>1.109216</v>
      </c>
      <c r="L2622">
        <v>17.03</v>
      </c>
      <c r="M2622">
        <v>0.99940709999999999</v>
      </c>
      <c r="N2622">
        <v>0</v>
      </c>
      <c r="O2622">
        <v>3.2080780000000003E-2</v>
      </c>
      <c r="P2622">
        <v>0.98622379999999998</v>
      </c>
      <c r="Q2622">
        <v>0.16080239999999901</v>
      </c>
      <c r="R2622">
        <v>3.8796659999999997E-2</v>
      </c>
      <c r="S2622">
        <v>2.944458</v>
      </c>
      <c r="T2622">
        <v>0.56371490000000002</v>
      </c>
      <c r="U2622">
        <v>0.13937379999999999</v>
      </c>
      <c r="V2622">
        <v>-6.6916090000000003E-3</v>
      </c>
      <c r="W2622">
        <v>0.1731441</v>
      </c>
      <c r="X2622">
        <v>0.98487380000000002</v>
      </c>
      <c r="Y2622">
        <v>-1.550965E-2</v>
      </c>
      <c r="Z2622">
        <v>4.6113070000000003E-3</v>
      </c>
      <c r="AA2622">
        <v>0.99986909999999896</v>
      </c>
      <c r="AB2622">
        <v>33</v>
      </c>
      <c r="AC2622">
        <v>55.508600000000001</v>
      </c>
      <c r="AD2622">
        <v>10.661083999999899</v>
      </c>
      <c r="AE2622">
        <v>2.6306899999999902</v>
      </c>
      <c r="AF2622">
        <v>-0.81831907191439002</v>
      </c>
      <c r="AG2622">
        <v>10.661083999999899</v>
      </c>
      <c r="AH2622">
        <v>53.591968316294299</v>
      </c>
      <c r="AI2622">
        <v>78.750271419998199</v>
      </c>
      <c r="AJ2622">
        <v>90.874806191463406</v>
      </c>
      <c r="AK2622">
        <v>54.648215214892403</v>
      </c>
      <c r="AL2622">
        <v>80.029326041616997</v>
      </c>
      <c r="AM2622">
        <v>90.389283433358301</v>
      </c>
      <c r="AN2622">
        <v>1.00000002946112</v>
      </c>
    </row>
    <row r="2623" spans="1:40" x14ac:dyDescent="0.3">
      <c r="A2623" t="str">
        <f>"20200111150858427"</f>
        <v>20200111150858427</v>
      </c>
      <c r="B2623" t="str">
        <f>"1578726538416457"</f>
        <v>1578726538416457</v>
      </c>
      <c r="C2623" t="s">
        <v>40</v>
      </c>
      <c r="D2623">
        <v>6.9071199999999999</v>
      </c>
      <c r="E2623">
        <v>0.50964469999999995</v>
      </c>
      <c r="F2623" t="s">
        <v>101</v>
      </c>
      <c r="G2623">
        <v>-241.07</v>
      </c>
      <c r="H2623">
        <v>20.553280000000001</v>
      </c>
      <c r="I2623">
        <v>19.008649999999999</v>
      </c>
      <c r="J2623">
        <v>-330.33859999999999</v>
      </c>
      <c r="K2623">
        <v>1.1091599999999999</v>
      </c>
      <c r="L2623">
        <v>17.03464</v>
      </c>
      <c r="M2623">
        <v>0.99942969999999998</v>
      </c>
      <c r="N2623">
        <v>0</v>
      </c>
      <c r="O2623">
        <v>3.1372579999999997E-2</v>
      </c>
      <c r="P2623">
        <v>0.98626860000000005</v>
      </c>
      <c r="Q2623">
        <v>0.16070570000000001</v>
      </c>
      <c r="R2623">
        <v>3.8057580000000001E-2</v>
      </c>
      <c r="S2623">
        <v>2.9352719999999999</v>
      </c>
      <c r="T2623">
        <v>0.63817570000000001</v>
      </c>
      <c r="U2623">
        <v>6.4941410000000005E-2</v>
      </c>
      <c r="V2623">
        <v>-6.6259750000000001E-3</v>
      </c>
      <c r="W2623">
        <v>0.17304919999999999</v>
      </c>
      <c r="X2623">
        <v>0.98489090000000001</v>
      </c>
      <c r="Y2623">
        <v>8.3323149999999999E-3</v>
      </c>
      <c r="Z2623">
        <v>7.635691E-3</v>
      </c>
      <c r="AA2623">
        <v>0.99993609999999999</v>
      </c>
      <c r="AB2623">
        <v>33</v>
      </c>
      <c r="AC2623">
        <v>89.268599999999907</v>
      </c>
      <c r="AD2623">
        <v>19.444120000000002</v>
      </c>
      <c r="AE2623">
        <v>1.97401</v>
      </c>
      <c r="AF2623">
        <v>0.79029061983030602</v>
      </c>
      <c r="AG2623">
        <v>19.444120000000002</v>
      </c>
      <c r="AH2623">
        <v>85.244254500604598</v>
      </c>
      <c r="AI2623">
        <v>77.151264997893193</v>
      </c>
      <c r="AJ2623">
        <v>89.468832003241999</v>
      </c>
      <c r="AK2623">
        <v>87.437299176049805</v>
      </c>
      <c r="AL2623">
        <v>80.034846521071998</v>
      </c>
      <c r="AM2623">
        <v>90.385458607842395</v>
      </c>
      <c r="AN2623">
        <v>1.00000000703407</v>
      </c>
    </row>
    <row r="2624" spans="1:40" x14ac:dyDescent="0.3">
      <c r="A2624" t="str">
        <f>"20200111150858437"</f>
        <v>20200111150858437</v>
      </c>
      <c r="B2624" t="str">
        <f>"1578726538435977"</f>
        <v>1578726538435977</v>
      </c>
      <c r="C2624" t="s">
        <v>40</v>
      </c>
      <c r="D2624">
        <v>4.8733420000000001</v>
      </c>
      <c r="E2624">
        <v>0.50506620000000002</v>
      </c>
      <c r="F2624" t="s">
        <v>101</v>
      </c>
      <c r="G2624">
        <v>-241.6901</v>
      </c>
      <c r="H2624">
        <v>21.427309999999999</v>
      </c>
      <c r="I2624">
        <v>18.150670000000002</v>
      </c>
      <c r="J2624">
        <v>-330.16669999999999</v>
      </c>
      <c r="K2624">
        <v>1.1090990000000001</v>
      </c>
      <c r="L2624">
        <v>17.039400000000001</v>
      </c>
      <c r="M2624">
        <v>0.99945320000000004</v>
      </c>
      <c r="N2624">
        <v>0</v>
      </c>
      <c r="O2624">
        <v>3.0611389999999999E-2</v>
      </c>
      <c r="P2624">
        <v>0.98633859999999995</v>
      </c>
      <c r="Q2624">
        <v>0.16037499999999999</v>
      </c>
      <c r="R2624">
        <v>3.7629250000000003E-2</v>
      </c>
      <c r="S2624">
        <v>2.9308779999999999</v>
      </c>
      <c r="T2624">
        <v>0.67175439999999997</v>
      </c>
      <c r="U2624">
        <v>3.6895749999999998E-2</v>
      </c>
      <c r="V2624">
        <v>-6.922246E-3</v>
      </c>
      <c r="W2624">
        <v>0.17272190000000001</v>
      </c>
      <c r="X2624">
        <v>0.98494630000000005</v>
      </c>
      <c r="Y2624">
        <v>1.6800659999999999E-2</v>
      </c>
      <c r="Z2624">
        <v>8.8260609999999996E-3</v>
      </c>
      <c r="AA2624">
        <v>0.99981989999999998</v>
      </c>
      <c r="AB2624">
        <v>33</v>
      </c>
      <c r="AC2624">
        <v>88.476599999999905</v>
      </c>
      <c r="AD2624">
        <v>20.318210999999899</v>
      </c>
      <c r="AE2624">
        <v>1.11127</v>
      </c>
      <c r="AF2624">
        <v>1.51782169286992</v>
      </c>
      <c r="AG2624">
        <v>20.318210999999899</v>
      </c>
      <c r="AH2624">
        <v>84.037953324601006</v>
      </c>
      <c r="AI2624">
        <v>76.410320493328996</v>
      </c>
      <c r="AJ2624">
        <v>88.965285096186307</v>
      </c>
      <c r="AK2624">
        <v>86.472603059695601</v>
      </c>
      <c r="AL2624">
        <v>80.053885989169203</v>
      </c>
      <c r="AM2624">
        <v>90.402670633599001</v>
      </c>
      <c r="AN2624">
        <v>0.99999999305649201</v>
      </c>
    </row>
    <row r="2625" spans="1:40" x14ac:dyDescent="0.3">
      <c r="A2625" t="str">
        <f>"20200111150858449"</f>
        <v>20200111150858449</v>
      </c>
      <c r="B2625" t="str">
        <f>"1578726538446712"</f>
        <v>1578726538446712</v>
      </c>
      <c r="C2625" t="s">
        <v>40</v>
      </c>
      <c r="D2625">
        <v>4.9334670000000003</v>
      </c>
      <c r="E2625">
        <v>0.5043744</v>
      </c>
      <c r="F2625" t="s">
        <v>49</v>
      </c>
      <c r="G2625">
        <v>0</v>
      </c>
      <c r="H2625">
        <v>0</v>
      </c>
      <c r="I2625">
        <v>0</v>
      </c>
      <c r="J2625">
        <v>-330.0102</v>
      </c>
      <c r="K2625">
        <v>1.109038</v>
      </c>
      <c r="L2625">
        <v>17.04346</v>
      </c>
      <c r="M2625">
        <v>0.99947600000000003</v>
      </c>
      <c r="N2625">
        <v>0</v>
      </c>
      <c r="O2625">
        <v>2.9857430000000001E-2</v>
      </c>
      <c r="P2625">
        <v>0.98636789999999996</v>
      </c>
      <c r="Q2625">
        <v>0.1603348</v>
      </c>
      <c r="R2625">
        <v>3.7031769999999999E-2</v>
      </c>
      <c r="S2625">
        <v>2.9189759999999998</v>
      </c>
      <c r="T2625">
        <v>0.73714829999999998</v>
      </c>
      <c r="U2625">
        <v>7.2143550000000001E-2</v>
      </c>
      <c r="V2625">
        <v>-7.0444059999999996E-3</v>
      </c>
      <c r="W2625">
        <v>0.1726838</v>
      </c>
      <c r="X2625">
        <v>0.9849521</v>
      </c>
      <c r="Y2625">
        <v>4.0890869999999999E-3</v>
      </c>
      <c r="Z2625">
        <v>7.9298169999999901E-3</v>
      </c>
      <c r="AA2625">
        <v>0.99996019999999997</v>
      </c>
      <c r="AB2625">
        <v>33</v>
      </c>
      <c r="AC2625">
        <v>2.9189759999999998</v>
      </c>
      <c r="AD2625">
        <v>0.73714829999999998</v>
      </c>
      <c r="AE2625">
        <v>7.2143550000000001E-2</v>
      </c>
      <c r="AF2625">
        <v>1.4146887332304001E-2</v>
      </c>
      <c r="AG2625">
        <v>0.73714829999999998</v>
      </c>
      <c r="AH2625">
        <v>2.7448813848190898</v>
      </c>
      <c r="AI2625">
        <v>74.967875089186194</v>
      </c>
      <c r="AJ2625">
        <v>89.704704995601901</v>
      </c>
      <c r="AK2625">
        <v>2.8421754990395001</v>
      </c>
      <c r="AL2625">
        <v>80.056102117594804</v>
      </c>
      <c r="AM2625">
        <v>90.409774090894601</v>
      </c>
      <c r="AN2625">
        <v>0.99999997886637104</v>
      </c>
    </row>
    <row r="2626" spans="1:40" x14ac:dyDescent="0.3">
      <c r="A2626" t="str">
        <f>"20200111150858461"</f>
        <v>20200111150858461</v>
      </c>
      <c r="B2626" t="str">
        <f>"1578726538456472"</f>
        <v>1578726538456472</v>
      </c>
      <c r="C2626" t="s">
        <v>40</v>
      </c>
      <c r="D2626">
        <v>5.1784840000000001</v>
      </c>
      <c r="E2626">
        <v>0.50571769999999905</v>
      </c>
      <c r="F2626" t="s">
        <v>49</v>
      </c>
      <c r="G2626">
        <v>0</v>
      </c>
      <c r="H2626">
        <v>0</v>
      </c>
      <c r="I2626">
        <v>0</v>
      </c>
      <c r="J2626">
        <v>-329.83749999999998</v>
      </c>
      <c r="K2626">
        <v>1.108973</v>
      </c>
      <c r="L2626">
        <v>17.047910000000002</v>
      </c>
      <c r="M2626">
        <v>0.99950090000000003</v>
      </c>
      <c r="N2626">
        <v>0</v>
      </c>
      <c r="O2626">
        <v>2.9010520000000001E-2</v>
      </c>
      <c r="P2626">
        <v>0.98636950000000001</v>
      </c>
      <c r="Q2626">
        <v>0.16028229999999999</v>
      </c>
      <c r="R2626">
        <v>3.7213839999999998E-2</v>
      </c>
      <c r="S2626">
        <v>2.9146420000000002</v>
      </c>
      <c r="T2626">
        <v>0.76248359999999904</v>
      </c>
      <c r="U2626">
        <v>7.6019290000000003E-2</v>
      </c>
      <c r="V2626">
        <v>-8.0345169999999997E-3</v>
      </c>
      <c r="W2626">
        <v>0.1726364</v>
      </c>
      <c r="X2626">
        <v>0.98495290000000002</v>
      </c>
      <c r="Y2626">
        <v>1.9016700000000001E-3</v>
      </c>
      <c r="Z2626">
        <v>7.7061680000000002E-3</v>
      </c>
      <c r="AA2626">
        <v>0.99996850000000004</v>
      </c>
      <c r="AB2626">
        <v>33</v>
      </c>
      <c r="AC2626">
        <v>2.9146420000000002</v>
      </c>
      <c r="AD2626">
        <v>0.76248359999999904</v>
      </c>
      <c r="AE2626">
        <v>7.6019290000000003E-2</v>
      </c>
      <c r="AF2626">
        <v>8.0257192901012301E-3</v>
      </c>
      <c r="AG2626">
        <v>0.76248359999999904</v>
      </c>
      <c r="AH2626">
        <v>2.7289842204852</v>
      </c>
      <c r="AI2626">
        <v>74.389595601492601</v>
      </c>
      <c r="AJ2626">
        <v>89.831498286535904</v>
      </c>
      <c r="AK2626">
        <v>2.83351381293551</v>
      </c>
      <c r="AL2626">
        <v>80.058860037813403</v>
      </c>
      <c r="AM2626">
        <v>90.467366210474395</v>
      </c>
      <c r="AN2626">
        <v>1.0000000476433899</v>
      </c>
    </row>
    <row r="2627" spans="1:40" x14ac:dyDescent="0.3">
      <c r="A2627" t="str">
        <f>"20200111150858474"</f>
        <v>20200111150858474</v>
      </c>
      <c r="B2627" t="str">
        <f>"1578726538466232"</f>
        <v>1578726538466232</v>
      </c>
      <c r="C2627" t="s">
        <v>40</v>
      </c>
      <c r="D2627">
        <v>5.1599750000000002</v>
      </c>
      <c r="E2627">
        <v>0.50552059999999999</v>
      </c>
      <c r="F2627" t="s">
        <v>49</v>
      </c>
      <c r="G2627">
        <v>0</v>
      </c>
      <c r="H2627">
        <v>0</v>
      </c>
      <c r="I2627">
        <v>0</v>
      </c>
      <c r="J2627">
        <v>-329.64699999999999</v>
      </c>
      <c r="K2627">
        <v>1.1088910000000001</v>
      </c>
      <c r="L2627">
        <v>17.052520000000001</v>
      </c>
      <c r="M2627">
        <v>0.99952989999999997</v>
      </c>
      <c r="N2627">
        <v>0</v>
      </c>
      <c r="O2627">
        <v>2.7997749999999998E-2</v>
      </c>
      <c r="P2627">
        <v>0.98632540000000002</v>
      </c>
      <c r="Q2627">
        <v>0.16057249999999901</v>
      </c>
      <c r="R2627">
        <v>3.7134060000000003E-2</v>
      </c>
      <c r="S2627">
        <v>2.916687</v>
      </c>
      <c r="T2627">
        <v>0.75242959999999903</v>
      </c>
      <c r="U2627">
        <v>6.607056E-2</v>
      </c>
      <c r="V2627">
        <v>-8.9212340000000001E-3</v>
      </c>
      <c r="W2627">
        <v>0.17293229999999901</v>
      </c>
      <c r="X2627">
        <v>0.98489329999999997</v>
      </c>
      <c r="Y2627">
        <v>4.2983070000000003E-3</v>
      </c>
      <c r="Z2627">
        <v>7.6502189999999998E-3</v>
      </c>
      <c r="AA2627">
        <v>0.99996149999999995</v>
      </c>
      <c r="AB2627">
        <v>33</v>
      </c>
      <c r="AC2627">
        <v>2.916687</v>
      </c>
      <c r="AD2627">
        <v>0.75242959999999903</v>
      </c>
      <c r="AE2627">
        <v>6.607056E-2</v>
      </c>
      <c r="AF2627">
        <v>1.46480554682432E-2</v>
      </c>
      <c r="AG2627">
        <v>0.75242959999999903</v>
      </c>
      <c r="AH2627">
        <v>2.7354414587895901</v>
      </c>
      <c r="AI2627">
        <v>74.620391433375801</v>
      </c>
      <c r="AJ2627">
        <v>89.693188925036196</v>
      </c>
      <c r="AK2627">
        <v>2.83707681301548</v>
      </c>
      <c r="AL2627">
        <v>80.041646758874805</v>
      </c>
      <c r="AM2627">
        <v>90.518975078049806</v>
      </c>
      <c r="AN2627">
        <v>0.99999999059213096</v>
      </c>
    </row>
    <row r="2628" spans="1:40" x14ac:dyDescent="0.3">
      <c r="A2628" t="str">
        <f>"20200111150858490"</f>
        <v>20200111150858490</v>
      </c>
      <c r="B2628" t="str">
        <f>"1578726538486728"</f>
        <v>1578726538486728</v>
      </c>
      <c r="C2628" t="s">
        <v>40</v>
      </c>
      <c r="D2628">
        <v>5.1512180000000001</v>
      </c>
      <c r="E2628">
        <v>0.50596579999999902</v>
      </c>
      <c r="F2628" t="s">
        <v>49</v>
      </c>
      <c r="G2628">
        <v>0</v>
      </c>
      <c r="H2628">
        <v>0</v>
      </c>
      <c r="I2628">
        <v>0</v>
      </c>
      <c r="J2628">
        <v>-329.39510000000001</v>
      </c>
      <c r="K2628">
        <v>1.108786</v>
      </c>
      <c r="L2628">
        <v>17.05829</v>
      </c>
      <c r="M2628">
        <v>0.99956829999999997</v>
      </c>
      <c r="N2628">
        <v>0</v>
      </c>
      <c r="O2628">
        <v>2.658572E-2</v>
      </c>
      <c r="P2628">
        <v>0.98617379999999999</v>
      </c>
      <c r="Q2628">
        <v>0.16128039999999999</v>
      </c>
      <c r="R2628">
        <v>3.8076459999999999E-2</v>
      </c>
      <c r="S2628">
        <v>2.9211119999999999</v>
      </c>
      <c r="T2628">
        <v>0.72422119999999901</v>
      </c>
      <c r="U2628">
        <v>6.7565920000000002E-2</v>
      </c>
      <c r="V2628">
        <v>-1.1212990000000001E-2</v>
      </c>
      <c r="W2628">
        <v>0.17365079999999999</v>
      </c>
      <c r="X2628">
        <v>0.98474349999999999</v>
      </c>
      <c r="Y2628">
        <v>2.5824530000000002E-3</v>
      </c>
      <c r="Z2628">
        <v>6.8069360000000004E-3</v>
      </c>
      <c r="AA2628">
        <v>0.99997349999999996</v>
      </c>
      <c r="AB2628">
        <v>33</v>
      </c>
      <c r="AC2628">
        <v>2.9211119999999999</v>
      </c>
      <c r="AD2628">
        <v>0.72422119999999901</v>
      </c>
      <c r="AE2628">
        <v>6.7565920000000002E-2</v>
      </c>
      <c r="AF2628">
        <v>9.5379449047290205E-3</v>
      </c>
      <c r="AG2628">
        <v>0.72422119999999901</v>
      </c>
      <c r="AH2628">
        <v>2.7527607263162102</v>
      </c>
      <c r="AI2628">
        <v>75.260210975267796</v>
      </c>
      <c r="AJ2628">
        <v>89.801478640638393</v>
      </c>
      <c r="AK2628">
        <v>2.8464502341111402</v>
      </c>
      <c r="AL2628">
        <v>79.999847899657695</v>
      </c>
      <c r="AM2628">
        <v>90.652382309191296</v>
      </c>
      <c r="AN2628">
        <v>1.0000000461388101</v>
      </c>
    </row>
    <row r="2629" spans="1:40" x14ac:dyDescent="0.3">
      <c r="A2629" t="str">
        <f>"20200111150858504"</f>
        <v>20200111150858504</v>
      </c>
      <c r="B2629" t="str">
        <f>"1578726538496489"</f>
        <v>1578726538496489</v>
      </c>
      <c r="C2629" t="s">
        <v>40</v>
      </c>
      <c r="D2629">
        <v>6.0573550000000003</v>
      </c>
      <c r="E2629">
        <v>0.50871250000000001</v>
      </c>
      <c r="F2629" t="s">
        <v>101</v>
      </c>
      <c r="G2629">
        <v>-241.6901</v>
      </c>
      <c r="H2629">
        <v>21.635929999999998</v>
      </c>
      <c r="I2629">
        <v>19.060649999999999</v>
      </c>
      <c r="J2629">
        <v>-329.20119999999997</v>
      </c>
      <c r="K2629">
        <v>1.108703</v>
      </c>
      <c r="L2629">
        <v>17.06241</v>
      </c>
      <c r="M2629">
        <v>0.99959819999999999</v>
      </c>
      <c r="N2629">
        <v>0</v>
      </c>
      <c r="O2629">
        <v>2.5438740000000001E-2</v>
      </c>
      <c r="P2629">
        <v>0.98613260000000003</v>
      </c>
      <c r="Q2629">
        <v>0.16159219999999999</v>
      </c>
      <c r="R2629">
        <v>3.7822469999999997E-2</v>
      </c>
      <c r="S2629">
        <v>2.9274290000000001</v>
      </c>
      <c r="T2629">
        <v>0.68515719999999902</v>
      </c>
      <c r="U2629">
        <v>6.6833500000000004E-2</v>
      </c>
      <c r="V2629">
        <v>-1.205469E-2</v>
      </c>
      <c r="W2629">
        <v>0.1739696</v>
      </c>
      <c r="X2629">
        <v>0.98467729999999998</v>
      </c>
      <c r="Y2629">
        <v>1.8796290000000001E-3</v>
      </c>
      <c r="Z2629">
        <v>6.0903169999999996E-3</v>
      </c>
      <c r="AA2629">
        <v>0.99997970000000003</v>
      </c>
      <c r="AB2629">
        <v>33</v>
      </c>
      <c r="AC2629">
        <v>87.5110999999999</v>
      </c>
      <c r="AD2629">
        <v>20.527227</v>
      </c>
      <c r="AE2629">
        <v>1.99823999999999</v>
      </c>
      <c r="AF2629">
        <v>0.21682881131866799</v>
      </c>
      <c r="AG2629">
        <v>20.527227</v>
      </c>
      <c r="AH2629">
        <v>82.970794124084094</v>
      </c>
      <c r="AI2629">
        <v>76.103929502278902</v>
      </c>
      <c r="AJ2629">
        <v>89.850268427400195</v>
      </c>
      <c r="AK2629">
        <v>85.472608130465403</v>
      </c>
      <c r="AL2629">
        <v>79.981299839245196</v>
      </c>
      <c r="AM2629">
        <v>90.701395633341093</v>
      </c>
      <c r="AN2629">
        <v>1.00000006120522</v>
      </c>
    </row>
    <row r="2630" spans="1:40" x14ac:dyDescent="0.3">
      <c r="A2630" t="str">
        <f>"20200111150858516"</f>
        <v>20200111150858516</v>
      </c>
      <c r="B2630" t="str">
        <f>"1578726538506250"</f>
        <v>1578726538506250</v>
      </c>
      <c r="C2630" t="s">
        <v>40</v>
      </c>
      <c r="D2630">
        <v>5.157375</v>
      </c>
      <c r="E2630">
        <v>0.50888420000000001</v>
      </c>
      <c r="F2630" t="s">
        <v>49</v>
      </c>
      <c r="G2630">
        <v>0</v>
      </c>
      <c r="H2630">
        <v>0</v>
      </c>
      <c r="I2630">
        <v>0</v>
      </c>
      <c r="J2630">
        <v>-328.99430000000001</v>
      </c>
      <c r="K2630">
        <v>1.1086069999999999</v>
      </c>
      <c r="L2630">
        <v>17.066559999999999</v>
      </c>
      <c r="M2630">
        <v>0.99963029999999997</v>
      </c>
      <c r="N2630">
        <v>0</v>
      </c>
      <c r="O2630">
        <v>2.4142630000000002E-2</v>
      </c>
      <c r="P2630">
        <v>0.98607610000000001</v>
      </c>
      <c r="Q2630">
        <v>0.1619843</v>
      </c>
      <c r="R2630">
        <v>3.7617240000000003E-2</v>
      </c>
      <c r="S2630">
        <v>2.9255979999999999</v>
      </c>
      <c r="T2630">
        <v>0.70109239999999995</v>
      </c>
      <c r="U2630">
        <v>4.4067380000000003E-2</v>
      </c>
      <c r="V2630">
        <v>-1.308718E-2</v>
      </c>
      <c r="W2630">
        <v>0.1743702</v>
      </c>
      <c r="X2630">
        <v>0.98459319999999895</v>
      </c>
      <c r="Y2630">
        <v>8.1706369999999997E-3</v>
      </c>
      <c r="Z2630">
        <v>6.6695460000000002E-3</v>
      </c>
      <c r="AA2630">
        <v>0.99994439999999996</v>
      </c>
      <c r="AB2630">
        <v>33</v>
      </c>
      <c r="AC2630">
        <v>2.9255979999999999</v>
      </c>
      <c r="AD2630">
        <v>0.70109239999999995</v>
      </c>
      <c r="AE2630">
        <v>4.4067380000000003E-2</v>
      </c>
      <c r="AF2630">
        <v>2.51392588930873E-2</v>
      </c>
      <c r="AG2630">
        <v>0.70109239999999995</v>
      </c>
      <c r="AH2630">
        <v>2.7669458914826999</v>
      </c>
      <c r="AI2630">
        <v>75.782125995525405</v>
      </c>
      <c r="AJ2630">
        <v>89.479449956715499</v>
      </c>
      <c r="AK2630">
        <v>2.8544968211697901</v>
      </c>
      <c r="AL2630">
        <v>79.957990320148298</v>
      </c>
      <c r="AM2630">
        <v>90.761528745807098</v>
      </c>
      <c r="AN2630">
        <v>1.0000000052073099</v>
      </c>
    </row>
    <row r="2631" spans="1:40" x14ac:dyDescent="0.3">
      <c r="A2631" t="str">
        <f>"20200111150858530"</f>
        <v>20200111150858530</v>
      </c>
      <c r="B2631" t="str">
        <f>"1578726538526744"</f>
        <v>1578726538526744</v>
      </c>
      <c r="C2631" t="s">
        <v>40</v>
      </c>
      <c r="D2631">
        <v>5.3386440000000004</v>
      </c>
      <c r="E2631">
        <v>0.50762549999999995</v>
      </c>
      <c r="F2631" t="s">
        <v>101</v>
      </c>
      <c r="G2631">
        <v>-241.6901</v>
      </c>
      <c r="H2631">
        <v>21.686119999999999</v>
      </c>
      <c r="I2631">
        <v>18.315259999999999</v>
      </c>
      <c r="J2631">
        <v>-328.80759999999998</v>
      </c>
      <c r="K2631">
        <v>1.1085240000000001</v>
      </c>
      <c r="L2631">
        <v>17.069890000000001</v>
      </c>
      <c r="M2631">
        <v>0.99965970000000004</v>
      </c>
      <c r="N2631">
        <v>0</v>
      </c>
      <c r="O2631">
        <v>2.2891729999999999E-2</v>
      </c>
      <c r="P2631">
        <v>0.98597840000000003</v>
      </c>
      <c r="Q2631">
        <v>0.16261800000000001</v>
      </c>
      <c r="R2631">
        <v>3.7447590000000003E-2</v>
      </c>
      <c r="S2631">
        <v>2.9274290000000001</v>
      </c>
      <c r="T2631">
        <v>0.68999169999999999</v>
      </c>
      <c r="U2631">
        <v>4.1870119999999997E-2</v>
      </c>
      <c r="V2631">
        <v>-1.4113260000000001E-2</v>
      </c>
      <c r="W2631">
        <v>0.175012</v>
      </c>
      <c r="X2631">
        <v>0.98446509999999998</v>
      </c>
      <c r="Y2631">
        <v>7.754225E-3</v>
      </c>
      <c r="Z2631">
        <v>6.223653E-3</v>
      </c>
      <c r="AA2631">
        <v>0.99995060000000002</v>
      </c>
      <c r="AB2631">
        <v>33</v>
      </c>
      <c r="AC2631">
        <v>87.117499999999893</v>
      </c>
      <c r="AD2631">
        <v>20.577596</v>
      </c>
      <c r="AE2631">
        <v>1.2453700000000001</v>
      </c>
      <c r="AF2631">
        <v>0.70978962400714596</v>
      </c>
      <c r="AG2631">
        <v>20.577596</v>
      </c>
      <c r="AH2631">
        <v>82.520088787672293</v>
      </c>
      <c r="AI2631">
        <v>75.998518815470902</v>
      </c>
      <c r="AJ2631">
        <v>89.5071873102778</v>
      </c>
      <c r="AK2631">
        <v>85.050022410196206</v>
      </c>
      <c r="AL2631">
        <v>79.920643145064403</v>
      </c>
      <c r="AM2631">
        <v>90.821334187922105</v>
      </c>
      <c r="AN2631">
        <v>0.99999995868491798</v>
      </c>
    </row>
    <row r="2632" spans="1:40" x14ac:dyDescent="0.3">
      <c r="A2632" t="str">
        <f>"20200111150858548"</f>
        <v>20200111150858548</v>
      </c>
      <c r="B2632" t="str">
        <f>"1578726538536504"</f>
        <v>1578726538536504</v>
      </c>
      <c r="C2632" t="s">
        <v>40</v>
      </c>
      <c r="D2632">
        <v>5.5452409999999999</v>
      </c>
      <c r="E2632">
        <v>0.51047929999999997</v>
      </c>
      <c r="F2632" t="s">
        <v>101</v>
      </c>
      <c r="G2632">
        <v>-241.6901</v>
      </c>
      <c r="H2632">
        <v>21.42867</v>
      </c>
      <c r="I2632">
        <v>18.593489999999999</v>
      </c>
      <c r="J2632">
        <v>-328.54039999999998</v>
      </c>
      <c r="K2632">
        <v>1.1083940000000001</v>
      </c>
      <c r="L2632">
        <v>17.074249999999999</v>
      </c>
      <c r="M2632">
        <v>0.99970110000000001</v>
      </c>
      <c r="N2632">
        <v>0</v>
      </c>
      <c r="O2632">
        <v>2.100132E-2</v>
      </c>
      <c r="P2632">
        <v>0.98575679999999999</v>
      </c>
      <c r="Q2632">
        <v>0.16359399999999999</v>
      </c>
      <c r="R2632">
        <v>3.8992520000000003E-2</v>
      </c>
      <c r="S2632">
        <v>2.9280400000000002</v>
      </c>
      <c r="T2632">
        <v>0.68296409999999996</v>
      </c>
      <c r="U2632">
        <v>5.1208499999999997E-2</v>
      </c>
      <c r="V2632">
        <v>-1.7464560000000001E-2</v>
      </c>
      <c r="W2632">
        <v>0.176009</v>
      </c>
      <c r="X2632">
        <v>0.98423360000000004</v>
      </c>
      <c r="Y2632">
        <v>2.876609E-3</v>
      </c>
      <c r="Z2632">
        <v>5.1642270000000004E-3</v>
      </c>
      <c r="AA2632">
        <v>0.9999825</v>
      </c>
      <c r="AB2632">
        <v>33</v>
      </c>
      <c r="AC2632">
        <v>86.850299999999905</v>
      </c>
      <c r="AD2632">
        <v>20.320276</v>
      </c>
      <c r="AE2632">
        <v>1.5192399999999999</v>
      </c>
      <c r="AF2632">
        <v>0.28937308431613301</v>
      </c>
      <c r="AG2632">
        <v>20.320276</v>
      </c>
      <c r="AH2632">
        <v>82.356132767743006</v>
      </c>
      <c r="AI2632">
        <v>76.139951247523101</v>
      </c>
      <c r="AJ2632">
        <v>89.798681802459996</v>
      </c>
      <c r="AK2632">
        <v>84.826469677549497</v>
      </c>
      <c r="AL2632">
        <v>79.862618774346601</v>
      </c>
      <c r="AM2632">
        <v>91.016568198295104</v>
      </c>
      <c r="AN2632">
        <v>0.999999979152976</v>
      </c>
    </row>
    <row r="2633" spans="1:40" x14ac:dyDescent="0.3">
      <c r="A2633" t="str">
        <f>"20200111150858748"</f>
        <v>20200111150858748</v>
      </c>
      <c r="B2633" t="str">
        <f>"1578726538746489"</f>
        <v>1578726538746489</v>
      </c>
      <c r="C2633" t="s">
        <v>40</v>
      </c>
      <c r="D2633">
        <v>5.6013409999999997</v>
      </c>
      <c r="E2633">
        <v>0.51047929999999997</v>
      </c>
      <c r="F2633" t="s">
        <v>101</v>
      </c>
      <c r="G2633">
        <v>-241.6901</v>
      </c>
      <c r="H2633">
        <v>21.457350000000002</v>
      </c>
      <c r="I2633">
        <v>18.052720000000001</v>
      </c>
      <c r="J2633">
        <v>-325.5453</v>
      </c>
      <c r="K2633">
        <v>1.1063989999999999</v>
      </c>
      <c r="L2633">
        <v>17.068239999999999</v>
      </c>
      <c r="M2633">
        <v>0.9998551</v>
      </c>
      <c r="N2633">
        <v>0</v>
      </c>
      <c r="O2633">
        <v>-1.143213E-2</v>
      </c>
      <c r="P2633">
        <v>0.98608700000000005</v>
      </c>
      <c r="Q2633">
        <v>0.16604340000000001</v>
      </c>
      <c r="R2633">
        <v>7.8691999999999998E-3</v>
      </c>
      <c r="S2633">
        <v>2.9281920000000001</v>
      </c>
      <c r="T2633">
        <v>0.68607269999999998</v>
      </c>
      <c r="U2633">
        <v>3.2989499999999998E-2</v>
      </c>
      <c r="V2633">
        <v>-1.7438789999999999E-2</v>
      </c>
      <c r="W2633">
        <v>0.1786394</v>
      </c>
      <c r="X2633">
        <v>0.98376010000000003</v>
      </c>
      <c r="Y2633">
        <v>-2.1797210000000001E-2</v>
      </c>
      <c r="Z2633">
        <v>-5.1622220000000002E-3</v>
      </c>
      <c r="AA2633">
        <v>0.99974909999999995</v>
      </c>
      <c r="AB2633">
        <v>33</v>
      </c>
      <c r="AC2633">
        <v>83.855199999999996</v>
      </c>
      <c r="AD2633">
        <v>20.350950999999998</v>
      </c>
      <c r="AE2633">
        <v>0.98448000000000102</v>
      </c>
      <c r="AF2633">
        <v>-1.8350664110343999</v>
      </c>
      <c r="AG2633">
        <v>20.350950999999998</v>
      </c>
      <c r="AH2633">
        <v>79.175719572842297</v>
      </c>
      <c r="AI2633">
        <v>75.588718947157901</v>
      </c>
      <c r="AJ2633">
        <v>91.3277143608735</v>
      </c>
      <c r="AK2633">
        <v>81.769940963747004</v>
      </c>
      <c r="AL2633">
        <v>79.709481690282701</v>
      </c>
      <c r="AM2633">
        <v>91.015556972318294</v>
      </c>
      <c r="AN2633">
        <v>1.0000000404905101</v>
      </c>
    </row>
    <row r="2634" spans="1:40" x14ac:dyDescent="0.3">
      <c r="A2634" t="str">
        <f>"20200111150858770"</f>
        <v>20200111150858770</v>
      </c>
      <c r="B2634" t="str">
        <f>"1578726538766009"</f>
        <v>1578726538766009</v>
      </c>
      <c r="C2634" t="s">
        <v>40</v>
      </c>
      <c r="D2634">
        <v>5.5702879999999997</v>
      </c>
      <c r="E2634">
        <v>0.79746419999999996</v>
      </c>
      <c r="F2634" t="s">
        <v>101</v>
      </c>
      <c r="G2634">
        <v>-241.07</v>
      </c>
      <c r="H2634">
        <v>21.137979999999999</v>
      </c>
      <c r="I2634">
        <v>15.38804</v>
      </c>
      <c r="J2634">
        <v>-325.21559999999999</v>
      </c>
      <c r="K2634">
        <v>1.1061350000000001</v>
      </c>
      <c r="L2634">
        <v>17.059629999999999</v>
      </c>
      <c r="M2634">
        <v>0.99978480000000003</v>
      </c>
      <c r="N2634">
        <v>0</v>
      </c>
      <c r="O2634">
        <v>-1.646071E-2</v>
      </c>
      <c r="P2634">
        <v>0.98587599999999997</v>
      </c>
      <c r="Q2634">
        <v>0.1674725</v>
      </c>
      <c r="R2634">
        <v>1.2269239999999999E-3</v>
      </c>
      <c r="S2634">
        <v>2.925964</v>
      </c>
      <c r="T2634">
        <v>0.69383169999999905</v>
      </c>
      <c r="U2634">
        <v>-5.8197020000000002E-2</v>
      </c>
      <c r="V2634">
        <v>-1.561968E-2</v>
      </c>
      <c r="W2634">
        <v>0.18007809999999999</v>
      </c>
      <c r="X2634">
        <v>0.98352830000000002</v>
      </c>
      <c r="Y2634">
        <v>3.7760620000000002E-3</v>
      </c>
      <c r="Z2634">
        <v>-3.4080450000000002E-3</v>
      </c>
      <c r="AA2634">
        <v>0.99998710000000002</v>
      </c>
      <c r="AB2634">
        <v>33</v>
      </c>
      <c r="AC2634">
        <v>84.145600000000002</v>
      </c>
      <c r="AD2634">
        <v>20.031845000000001</v>
      </c>
      <c r="AE2634">
        <v>-1.6715899999999899</v>
      </c>
      <c r="AF2634">
        <v>0.27081482606375501</v>
      </c>
      <c r="AG2634">
        <v>20.031845000000001</v>
      </c>
      <c r="AH2634">
        <v>79.6494905386337</v>
      </c>
      <c r="AI2634">
        <v>75.882976568074795</v>
      </c>
      <c r="AJ2634">
        <v>89.8051903826982</v>
      </c>
      <c r="AK2634">
        <v>82.130320210248399</v>
      </c>
      <c r="AL2634">
        <v>79.625691129121705</v>
      </c>
      <c r="AM2634">
        <v>90.909853344889896</v>
      </c>
      <c r="AN2634">
        <v>1.0000000067018999</v>
      </c>
    </row>
    <row r="2635" spans="1:40" x14ac:dyDescent="0.3">
      <c r="A2635" t="str">
        <f>"20200111150858782"</f>
        <v>20200111150858782</v>
      </c>
      <c r="B2635" t="str">
        <f>"1578726538776745"</f>
        <v>1578726538776745</v>
      </c>
      <c r="C2635" t="s">
        <v>40</v>
      </c>
      <c r="D2635">
        <v>5.5104280000000001</v>
      </c>
      <c r="E2635">
        <v>0.79655100000000001</v>
      </c>
      <c r="F2635" t="s">
        <v>53</v>
      </c>
      <c r="G2635">
        <v>-209.2825</v>
      </c>
      <c r="H2635">
        <v>71.331429999999997</v>
      </c>
      <c r="I2635">
        <v>-81.838819999999998</v>
      </c>
      <c r="J2635">
        <v>-325.04300000000001</v>
      </c>
      <c r="K2635">
        <v>1.1059890000000001</v>
      </c>
      <c r="L2635">
        <v>17.054469999999998</v>
      </c>
      <c r="M2635">
        <v>0.9997357</v>
      </c>
      <c r="N2635">
        <v>0</v>
      </c>
      <c r="O2635">
        <v>-1.9207479999999999E-2</v>
      </c>
      <c r="P2635">
        <v>0.98580029999999996</v>
      </c>
      <c r="Q2635">
        <v>0.1679011</v>
      </c>
      <c r="R2635">
        <v>-2.6380660000000001E-3</v>
      </c>
      <c r="S2635">
        <v>2.7617189999999998</v>
      </c>
      <c r="T2635">
        <v>1.672884</v>
      </c>
      <c r="U2635">
        <v>-2.3559269999999999</v>
      </c>
      <c r="V2635">
        <v>-1.439258E-2</v>
      </c>
      <c r="W2635">
        <v>0.18050959999999999</v>
      </c>
      <c r="X2635">
        <v>0.98346789999999995</v>
      </c>
      <c r="Y2635">
        <v>0.57801880000000005</v>
      </c>
      <c r="Z2635">
        <v>0.13357559999999999</v>
      </c>
      <c r="AA2635">
        <v>0.80501659999999997</v>
      </c>
      <c r="AB2635">
        <v>33</v>
      </c>
      <c r="AC2635">
        <v>115.76049999999999</v>
      </c>
      <c r="AD2635">
        <v>70.225441000000004</v>
      </c>
      <c r="AE2635">
        <v>-98.893289999999993</v>
      </c>
      <c r="AF2635">
        <v>79.696096558507506</v>
      </c>
      <c r="AG2635">
        <v>70.225441000000004</v>
      </c>
      <c r="AH2635">
        <v>97.001719787967005</v>
      </c>
      <c r="AI2635">
        <v>60.778313989588</v>
      </c>
      <c r="AJ2635">
        <v>50.5936570823865</v>
      </c>
      <c r="AK2635">
        <v>143.84858015333501</v>
      </c>
      <c r="AL2635">
        <v>79.600555891747803</v>
      </c>
      <c r="AM2635">
        <v>90.838436340903797</v>
      </c>
      <c r="AN2635">
        <v>0.99999998619081298</v>
      </c>
    </row>
    <row r="2636" spans="1:40" x14ac:dyDescent="0.3">
      <c r="A2636" t="str">
        <f>"20200111150859161"</f>
        <v>20200111150859161</v>
      </c>
      <c r="B2636" t="str">
        <f>"1578726539155937"</f>
        <v>1578726539155937</v>
      </c>
      <c r="C2636" t="s">
        <v>40</v>
      </c>
      <c r="D2636">
        <v>4.5420129999999999</v>
      </c>
      <c r="E2636">
        <v>0.79655100000000001</v>
      </c>
      <c r="F2636" t="s">
        <v>53</v>
      </c>
      <c r="G2636">
        <v>-209.68190000000001</v>
      </c>
      <c r="H2636">
        <v>71.446969999999993</v>
      </c>
      <c r="I2636">
        <v>-81.838849999999994</v>
      </c>
      <c r="J2636">
        <v>-319.38940000000002</v>
      </c>
      <c r="K2636">
        <v>1.098131</v>
      </c>
      <c r="L2636">
        <v>16.483219999999999</v>
      </c>
      <c r="M2636">
        <v>0.98694029999999999</v>
      </c>
      <c r="N2636">
        <v>0</v>
      </c>
      <c r="O2636">
        <v>-0.16043929999999901</v>
      </c>
      <c r="P2636">
        <v>0.96707140000000003</v>
      </c>
      <c r="Q2636">
        <v>0.1691619</v>
      </c>
      <c r="R2636">
        <v>-0.1901513</v>
      </c>
      <c r="S2636">
        <v>2.7511899999999998</v>
      </c>
      <c r="T2636">
        <v>1.6775279999999999</v>
      </c>
      <c r="U2636">
        <v>-2.3584589999999999</v>
      </c>
      <c r="V2636">
        <v>3.683314E-2</v>
      </c>
      <c r="W2636">
        <v>0.18254519999999999</v>
      </c>
      <c r="X2636">
        <v>0.98250729999999997</v>
      </c>
      <c r="Y2636">
        <v>0.4881683</v>
      </c>
      <c r="Z2636">
        <v>4.2965499999999997E-2</v>
      </c>
      <c r="AA2636">
        <v>0.87169129999999995</v>
      </c>
      <c r="AB2636">
        <v>33</v>
      </c>
      <c r="AC2636">
        <v>109.7075</v>
      </c>
      <c r="AD2636">
        <v>70.348838999999998</v>
      </c>
      <c r="AE2636">
        <v>-98.322069999999997</v>
      </c>
      <c r="AF2636">
        <v>64.692873092282099</v>
      </c>
      <c r="AG2636">
        <v>70.348838999999998</v>
      </c>
      <c r="AH2636">
        <v>101.025411218543</v>
      </c>
      <c r="AI2636">
        <v>59.611895600480103</v>
      </c>
      <c r="AJ2636">
        <v>57.366029621639299</v>
      </c>
      <c r="AK2636">
        <v>139.069265797508</v>
      </c>
      <c r="AL2636">
        <v>79.481954393852803</v>
      </c>
      <c r="AM2636">
        <v>87.853048376155101</v>
      </c>
      <c r="AN2636">
        <v>1.00000001239929</v>
      </c>
    </row>
    <row r="2637" spans="1:40" x14ac:dyDescent="0.3">
      <c r="A2637" t="str">
        <f>"20200111150859174"</f>
        <v>20200111150859174</v>
      </c>
      <c r="B2637" t="str">
        <f>"1578726539166674"</f>
        <v>1578726539166674</v>
      </c>
      <c r="C2637" t="s">
        <v>40</v>
      </c>
      <c r="D2637">
        <v>5.5703860000000001</v>
      </c>
      <c r="E2637">
        <v>0.69066830000000001</v>
      </c>
      <c r="F2637" t="s">
        <v>53</v>
      </c>
      <c r="G2637">
        <v>-233.52500000000001</v>
      </c>
      <c r="H2637">
        <v>66.211340000000007</v>
      </c>
      <c r="I2637">
        <v>-91.432010000000005</v>
      </c>
      <c r="J2637">
        <v>-319.18869999999998</v>
      </c>
      <c r="K2637">
        <v>1.0971550000000001</v>
      </c>
      <c r="L2637">
        <v>16.445679999999999</v>
      </c>
      <c r="M2637">
        <v>0.98596459999999997</v>
      </c>
      <c r="N2637">
        <v>0</v>
      </c>
      <c r="O2637">
        <v>-0.16624369999999999</v>
      </c>
      <c r="P2637">
        <v>0.96565999999999996</v>
      </c>
      <c r="Q2637">
        <v>0.16841809999999999</v>
      </c>
      <c r="R2637">
        <v>-0.19782759999999999</v>
      </c>
      <c r="S2637">
        <v>2.2483219999999999</v>
      </c>
      <c r="T2637">
        <v>1.70495999999999</v>
      </c>
      <c r="U2637">
        <v>-2.8257140000000001</v>
      </c>
      <c r="V2637">
        <v>3.8994220000000003E-2</v>
      </c>
      <c r="W2637">
        <v>0.18266289999999999</v>
      </c>
      <c r="X2637">
        <v>0.982402</v>
      </c>
      <c r="Y2637">
        <v>0.622019199999999</v>
      </c>
      <c r="Z2637">
        <v>8.1063750000000004E-2</v>
      </c>
      <c r="AA2637">
        <v>0.77879449999999995</v>
      </c>
      <c r="AB2637">
        <v>33</v>
      </c>
      <c r="AC2637">
        <v>85.663699999999906</v>
      </c>
      <c r="AD2637">
        <v>65.114184999999907</v>
      </c>
      <c r="AE2637">
        <v>-107.87769</v>
      </c>
      <c r="AF2637">
        <v>75.307233564321507</v>
      </c>
      <c r="AG2637">
        <v>65.114184999999907</v>
      </c>
      <c r="AH2637">
        <v>83.704943748356001</v>
      </c>
      <c r="AI2637">
        <v>59.959077480641099</v>
      </c>
      <c r="AJ2637">
        <v>48.0230815101201</v>
      </c>
      <c r="AK2637">
        <v>130.06749833544399</v>
      </c>
      <c r="AL2637">
        <v>79.475095085238195</v>
      </c>
      <c r="AM2637">
        <v>87.726967168193895</v>
      </c>
      <c r="AN2637">
        <v>0.99999998691690895</v>
      </c>
    </row>
    <row r="2638" spans="1:40" x14ac:dyDescent="0.3">
      <c r="A2638" t="str">
        <f>"20200111150859186"</f>
        <v>20200111150859186</v>
      </c>
      <c r="B2638" t="str">
        <f>"1578726539176434"</f>
        <v>1578726539176434</v>
      </c>
      <c r="C2638" t="s">
        <v>40</v>
      </c>
      <c r="D2638">
        <v>5.6155439999999999</v>
      </c>
      <c r="E2638">
        <v>0.68892929999999997</v>
      </c>
      <c r="F2638" t="s">
        <v>102</v>
      </c>
      <c r="G2638">
        <v>-279.02</v>
      </c>
      <c r="H2638">
        <v>1.4949709999999901</v>
      </c>
      <c r="I2638">
        <v>-15.322570000000001</v>
      </c>
      <c r="J2638">
        <v>-319.0145</v>
      </c>
      <c r="K2638">
        <v>1.0962700000000001</v>
      </c>
      <c r="L2638">
        <v>16.411989999999999</v>
      </c>
      <c r="M2638">
        <v>0.98508399999999996</v>
      </c>
      <c r="N2638">
        <v>0</v>
      </c>
      <c r="O2638">
        <v>-0.17130329999999999</v>
      </c>
      <c r="P2638">
        <v>0.96434240000000004</v>
      </c>
      <c r="Q2638">
        <v>0.16760820000000001</v>
      </c>
      <c r="R2638">
        <v>-0.20482049999999999</v>
      </c>
      <c r="S2638">
        <v>2.6695859999999998</v>
      </c>
      <c r="T2638">
        <v>2.6438710000000001E-2</v>
      </c>
      <c r="U2638">
        <v>-2.1112980000000001</v>
      </c>
      <c r="V2638">
        <v>4.1172380000000001E-2</v>
      </c>
      <c r="W2638">
        <v>0.18264040000000001</v>
      </c>
      <c r="X2638">
        <v>0.98231729999999995</v>
      </c>
      <c r="Y2638">
        <v>0.47675889999999999</v>
      </c>
      <c r="Z2638">
        <v>6.1092510000000004E-4</v>
      </c>
      <c r="AA2638">
        <v>0.87903390000000003</v>
      </c>
      <c r="AB2638">
        <v>33</v>
      </c>
      <c r="AC2638">
        <v>39.994500000000002</v>
      </c>
      <c r="AD2638">
        <v>0.39870099999999897</v>
      </c>
      <c r="AE2638">
        <v>-31.734559999999998</v>
      </c>
      <c r="AF2638">
        <v>24.411759967630701</v>
      </c>
      <c r="AG2638">
        <v>0.39870099999999897</v>
      </c>
      <c r="AH2638">
        <v>44.837377354518999</v>
      </c>
      <c r="AI2638">
        <v>89.552547549802597</v>
      </c>
      <c r="AJ2638">
        <v>61.433868524157901</v>
      </c>
      <c r="AK2638">
        <v>51.053730473258803</v>
      </c>
      <c r="AL2638">
        <v>79.476406216135402</v>
      </c>
      <c r="AM2638">
        <v>87.5999367285566</v>
      </c>
      <c r="AN2638">
        <v>0.99999997923315598</v>
      </c>
    </row>
    <row r="2639" spans="1:40" x14ac:dyDescent="0.3">
      <c r="A2639" t="str">
        <f>"20200111150859197"</f>
        <v>20200111150859197</v>
      </c>
      <c r="B2639" t="str">
        <f>"1578726539186193"</f>
        <v>1578726539186193</v>
      </c>
      <c r="C2639" t="s">
        <v>40</v>
      </c>
      <c r="D2639">
        <v>5.7740919999999996</v>
      </c>
      <c r="E2639">
        <v>0.68636969999999997</v>
      </c>
      <c r="F2639" t="s">
        <v>102</v>
      </c>
      <c r="G2639">
        <v>-279.02</v>
      </c>
      <c r="H2639">
        <v>0.29999009999999998</v>
      </c>
      <c r="I2639">
        <v>-15.383900000000001</v>
      </c>
      <c r="J2639">
        <v>-318.84460000000001</v>
      </c>
      <c r="K2639">
        <v>1.095375</v>
      </c>
      <c r="L2639">
        <v>16.378360000000001</v>
      </c>
      <c r="M2639">
        <v>0.9841955</v>
      </c>
      <c r="N2639">
        <v>0</v>
      </c>
      <c r="O2639">
        <v>-0.1762523</v>
      </c>
      <c r="P2639">
        <v>0.96299170000000001</v>
      </c>
      <c r="Q2639">
        <v>0.1666734</v>
      </c>
      <c r="R2639">
        <v>-0.21181990000000001</v>
      </c>
      <c r="S2639">
        <v>2.669403</v>
      </c>
      <c r="T2639">
        <v>-5.3147079999999999E-2</v>
      </c>
      <c r="U2639">
        <v>-2.1221920000000001</v>
      </c>
      <c r="V2639">
        <v>4.3456960000000003E-2</v>
      </c>
      <c r="W2639">
        <v>0.18250060000000001</v>
      </c>
      <c r="X2639">
        <v>0.98224489999999998</v>
      </c>
      <c r="Y2639">
        <v>0.47454269999999998</v>
      </c>
      <c r="Z2639">
        <v>-1.124452E-3</v>
      </c>
      <c r="AA2639">
        <v>0.88023180000000001</v>
      </c>
      <c r="AB2639">
        <v>33</v>
      </c>
      <c r="AC2639">
        <v>39.824599999999997</v>
      </c>
      <c r="AD2639">
        <v>-0.79538489999999995</v>
      </c>
      <c r="AE2639">
        <v>-31.762259999999898</v>
      </c>
      <c r="AF2639">
        <v>24.238754869865499</v>
      </c>
      <c r="AG2639">
        <v>-0.79538489999999995</v>
      </c>
      <c r="AH2639">
        <v>44.789037454709799</v>
      </c>
      <c r="AI2639">
        <v>90.8947779044057</v>
      </c>
      <c r="AJ2639">
        <v>61.578808922962097</v>
      </c>
      <c r="AK2639">
        <v>50.933365791983299</v>
      </c>
      <c r="AL2639">
        <v>79.484553419700404</v>
      </c>
      <c r="AM2639">
        <v>87.466744058947299</v>
      </c>
      <c r="AN2639">
        <v>1.0000000099744</v>
      </c>
    </row>
    <row r="2640" spans="1:40" x14ac:dyDescent="0.3">
      <c r="A2640" t="str">
        <f>"20200111150859226"</f>
        <v>20200111150859226</v>
      </c>
      <c r="B2640" t="str">
        <f>"1578726539216449"</f>
        <v>1578726539216449</v>
      </c>
      <c r="C2640" t="s">
        <v>40</v>
      </c>
      <c r="D2640">
        <v>5.2351140000000003</v>
      </c>
      <c r="E2640">
        <v>0.69669159999999997</v>
      </c>
      <c r="F2640" t="s">
        <v>43</v>
      </c>
      <c r="G2640">
        <v>-289.24489999999997</v>
      </c>
      <c r="H2640">
        <v>7.9986619999999994E-2</v>
      </c>
      <c r="I2640">
        <v>-7.223795</v>
      </c>
      <c r="J2640">
        <v>-318.42140000000001</v>
      </c>
      <c r="K2640">
        <v>1.0931740000000001</v>
      </c>
      <c r="L2640">
        <v>16.289549999999998</v>
      </c>
      <c r="M2640">
        <v>0.98148100000000005</v>
      </c>
      <c r="N2640">
        <v>0</v>
      </c>
      <c r="O2640">
        <v>-0.19061210000000001</v>
      </c>
      <c r="P2640">
        <v>0.95841030000000005</v>
      </c>
      <c r="Q2640">
        <v>0.1640615</v>
      </c>
      <c r="R2640">
        <v>-0.23352419999999999</v>
      </c>
      <c r="S2640">
        <v>2.66391</v>
      </c>
      <c r="T2640">
        <v>-9.1382859999999996E-2</v>
      </c>
      <c r="U2640">
        <v>-2.1241460000000001</v>
      </c>
      <c r="V2640">
        <v>5.1333040000000003E-2</v>
      </c>
      <c r="W2640">
        <v>0.18149680000000001</v>
      </c>
      <c r="X2640">
        <v>0.9820508</v>
      </c>
      <c r="Y2640">
        <v>0.4628544</v>
      </c>
      <c r="Z2640">
        <v>-1.346543E-3</v>
      </c>
      <c r="AA2640">
        <v>0.88643329999999998</v>
      </c>
      <c r="AB2640">
        <v>33</v>
      </c>
      <c r="AC2640">
        <v>29.176500000000001</v>
      </c>
      <c r="AD2640">
        <v>-1.01318738</v>
      </c>
      <c r="AE2640">
        <v>-23.513345000000001</v>
      </c>
      <c r="AF2640">
        <v>17.506880421189901</v>
      </c>
      <c r="AG2640">
        <v>-1.01318738</v>
      </c>
      <c r="AH2640">
        <v>33.099906876170103</v>
      </c>
      <c r="AI2640">
        <v>91.549950306116997</v>
      </c>
      <c r="AJ2640">
        <v>62.125177193701198</v>
      </c>
      <c r="AK2640">
        <v>37.458260049820403</v>
      </c>
      <c r="AL2640">
        <v>79.543043380473094</v>
      </c>
      <c r="AM2640">
        <v>87.007800184798299</v>
      </c>
      <c r="AN2640">
        <v>0.99999997159326004</v>
      </c>
    </row>
    <row r="2641" spans="1:40" x14ac:dyDescent="0.3">
      <c r="A2641" t="str">
        <f>"20200111150859237"</f>
        <v>20200111150859237</v>
      </c>
      <c r="B2641" t="str">
        <f>"1578726539226209"</f>
        <v>1578726539226209</v>
      </c>
      <c r="C2641" t="s">
        <v>40</v>
      </c>
      <c r="D2641">
        <v>5.2800099999999999</v>
      </c>
      <c r="E2641">
        <v>0.69853330000000002</v>
      </c>
      <c r="F2641" t="s">
        <v>44</v>
      </c>
      <c r="G2641">
        <v>-276.87909999999999</v>
      </c>
      <c r="H2641">
        <v>-0.05</v>
      </c>
      <c r="I2641">
        <v>-19.95656</v>
      </c>
      <c r="J2641">
        <v>-318.25409999999999</v>
      </c>
      <c r="K2641">
        <v>1.0922240000000001</v>
      </c>
      <c r="L2641">
        <v>16.253079999999901</v>
      </c>
      <c r="M2641">
        <v>0.98027629999999999</v>
      </c>
      <c r="N2641">
        <v>0</v>
      </c>
      <c r="O2641">
        <v>-0.19664789999999999</v>
      </c>
      <c r="P2641">
        <v>0.95625789999999999</v>
      </c>
      <c r="Q2641">
        <v>0.16347579999999901</v>
      </c>
      <c r="R2641">
        <v>-0.2425823</v>
      </c>
      <c r="S2641">
        <v>2.5914609999999998</v>
      </c>
      <c r="T2641">
        <v>-7.1312669999999995E-2</v>
      </c>
      <c r="U2641">
        <v>-2.2610779999999999</v>
      </c>
      <c r="V2641">
        <v>5.4617369999999998E-2</v>
      </c>
      <c r="W2641">
        <v>0.18145639999999999</v>
      </c>
      <c r="X2641">
        <v>0.98188109999999995</v>
      </c>
      <c r="Y2641">
        <v>0.49633319999999997</v>
      </c>
      <c r="Z2641">
        <v>-1.3229559999999999E-3</v>
      </c>
      <c r="AA2641">
        <v>0.86813109999999905</v>
      </c>
      <c r="AB2641">
        <v>33</v>
      </c>
      <c r="AC2641">
        <v>41.375</v>
      </c>
      <c r="AD2641">
        <v>-1.1422239999999999</v>
      </c>
      <c r="AE2641">
        <v>-36.209639999999901</v>
      </c>
      <c r="AF2641">
        <v>27.3526491650988</v>
      </c>
      <c r="AG2641">
        <v>-1.1422239999999999</v>
      </c>
      <c r="AH2641">
        <v>47.668161014335197</v>
      </c>
      <c r="AI2641">
        <v>91.190632283194006</v>
      </c>
      <c r="AJ2641">
        <v>60.152200781709602</v>
      </c>
      <c r="AK2641">
        <v>54.970225272448502</v>
      </c>
      <c r="AL2641">
        <v>79.545397392221105</v>
      </c>
      <c r="AM2641">
        <v>86.8161896629164</v>
      </c>
      <c r="AN2641">
        <v>0.99999998837194304</v>
      </c>
    </row>
    <row r="2642" spans="1:40" x14ac:dyDescent="0.3">
      <c r="A2642" t="str">
        <f>"20200111150859248"</f>
        <v>20200111150859248</v>
      </c>
      <c r="B2642" t="str">
        <f>"1578726539246705"</f>
        <v>1578726539246705</v>
      </c>
      <c r="C2642" t="s">
        <v>40</v>
      </c>
      <c r="D2642">
        <v>5.2398239999999996</v>
      </c>
      <c r="E2642">
        <v>0.70006579999999996</v>
      </c>
      <c r="F2642" t="s">
        <v>43</v>
      </c>
      <c r="G2642">
        <v>-290.56060000000002</v>
      </c>
      <c r="H2642" s="1">
        <v>-2.7572719999999999E-6</v>
      </c>
      <c r="I2642">
        <v>-8.5516740000000002</v>
      </c>
      <c r="J2642">
        <v>-318.09449999999998</v>
      </c>
      <c r="K2642">
        <v>1.0911379999999999</v>
      </c>
      <c r="L2642">
        <v>16.216829999999899</v>
      </c>
      <c r="M2642">
        <v>0.9790797</v>
      </c>
      <c r="N2642">
        <v>0</v>
      </c>
      <c r="O2642">
        <v>-0.2024647</v>
      </c>
      <c r="P2642">
        <v>0.95388079999999997</v>
      </c>
      <c r="Q2642">
        <v>0.16300780000000001</v>
      </c>
      <c r="R2642">
        <v>-0.2520714</v>
      </c>
      <c r="S2642">
        <v>2.570465</v>
      </c>
      <c r="T2642">
        <v>-0.1013787</v>
      </c>
      <c r="U2642">
        <v>-2.3023380000000002</v>
      </c>
      <c r="V2642">
        <v>5.8626339999999999E-2</v>
      </c>
      <c r="W2642">
        <v>0.18143210000000001</v>
      </c>
      <c r="X2642">
        <v>0.98165440000000004</v>
      </c>
      <c r="Y2642">
        <v>0.50239560000000005</v>
      </c>
      <c r="Z2642">
        <v>-1.8018579999999999E-3</v>
      </c>
      <c r="AA2642">
        <v>0.86463599999999996</v>
      </c>
      <c r="AB2642">
        <v>33</v>
      </c>
      <c r="AC2642">
        <v>27.5338999999999</v>
      </c>
      <c r="AD2642">
        <v>-1.091140757272</v>
      </c>
      <c r="AE2642">
        <v>-24.768504</v>
      </c>
      <c r="AF2642">
        <v>18.663335197445601</v>
      </c>
      <c r="AG2642">
        <v>-1.091140757272</v>
      </c>
      <c r="AH2642">
        <v>31.951467563064799</v>
      </c>
      <c r="AI2642">
        <v>91.689046241079495</v>
      </c>
      <c r="AJ2642">
        <v>59.7101536173016</v>
      </c>
      <c r="AK2642">
        <v>37.019007932114803</v>
      </c>
      <c r="AL2642">
        <v>79.546813385865093</v>
      </c>
      <c r="AM2642">
        <v>86.582242391991201</v>
      </c>
      <c r="AN2642">
        <v>1.00000000784578</v>
      </c>
    </row>
    <row r="2643" spans="1:40" x14ac:dyDescent="0.3">
      <c r="A2643" t="str">
        <f>"20200111150859260"</f>
        <v>20200111150859260</v>
      </c>
      <c r="B2643" t="str">
        <f>"1578726539256465"</f>
        <v>1578726539256465</v>
      </c>
      <c r="C2643" t="s">
        <v>40</v>
      </c>
      <c r="D2643">
        <v>5.2943680000000004</v>
      </c>
      <c r="E2643">
        <v>0.70080489999999995</v>
      </c>
      <c r="F2643" t="s">
        <v>43</v>
      </c>
      <c r="G2643">
        <v>-296.8802</v>
      </c>
      <c r="H2643" s="1">
        <v>-3.4518530000000001E-6</v>
      </c>
      <c r="I2643">
        <v>-3.291442</v>
      </c>
      <c r="J2643">
        <v>-317.92630000000003</v>
      </c>
      <c r="K2643">
        <v>1.0899460000000001</v>
      </c>
      <c r="L2643">
        <v>16.178190000000001</v>
      </c>
      <c r="M2643">
        <v>0.97777769999999997</v>
      </c>
      <c r="N2643">
        <v>0</v>
      </c>
      <c r="O2643">
        <v>-0.20860100000000001</v>
      </c>
      <c r="P2643">
        <v>0.9511655</v>
      </c>
      <c r="Q2643">
        <v>0.16263859999999999</v>
      </c>
      <c r="R2643">
        <v>-0.26235989999999998</v>
      </c>
      <c r="S2643">
        <v>2.5482179999999999</v>
      </c>
      <c r="T2643">
        <v>-0.1310656</v>
      </c>
      <c r="U2643">
        <v>-2.3432919999999999</v>
      </c>
      <c r="V2643">
        <v>6.3180410000000006E-2</v>
      </c>
      <c r="W2643">
        <v>0.1815001</v>
      </c>
      <c r="X2643">
        <v>0.98135919999999999</v>
      </c>
      <c r="Y2643">
        <v>0.50820329999999903</v>
      </c>
      <c r="Z2643">
        <v>-2.2099480000000002E-3</v>
      </c>
      <c r="AA2643">
        <v>0.86123430000000001</v>
      </c>
      <c r="AB2643">
        <v>33</v>
      </c>
      <c r="AC2643">
        <v>21.046099999999999</v>
      </c>
      <c r="AD2643">
        <v>-1.089949451853</v>
      </c>
      <c r="AE2643">
        <v>-19.469632000000001</v>
      </c>
      <c r="AF2643">
        <v>14.628789366667499</v>
      </c>
      <c r="AG2643">
        <v>-1.089949451853</v>
      </c>
      <c r="AH2643">
        <v>24.609603376321001</v>
      </c>
      <c r="AI2643">
        <v>92.180265081642204</v>
      </c>
      <c r="AJ2643">
        <v>59.271303226512998</v>
      </c>
      <c r="AK2643">
        <v>28.649992085195201</v>
      </c>
      <c r="AL2643">
        <v>79.542851040956407</v>
      </c>
      <c r="AM2643">
        <v>86.316352025363997</v>
      </c>
      <c r="AN2643">
        <v>0.99999996496620802</v>
      </c>
    </row>
    <row r="2644" spans="1:40" x14ac:dyDescent="0.3">
      <c r="A2644" t="str">
        <f>"20200111150859271"</f>
        <v>20200111150859271</v>
      </c>
      <c r="B2644" t="str">
        <f>"1578726539266225"</f>
        <v>1578726539266225</v>
      </c>
      <c r="C2644" t="s">
        <v>40</v>
      </c>
      <c r="D2644">
        <v>5.2968500000000001</v>
      </c>
      <c r="E2644">
        <v>0.70082709999999904</v>
      </c>
      <c r="F2644" t="s">
        <v>43</v>
      </c>
      <c r="G2644">
        <v>-298.55329999999998</v>
      </c>
      <c r="H2644" s="1">
        <v>-3.7213319999999999E-6</v>
      </c>
      <c r="I2644">
        <v>-2.0935540000000001</v>
      </c>
      <c r="J2644">
        <v>-317.7534</v>
      </c>
      <c r="K2644">
        <v>1.088506</v>
      </c>
      <c r="L2644">
        <v>16.136569999999999</v>
      </c>
      <c r="M2644">
        <v>0.97640680000000002</v>
      </c>
      <c r="N2644">
        <v>0</v>
      </c>
      <c r="O2644">
        <v>-0.21487120000000001</v>
      </c>
      <c r="P2644">
        <v>0.94816940000000005</v>
      </c>
      <c r="Q2644">
        <v>0.16175999999999999</v>
      </c>
      <c r="R2644">
        <v>-0.27351150000000002</v>
      </c>
      <c r="S2644">
        <v>2.522125</v>
      </c>
      <c r="T2644">
        <v>-0.14189789999999999</v>
      </c>
      <c r="U2644">
        <v>-2.3787539999999998</v>
      </c>
      <c r="V2644">
        <v>6.8533469999999999E-2</v>
      </c>
      <c r="W2644">
        <v>0.18096499999999999</v>
      </c>
      <c r="X2644">
        <v>0.98109880000000005</v>
      </c>
      <c r="Y2644">
        <v>0.51350209999999996</v>
      </c>
      <c r="Z2644">
        <v>-2.2495179999999998E-3</v>
      </c>
      <c r="AA2644">
        <v>0.858085399999999</v>
      </c>
      <c r="AB2644">
        <v>33</v>
      </c>
      <c r="AC2644">
        <v>19.200099999999999</v>
      </c>
      <c r="AD2644">
        <v>-1.0885097213320001</v>
      </c>
      <c r="AE2644">
        <v>-18.230124</v>
      </c>
      <c r="AF2644">
        <v>13.6545356372875</v>
      </c>
      <c r="AG2644">
        <v>-1.0885097213320001</v>
      </c>
      <c r="AH2644">
        <v>22.631199823527702</v>
      </c>
      <c r="AI2644">
        <v>92.358250084053097</v>
      </c>
      <c r="AJ2644">
        <v>58.895316772865101</v>
      </c>
      <c r="AK2644">
        <v>26.4537786022305</v>
      </c>
      <c r="AL2644">
        <v>79.574026758560507</v>
      </c>
      <c r="AM2644">
        <v>86.004163485382904</v>
      </c>
      <c r="AN2644">
        <v>1.0000000115483401</v>
      </c>
    </row>
    <row r="2645" spans="1:40" x14ac:dyDescent="0.3">
      <c r="A2645" t="str">
        <f>"20200111150859285"</f>
        <v>20200111150859285</v>
      </c>
      <c r="B2645" t="str">
        <f>"1578726539276493"</f>
        <v>1578726539276493</v>
      </c>
      <c r="C2645" t="s">
        <v>40</v>
      </c>
      <c r="D2645">
        <v>5.2946879999999998</v>
      </c>
      <c r="E2645">
        <v>0.70068989999999998</v>
      </c>
      <c r="F2645" t="s">
        <v>43</v>
      </c>
      <c r="G2645">
        <v>-300.07350000000002</v>
      </c>
      <c r="H2645" s="1">
        <v>-4.0441419999999998E-6</v>
      </c>
      <c r="I2645">
        <v>-0.94877619999999896</v>
      </c>
      <c r="J2645">
        <v>-317.5686</v>
      </c>
      <c r="K2645">
        <v>1.086884</v>
      </c>
      <c r="L2645">
        <v>16.091089999999902</v>
      </c>
      <c r="M2645">
        <v>0.97489959999999998</v>
      </c>
      <c r="N2645">
        <v>0</v>
      </c>
      <c r="O2645">
        <v>-0.22155620000000001</v>
      </c>
      <c r="P2645">
        <v>0.94476689999999997</v>
      </c>
      <c r="Q2645">
        <v>0.16048750000000001</v>
      </c>
      <c r="R2645">
        <v>-0.28576069999999998</v>
      </c>
      <c r="S2645">
        <v>2.4947509999999999</v>
      </c>
      <c r="T2645">
        <v>-0.15359629999999999</v>
      </c>
      <c r="U2645">
        <v>-2.4108580000000002</v>
      </c>
      <c r="V2645">
        <v>7.4634110000000004E-2</v>
      </c>
      <c r="W2645">
        <v>0.17997769999999999</v>
      </c>
      <c r="X2645">
        <v>0.98083529999999997</v>
      </c>
      <c r="Y2645">
        <v>0.51799640000000002</v>
      </c>
      <c r="Z2645">
        <v>-2.2407619999999999E-3</v>
      </c>
      <c r="AA2645">
        <v>0.85537989999999997</v>
      </c>
      <c r="AB2645">
        <v>33</v>
      </c>
      <c r="AC2645">
        <v>17.495099999999901</v>
      </c>
      <c r="AD2645">
        <v>-1.0868880441419999</v>
      </c>
      <c r="AE2645">
        <v>-17.039866199999999</v>
      </c>
      <c r="AF2645">
        <v>12.713909970837101</v>
      </c>
      <c r="AG2645">
        <v>-1.0868880441419999</v>
      </c>
      <c r="AH2645">
        <v>20.7951053615073</v>
      </c>
      <c r="AI2645">
        <v>92.553273824278406</v>
      </c>
      <c r="AJ2645">
        <v>58.5588206119372</v>
      </c>
      <c r="AK2645">
        <v>24.397976132524601</v>
      </c>
      <c r="AL2645">
        <v>79.631539672568493</v>
      </c>
      <c r="AM2645">
        <v>85.648612070518794</v>
      </c>
      <c r="AN2645">
        <v>1.0000000542994301</v>
      </c>
    </row>
    <row r="2646" spans="1:40" x14ac:dyDescent="0.3">
      <c r="A2646" t="str">
        <f>"20200111150859296"</f>
        <v>20200111150859296</v>
      </c>
      <c r="B2646" t="str">
        <f>"1578726539286253"</f>
        <v>1578726539286253</v>
      </c>
      <c r="C2646" t="s">
        <v>40</v>
      </c>
      <c r="D2646">
        <v>5.3346479999999996</v>
      </c>
      <c r="E2646">
        <v>0.70163540000000002</v>
      </c>
      <c r="F2646" t="s">
        <v>44</v>
      </c>
      <c r="G2646">
        <v>-300.6379</v>
      </c>
      <c r="H2646">
        <v>-0.05</v>
      </c>
      <c r="I2646">
        <v>-0.698349</v>
      </c>
      <c r="J2646">
        <v>-317.3956</v>
      </c>
      <c r="K2646">
        <v>1.085248</v>
      </c>
      <c r="L2646">
        <v>16.047179999999901</v>
      </c>
      <c r="M2646">
        <v>0.97345040000000005</v>
      </c>
      <c r="N2646">
        <v>0</v>
      </c>
      <c r="O2646">
        <v>-0.22779730000000001</v>
      </c>
      <c r="P2646">
        <v>0.94147780000000003</v>
      </c>
      <c r="Q2646">
        <v>0.1592915</v>
      </c>
      <c r="R2646">
        <v>-0.29706120000000003</v>
      </c>
      <c r="S2646">
        <v>2.4643250000000001</v>
      </c>
      <c r="T2646">
        <v>-0.16547700000000001</v>
      </c>
      <c r="U2646">
        <v>-2.443756</v>
      </c>
      <c r="V2646">
        <v>8.0234040000000006E-2</v>
      </c>
      <c r="W2646">
        <v>0.17895649999999999</v>
      </c>
      <c r="X2646">
        <v>0.98058000000000001</v>
      </c>
      <c r="Y2646">
        <v>0.52350129999999995</v>
      </c>
      <c r="Z2646">
        <v>-2.257682E-3</v>
      </c>
      <c r="AA2646">
        <v>0.8520219</v>
      </c>
      <c r="AB2646">
        <v>33</v>
      </c>
      <c r="AC2646">
        <v>16.7577</v>
      </c>
      <c r="AD2646">
        <v>-1.135248</v>
      </c>
      <c r="AE2646">
        <v>-16.745528999999902</v>
      </c>
      <c r="AF2646">
        <v>12.4581138856199</v>
      </c>
      <c r="AG2646">
        <v>-1.135248</v>
      </c>
      <c r="AH2646">
        <v>20.086311870742701</v>
      </c>
      <c r="AI2646">
        <v>92.749819606619795</v>
      </c>
      <c r="AJ2646">
        <v>58.191609021765302</v>
      </c>
      <c r="AK2646">
        <v>23.6633326937969</v>
      </c>
      <c r="AL2646">
        <v>79.691015558155101</v>
      </c>
      <c r="AM2646">
        <v>85.322305439400793</v>
      </c>
      <c r="AN2646">
        <v>1.00000003323348</v>
      </c>
    </row>
    <row r="2647" spans="1:40" x14ac:dyDescent="0.3">
      <c r="A2647" t="str">
        <f>"20200111150859307"</f>
        <v>20200111150859307</v>
      </c>
      <c r="B2647" t="str">
        <f>"1578726539296014"</f>
        <v>1578726539296014</v>
      </c>
      <c r="C2647" t="s">
        <v>40</v>
      </c>
      <c r="D2647">
        <v>5.3355829999999997</v>
      </c>
      <c r="E2647">
        <v>0.70263450000000005</v>
      </c>
      <c r="F2647" t="s">
        <v>44</v>
      </c>
      <c r="G2647">
        <v>-300.88900000000001</v>
      </c>
      <c r="H2647">
        <v>-0.05</v>
      </c>
      <c r="I2647">
        <v>-0.79188539999999996</v>
      </c>
      <c r="J2647">
        <v>-317.23700000000002</v>
      </c>
      <c r="K2647">
        <v>1.0836760000000001</v>
      </c>
      <c r="L2647">
        <v>16.00543</v>
      </c>
      <c r="M2647">
        <v>0.97210410000000003</v>
      </c>
      <c r="N2647">
        <v>0</v>
      </c>
      <c r="O2647">
        <v>-0.2334426</v>
      </c>
      <c r="P2647">
        <v>0.93837660000000001</v>
      </c>
      <c r="Q2647">
        <v>0.15830169999999999</v>
      </c>
      <c r="R2647">
        <v>-0.30722959999999999</v>
      </c>
      <c r="S2647">
        <v>2.4319760000000001</v>
      </c>
      <c r="T2647">
        <v>-0.16726009999999999</v>
      </c>
      <c r="U2647">
        <v>-2.4809570000000001</v>
      </c>
      <c r="V2647">
        <v>8.5282189999999994E-2</v>
      </c>
      <c r="W2647">
        <v>0.17806459999999999</v>
      </c>
      <c r="X2647">
        <v>0.98031619999999997</v>
      </c>
      <c r="Y2647">
        <v>0.53059259999999997</v>
      </c>
      <c r="Z2647">
        <v>-2.2006880000000001E-3</v>
      </c>
      <c r="AA2647">
        <v>0.84762409999999999</v>
      </c>
      <c r="AB2647">
        <v>33</v>
      </c>
      <c r="AC2647">
        <v>16.347999999999999</v>
      </c>
      <c r="AD2647">
        <v>-1.1336759999999999</v>
      </c>
      <c r="AE2647">
        <v>-16.797315399999999</v>
      </c>
      <c r="AF2647">
        <v>12.4864531765383</v>
      </c>
      <c r="AG2647">
        <v>-1.1336759999999999</v>
      </c>
      <c r="AH2647">
        <v>19.772049580937601</v>
      </c>
      <c r="AI2647">
        <v>92.775488253884504</v>
      </c>
      <c r="AJ2647">
        <v>57.726752660637999</v>
      </c>
      <c r="AK2647">
        <v>23.412190816621901</v>
      </c>
      <c r="AL2647">
        <v>79.742951031659501</v>
      </c>
      <c r="AM2647">
        <v>85.0280954188799</v>
      </c>
      <c r="AN2647">
        <v>0.99999995284339604</v>
      </c>
    </row>
    <row r="2648" spans="1:40" x14ac:dyDescent="0.3">
      <c r="A2648" t="str">
        <f>"20200111150859318"</f>
        <v>20200111150859318</v>
      </c>
      <c r="B2648" t="str">
        <f>"1578726539316509"</f>
        <v>1578726539316509</v>
      </c>
      <c r="C2648" t="s">
        <v>40</v>
      </c>
      <c r="D2648">
        <v>4.7374179999999999</v>
      </c>
      <c r="E2648">
        <v>0.70242759999999904</v>
      </c>
      <c r="F2648" t="s">
        <v>44</v>
      </c>
      <c r="G2648">
        <v>-301.14229999999998</v>
      </c>
      <c r="H2648">
        <v>-0.05</v>
      </c>
      <c r="I2648">
        <v>-0.84521480000000004</v>
      </c>
      <c r="J2648">
        <v>-317.06990000000002</v>
      </c>
      <c r="K2648">
        <v>1.081987</v>
      </c>
      <c r="L2648">
        <v>15.96082</v>
      </c>
      <c r="M2648">
        <v>0.97065999999999997</v>
      </c>
      <c r="N2648">
        <v>0</v>
      </c>
      <c r="O2648">
        <v>-0.23934440000000001</v>
      </c>
      <c r="P2648">
        <v>0.93530340000000001</v>
      </c>
      <c r="Q2648">
        <v>0.15751879999999999</v>
      </c>
      <c r="R2648">
        <v>-0.31685289999999999</v>
      </c>
      <c r="S2648">
        <v>2.402161</v>
      </c>
      <c r="T2648">
        <v>-0.16920270000000001</v>
      </c>
      <c r="U2648">
        <v>-2.5149840000000001</v>
      </c>
      <c r="V2648">
        <v>8.9548390000000005E-2</v>
      </c>
      <c r="W2648">
        <v>0.17738139999999999</v>
      </c>
      <c r="X2648">
        <v>0.98005969999999998</v>
      </c>
      <c r="Y2648">
        <v>0.53641569999999905</v>
      </c>
      <c r="Z2648">
        <v>-2.0927290000000002E-3</v>
      </c>
      <c r="AA2648">
        <v>0.84395129999999996</v>
      </c>
      <c r="AB2648">
        <v>33</v>
      </c>
      <c r="AC2648">
        <v>15.9276</v>
      </c>
      <c r="AD2648">
        <v>-1.1319870000000001</v>
      </c>
      <c r="AE2648">
        <v>-16.806034799999999</v>
      </c>
      <c r="AF2648">
        <v>12.4742848108761</v>
      </c>
      <c r="AG2648">
        <v>-1.1319870000000001</v>
      </c>
      <c r="AH2648">
        <v>19.441446331983101</v>
      </c>
      <c r="AI2648">
        <v>92.805549764457197</v>
      </c>
      <c r="AJ2648">
        <v>57.314406311492498</v>
      </c>
      <c r="AK2648">
        <v>23.1270190813776</v>
      </c>
      <c r="AL2648">
        <v>79.782729705999799</v>
      </c>
      <c r="AM2648">
        <v>84.77936106237</v>
      </c>
      <c r="AN2648">
        <v>1.00000004539082</v>
      </c>
    </row>
    <row r="2649" spans="1:40" x14ac:dyDescent="0.3">
      <c r="A2649" t="str">
        <f>"20200111150859743"</f>
        <v>20200111150859743</v>
      </c>
      <c r="B2649" t="str">
        <f>"1578726539736189"</f>
        <v>1578726539736189</v>
      </c>
      <c r="C2649" t="s">
        <v>40</v>
      </c>
      <c r="D2649">
        <v>5.5169879999999996</v>
      </c>
      <c r="E2649">
        <v>0.70169029999999999</v>
      </c>
      <c r="F2649" t="s">
        <v>44</v>
      </c>
      <c r="G2649">
        <v>-302.12400000000002</v>
      </c>
      <c r="H2649">
        <v>-0.05</v>
      </c>
      <c r="I2649">
        <v>2.3651119999999999E-3</v>
      </c>
      <c r="J2649">
        <v>-311.25299999999999</v>
      </c>
      <c r="K2649">
        <v>1.0507439999999999</v>
      </c>
      <c r="L2649">
        <v>13.550140000000001</v>
      </c>
      <c r="M2649">
        <v>0.88347989999999998</v>
      </c>
      <c r="N2649">
        <v>0</v>
      </c>
      <c r="O2649">
        <v>-0.4681843</v>
      </c>
      <c r="P2649">
        <v>0.79380669999999898</v>
      </c>
      <c r="Q2649">
        <v>0.1516026</v>
      </c>
      <c r="R2649">
        <v>-0.58897169999999999</v>
      </c>
      <c r="S2649">
        <v>2.3777159999999999</v>
      </c>
      <c r="T2649">
        <v>-0.18008489999999999</v>
      </c>
      <c r="U2649">
        <v>-2.5387879999999998</v>
      </c>
      <c r="V2649">
        <v>0.15353439999999999</v>
      </c>
      <c r="W2649">
        <v>0.16314899999999999</v>
      </c>
      <c r="X2649">
        <v>0.9745817</v>
      </c>
      <c r="Y2649">
        <v>0.32497419999999999</v>
      </c>
      <c r="Z2649">
        <v>1.658834E-2</v>
      </c>
      <c r="AA2649">
        <v>0.94557740000000001</v>
      </c>
      <c r="AB2649">
        <v>33</v>
      </c>
      <c r="AC2649">
        <v>9.1289999999999605</v>
      </c>
      <c r="AD2649">
        <v>-1.1007439999999999</v>
      </c>
      <c r="AE2649">
        <v>-13.547774887999999</v>
      </c>
      <c r="AF2649">
        <v>7.6613761862093002</v>
      </c>
      <c r="AG2649">
        <v>-1.1007439999999999</v>
      </c>
      <c r="AH2649">
        <v>14.3449394836303</v>
      </c>
      <c r="AI2649">
        <v>93.872180461442795</v>
      </c>
      <c r="AJ2649">
        <v>61.894120452880003</v>
      </c>
      <c r="AK2649">
        <v>16.299865373958301</v>
      </c>
      <c r="AL2649">
        <v>80.610276555040599</v>
      </c>
      <c r="AM2649">
        <v>81.047273899973504</v>
      </c>
      <c r="AN2649">
        <v>0.99999994907962297</v>
      </c>
    </row>
    <row r="2650" spans="1:40" x14ac:dyDescent="0.3">
      <c r="A2650" t="str">
        <f>"20200111150859768"</f>
        <v>20200111150859768</v>
      </c>
      <c r="B2650" t="str">
        <f>"1578726539766447"</f>
        <v>1578726539766447</v>
      </c>
      <c r="C2650" t="s">
        <v>40</v>
      </c>
      <c r="D2650">
        <v>5.1800439999999996</v>
      </c>
      <c r="E2650">
        <v>0.70231679999999996</v>
      </c>
      <c r="F2650" t="s">
        <v>44</v>
      </c>
      <c r="G2650">
        <v>-304.34629999999999</v>
      </c>
      <c r="H2650">
        <v>-0.05</v>
      </c>
      <c r="I2650">
        <v>-0.83464050000000001</v>
      </c>
      <c r="J2650">
        <v>-310.92939999999999</v>
      </c>
      <c r="K2650">
        <v>1.050343</v>
      </c>
      <c r="L2650">
        <v>13.362550000000001</v>
      </c>
      <c r="M2650">
        <v>0.87640980000000002</v>
      </c>
      <c r="N2650">
        <v>0</v>
      </c>
      <c r="O2650">
        <v>-0.48129949999999999</v>
      </c>
      <c r="P2650">
        <v>0.7849933</v>
      </c>
      <c r="Q2650">
        <v>0.152253799999999</v>
      </c>
      <c r="R2650">
        <v>-0.60050340000000002</v>
      </c>
      <c r="S2650">
        <v>1.502777</v>
      </c>
      <c r="T2650">
        <v>-0.23950070000000001</v>
      </c>
      <c r="U2650">
        <v>-3.1298520000000001</v>
      </c>
      <c r="V2650">
        <v>0.1532857</v>
      </c>
      <c r="W2650">
        <v>0.16352059999999999</v>
      </c>
      <c r="X2650">
        <v>0.97455860000000005</v>
      </c>
      <c r="Y2650">
        <v>0.58153440000000001</v>
      </c>
      <c r="Z2650">
        <v>1.3797719999999999E-2</v>
      </c>
      <c r="AA2650">
        <v>0.81340489999999999</v>
      </c>
      <c r="AB2650">
        <v>33</v>
      </c>
      <c r="AC2650">
        <v>6.5831</v>
      </c>
      <c r="AD2650">
        <v>-1.1003430000000001</v>
      </c>
      <c r="AE2650">
        <v>-14.1971905</v>
      </c>
      <c r="AF2650">
        <v>9.2296736727173503</v>
      </c>
      <c r="AG2650">
        <v>-1.1003430000000001</v>
      </c>
      <c r="AH2650">
        <v>12.542203879709399</v>
      </c>
      <c r="AI2650">
        <v>94.041840738757898</v>
      </c>
      <c r="AJ2650">
        <v>53.651045877546203</v>
      </c>
      <c r="AK2650">
        <v>15.6110380494924</v>
      </c>
      <c r="AL2650">
        <v>80.588695906055605</v>
      </c>
      <c r="AM2650">
        <v>81.0613330302657</v>
      </c>
      <c r="AN2650">
        <v>0.999999978641404</v>
      </c>
    </row>
    <row r="2651" spans="1:40" x14ac:dyDescent="0.3">
      <c r="A2651" t="str">
        <f>"20200111150859782"</f>
        <v>20200111150859782</v>
      </c>
      <c r="B2651" t="str">
        <f>"1578726539776205"</f>
        <v>1578726539776205</v>
      </c>
      <c r="C2651" t="s">
        <v>40</v>
      </c>
      <c r="D2651">
        <v>5.3689369999999998</v>
      </c>
      <c r="E2651">
        <v>0.70209659999999996</v>
      </c>
      <c r="F2651" t="s">
        <v>43</v>
      </c>
      <c r="G2651">
        <v>-304.37400000000002</v>
      </c>
      <c r="H2651" s="1">
        <v>-4.875202E-6</v>
      </c>
      <c r="I2651">
        <v>-0.87487320000000002</v>
      </c>
      <c r="J2651">
        <v>-310.75819999999999</v>
      </c>
      <c r="K2651">
        <v>1.050152</v>
      </c>
      <c r="L2651">
        <v>13.26099</v>
      </c>
      <c r="M2651">
        <v>0.87256719999999899</v>
      </c>
      <c r="N2651">
        <v>0</v>
      </c>
      <c r="O2651">
        <v>-0.48823689999999997</v>
      </c>
      <c r="P2651">
        <v>0.78022819999999904</v>
      </c>
      <c r="Q2651">
        <v>0.1524161</v>
      </c>
      <c r="R2651">
        <v>-0.60664130000000005</v>
      </c>
      <c r="S2651">
        <v>1.452942</v>
      </c>
      <c r="T2651">
        <v>-0.23279659999999999</v>
      </c>
      <c r="U2651">
        <v>-3.155548</v>
      </c>
      <c r="V2651">
        <v>0.15319959999999999</v>
      </c>
      <c r="W2651">
        <v>0.1635451</v>
      </c>
      <c r="X2651">
        <v>0.97456810000000005</v>
      </c>
      <c r="Y2651">
        <v>0.5881999</v>
      </c>
      <c r="Z2651">
        <v>1.368632E-2</v>
      </c>
      <c r="AA2651">
        <v>0.80859979999999998</v>
      </c>
      <c r="AB2651">
        <v>33</v>
      </c>
      <c r="AC2651">
        <v>6.3841999999999599</v>
      </c>
      <c r="AD2651">
        <v>-1.0501568752020001</v>
      </c>
      <c r="AE2651">
        <v>-14.1358631999999</v>
      </c>
      <c r="AF2651">
        <v>9.1765807957291798</v>
      </c>
      <c r="AG2651">
        <v>-1.0501568752020001</v>
      </c>
      <c r="AH2651">
        <v>12.416940769506899</v>
      </c>
      <c r="AI2651">
        <v>93.891028226174001</v>
      </c>
      <c r="AJ2651">
        <v>53.534221429258203</v>
      </c>
      <c r="AK2651">
        <v>15.4755575872575</v>
      </c>
      <c r="AL2651">
        <v>80.587273675833401</v>
      </c>
      <c r="AM2651">
        <v>81.066358521690006</v>
      </c>
      <c r="AN2651">
        <v>1.00000004935588</v>
      </c>
    </row>
    <row r="2652" spans="1:40" x14ac:dyDescent="0.3">
      <c r="A2652" t="str">
        <f>"20200111150859795"</f>
        <v>20200111150859795</v>
      </c>
      <c r="B2652" t="str">
        <f>"1578726539786942"</f>
        <v>1578726539786942</v>
      </c>
      <c r="C2652" t="s">
        <v>40</v>
      </c>
      <c r="D2652">
        <v>5.3994589999999896</v>
      </c>
      <c r="E2652">
        <v>0.70155449999999997</v>
      </c>
      <c r="F2652" t="s">
        <v>43</v>
      </c>
      <c r="G2652">
        <v>-304.36110000000002</v>
      </c>
      <c r="H2652" s="1">
        <v>-4.861546E-6</v>
      </c>
      <c r="I2652">
        <v>-0.9044991</v>
      </c>
      <c r="J2652">
        <v>-310.57639999999998</v>
      </c>
      <c r="K2652">
        <v>1.0499700000000001</v>
      </c>
      <c r="L2652">
        <v>13.150790000000001</v>
      </c>
      <c r="M2652">
        <v>0.86840569999999895</v>
      </c>
      <c r="N2652">
        <v>0</v>
      </c>
      <c r="O2652">
        <v>-0.49560559999999998</v>
      </c>
      <c r="P2652">
        <v>0.77521580000000001</v>
      </c>
      <c r="Q2652">
        <v>0.15251210000000001</v>
      </c>
      <c r="R2652">
        <v>-0.61300959999999904</v>
      </c>
      <c r="S2652">
        <v>1.429565</v>
      </c>
      <c r="T2652">
        <v>-0.23468069999999999</v>
      </c>
      <c r="U2652">
        <v>-3.1655880000000001</v>
      </c>
      <c r="V2652">
        <v>0.1529247</v>
      </c>
      <c r="W2652">
        <v>0.16351079999999901</v>
      </c>
      <c r="X2652">
        <v>0.97461699999999996</v>
      </c>
      <c r="Y2652">
        <v>0.58728499999999995</v>
      </c>
      <c r="Z2652">
        <v>1.4424019999999999E-2</v>
      </c>
      <c r="AA2652">
        <v>0.80925170000000002</v>
      </c>
      <c r="AB2652">
        <v>33</v>
      </c>
      <c r="AC2652">
        <v>6.2152999999999503</v>
      </c>
      <c r="AD2652">
        <v>-1.0499748615459901</v>
      </c>
      <c r="AE2652">
        <v>-14.0552891</v>
      </c>
      <c r="AF2652">
        <v>9.0840784811505806</v>
      </c>
      <c r="AG2652">
        <v>-1.0499748615459901</v>
      </c>
      <c r="AH2652">
        <v>12.307358449409801</v>
      </c>
      <c r="AI2652">
        <v>93.926637180663306</v>
      </c>
      <c r="AJ2652">
        <v>53.568913398845197</v>
      </c>
      <c r="AK2652">
        <v>15.332775386858</v>
      </c>
      <c r="AL2652">
        <v>80.589265468730702</v>
      </c>
      <c r="AM2652">
        <v>81.082571345124805</v>
      </c>
      <c r="AN2652">
        <v>1.0000000211378599</v>
      </c>
    </row>
    <row r="2653" spans="1:40" x14ac:dyDescent="0.3">
      <c r="A2653" t="str">
        <f>"20200111150859808"</f>
        <v>20200111150859808</v>
      </c>
      <c r="B2653" t="str">
        <f>"1578726539796702"</f>
        <v>1578726539796702</v>
      </c>
      <c r="C2653" t="s">
        <v>40</v>
      </c>
      <c r="D2653">
        <v>5.3685739999999997</v>
      </c>
      <c r="E2653">
        <v>0.70084290000000005</v>
      </c>
      <c r="F2653" t="s">
        <v>43</v>
      </c>
      <c r="G2653">
        <v>-304.28699999999998</v>
      </c>
      <c r="H2653" s="1">
        <v>-4.79401E-6</v>
      </c>
      <c r="I2653">
        <v>-1.0461149999999999</v>
      </c>
      <c r="J2653">
        <v>-310.42059999999998</v>
      </c>
      <c r="K2653">
        <v>1.04982999999999</v>
      </c>
      <c r="L2653">
        <v>13.05453</v>
      </c>
      <c r="M2653">
        <v>0.8647705</v>
      </c>
      <c r="N2653">
        <v>0</v>
      </c>
      <c r="O2653">
        <v>-0.50192550000000002</v>
      </c>
      <c r="P2653">
        <v>0.770999199999999</v>
      </c>
      <c r="Q2653">
        <v>0.1525427</v>
      </c>
      <c r="R2653">
        <v>-0.61829679999999998</v>
      </c>
      <c r="S2653">
        <v>1.406158</v>
      </c>
      <c r="T2653">
        <v>-0.23474800000000001</v>
      </c>
      <c r="U2653">
        <v>-3.1740719999999998</v>
      </c>
      <c r="V2653">
        <v>0.15247260000000001</v>
      </c>
      <c r="W2653">
        <v>0.16344400000000001</v>
      </c>
      <c r="X2653">
        <v>0.97469899999999998</v>
      </c>
      <c r="Y2653">
        <v>0.58717969999999997</v>
      </c>
      <c r="Z2653">
        <v>1.494619E-2</v>
      </c>
      <c r="AA2653">
        <v>0.8093186</v>
      </c>
      <c r="AB2653">
        <v>33</v>
      </c>
      <c r="AC2653">
        <v>6.13359999999994</v>
      </c>
      <c r="AD2653">
        <v>-1.0498347940099999</v>
      </c>
      <c r="AE2653">
        <v>-14.100645</v>
      </c>
      <c r="AF2653">
        <v>9.0740218125832701</v>
      </c>
      <c r="AG2653">
        <v>-1.0498347940099999</v>
      </c>
      <c r="AH2653">
        <v>12.3256795913675</v>
      </c>
      <c r="AI2653">
        <v>93.923869776261895</v>
      </c>
      <c r="AJ2653">
        <v>53.639932198709097</v>
      </c>
      <c r="AK2653">
        <v>15.3415254241227</v>
      </c>
      <c r="AL2653">
        <v>80.593144701002601</v>
      </c>
      <c r="AM2653">
        <v>81.109248688564904</v>
      </c>
      <c r="AN2653">
        <v>0.99999998774387899</v>
      </c>
    </row>
    <row r="2654" spans="1:40" x14ac:dyDescent="0.3">
      <c r="A2654" t="str">
        <f>"20200111150859823"</f>
        <v>20200111150859823</v>
      </c>
      <c r="B2654" t="str">
        <f>"1578726539816221"</f>
        <v>1578726539816221</v>
      </c>
      <c r="C2654" t="s">
        <v>40</v>
      </c>
      <c r="D2654">
        <v>5.3560119999999998</v>
      </c>
      <c r="E2654">
        <v>0.6999959</v>
      </c>
      <c r="F2654" t="s">
        <v>43</v>
      </c>
      <c r="G2654">
        <v>-304.20429999999999</v>
      </c>
      <c r="H2654" s="1">
        <v>-4.7255340000000004E-6</v>
      </c>
      <c r="I2654">
        <v>-1.1862200000000001</v>
      </c>
      <c r="J2654">
        <v>-310.2439</v>
      </c>
      <c r="K2654">
        <v>1.0496840000000001</v>
      </c>
      <c r="L2654">
        <v>12.94397</v>
      </c>
      <c r="M2654">
        <v>0.86057649999999997</v>
      </c>
      <c r="N2654">
        <v>0</v>
      </c>
      <c r="O2654">
        <v>-0.50908699999999996</v>
      </c>
      <c r="P2654">
        <v>0.76618379999999997</v>
      </c>
      <c r="Q2654">
        <v>0.1525261</v>
      </c>
      <c r="R2654">
        <v>-0.62425819999999999</v>
      </c>
      <c r="S2654">
        <v>1.3878170000000001</v>
      </c>
      <c r="T2654">
        <v>-0.2343788</v>
      </c>
      <c r="U2654">
        <v>-3.1792910000000001</v>
      </c>
      <c r="V2654">
        <v>0.1519247</v>
      </c>
      <c r="W2654">
        <v>0.163324</v>
      </c>
      <c r="X2654">
        <v>0.97480460000000002</v>
      </c>
      <c r="Y2654">
        <v>0.58488019999999996</v>
      </c>
      <c r="Z2654">
        <v>1.55998E-2</v>
      </c>
      <c r="AA2654">
        <v>0.81096969999999902</v>
      </c>
      <c r="AB2654">
        <v>33</v>
      </c>
      <c r="AC2654">
        <v>6.0396000000000001</v>
      </c>
      <c r="AD2654">
        <v>-1.0496887255339999</v>
      </c>
      <c r="AE2654">
        <v>-14.130189999999899</v>
      </c>
      <c r="AF2654">
        <v>9.0443097251969409</v>
      </c>
      <c r="AG2654">
        <v>-1.0496887255339999</v>
      </c>
      <c r="AH2654">
        <v>12.3349558125066</v>
      </c>
      <c r="AI2654">
        <v>93.925912341084896</v>
      </c>
      <c r="AJ2654">
        <v>53.750163348572897</v>
      </c>
      <c r="AK2654">
        <v>15.3314226255197</v>
      </c>
      <c r="AL2654">
        <v>80.600113254691195</v>
      </c>
      <c r="AM2654">
        <v>81.141633817539798</v>
      </c>
      <c r="AN2654">
        <v>0.99999992581362196</v>
      </c>
    </row>
    <row r="2655" spans="1:40" x14ac:dyDescent="0.3">
      <c r="A2655" t="str">
        <f>"20200111150859835"</f>
        <v>20200111150859835</v>
      </c>
      <c r="B2655" t="str">
        <f>"1578726539826958"</f>
        <v>1578726539826958</v>
      </c>
      <c r="C2655" t="s">
        <v>40</v>
      </c>
      <c r="D2655">
        <v>5.3481800000000002</v>
      </c>
      <c r="E2655">
        <v>0.69968619999999904</v>
      </c>
      <c r="F2655" t="s">
        <v>43</v>
      </c>
      <c r="G2655">
        <v>-304.06380000000001</v>
      </c>
      <c r="H2655" s="1">
        <v>-4.5974469999999996E-6</v>
      </c>
      <c r="I2655">
        <v>-1.454906</v>
      </c>
      <c r="J2655">
        <v>-310.07350000000002</v>
      </c>
      <c r="K2655">
        <v>1.0495589999999999</v>
      </c>
      <c r="L2655">
        <v>12.835140000000001</v>
      </c>
      <c r="M2655">
        <v>0.85645090000000001</v>
      </c>
      <c r="N2655">
        <v>0</v>
      </c>
      <c r="O2655">
        <v>-0.51600069999999998</v>
      </c>
      <c r="P2655">
        <v>0.7615653</v>
      </c>
      <c r="Q2655">
        <v>0.1525765</v>
      </c>
      <c r="R2655">
        <v>-0.62987209999999905</v>
      </c>
      <c r="S2655">
        <v>1.3669129999999901</v>
      </c>
      <c r="T2655">
        <v>-0.23217080000000001</v>
      </c>
      <c r="U2655">
        <v>-3.1847530000000002</v>
      </c>
      <c r="V2655">
        <v>0.15123310000000001</v>
      </c>
      <c r="W2655">
        <v>0.16328689999999901</v>
      </c>
      <c r="X2655">
        <v>0.97491839999999996</v>
      </c>
      <c r="Y2655">
        <v>0.58335999999999999</v>
      </c>
      <c r="Z2655">
        <v>1.607861E-2</v>
      </c>
      <c r="AA2655">
        <v>0.81205459999999996</v>
      </c>
      <c r="AB2655">
        <v>33</v>
      </c>
      <c r="AC2655">
        <v>6.0096999999999996</v>
      </c>
      <c r="AD2655">
        <v>-1.0495635974469999</v>
      </c>
      <c r="AE2655">
        <v>-14.290045999999901</v>
      </c>
      <c r="AF2655">
        <v>9.0970887408932608</v>
      </c>
      <c r="AG2655">
        <v>-1.0495635974469999</v>
      </c>
      <c r="AH2655">
        <v>12.4650220190001</v>
      </c>
      <c r="AI2655">
        <v>93.890922169152404</v>
      </c>
      <c r="AJ2655">
        <v>53.877685129297099</v>
      </c>
      <c r="AK2655">
        <v>15.467235733605699</v>
      </c>
      <c r="AL2655">
        <v>80.602268313791498</v>
      </c>
      <c r="AM2655">
        <v>81.182337295271907</v>
      </c>
      <c r="AN2655">
        <v>0.99999997445288902</v>
      </c>
    </row>
    <row r="2656" spans="1:40" x14ac:dyDescent="0.3">
      <c r="A2656" t="str">
        <f>"20200111150859849"</f>
        <v>20200111150859849</v>
      </c>
      <c r="B2656" t="str">
        <f>"1578726539846477"</f>
        <v>1578726539846477</v>
      </c>
      <c r="C2656" t="s">
        <v>40</v>
      </c>
      <c r="D2656">
        <v>5.4741980000000003</v>
      </c>
      <c r="E2656">
        <v>0.69984429999999997</v>
      </c>
      <c r="F2656" t="s">
        <v>43</v>
      </c>
      <c r="G2656">
        <v>-303.91149999999999</v>
      </c>
      <c r="H2656" s="1">
        <v>-4.4371630000000001E-6</v>
      </c>
      <c r="I2656">
        <v>-1.8019270000000001</v>
      </c>
      <c r="J2656">
        <v>-309.91840000000002</v>
      </c>
      <c r="K2656">
        <v>1.0494520000000001</v>
      </c>
      <c r="L2656">
        <v>12.734159999999999</v>
      </c>
      <c r="M2656">
        <v>0.85262329999999997</v>
      </c>
      <c r="N2656">
        <v>0</v>
      </c>
      <c r="O2656">
        <v>-0.5223042</v>
      </c>
      <c r="P2656">
        <v>0.757615699999999</v>
      </c>
      <c r="Q2656">
        <v>0.15224289999999999</v>
      </c>
      <c r="R2656">
        <v>-0.63469730000000002</v>
      </c>
      <c r="S2656">
        <v>1.3442379999999901</v>
      </c>
      <c r="T2656">
        <v>-0.22896059999999999</v>
      </c>
      <c r="U2656">
        <v>-3.1930540000000001</v>
      </c>
      <c r="V2656">
        <v>0.1501797</v>
      </c>
      <c r="W2656">
        <v>0.1628945</v>
      </c>
      <c r="X2656">
        <v>0.97514690000000004</v>
      </c>
      <c r="Y2656">
        <v>0.58303640000000001</v>
      </c>
      <c r="Z2656">
        <v>1.6372080000000001E-2</v>
      </c>
      <c r="AA2656">
        <v>0.81228109999999998</v>
      </c>
      <c r="AB2656">
        <v>33</v>
      </c>
      <c r="AC2656">
        <v>6.0069000000000301</v>
      </c>
      <c r="AD2656">
        <v>-1.049456437163</v>
      </c>
      <c r="AE2656">
        <v>-14.536087</v>
      </c>
      <c r="AF2656">
        <v>9.2164182706489992</v>
      </c>
      <c r="AG2656">
        <v>-1.049456437163</v>
      </c>
      <c r="AH2656">
        <v>12.658997302090601</v>
      </c>
      <c r="AI2656">
        <v>93.834285028070397</v>
      </c>
      <c r="AJ2656">
        <v>53.943405070696201</v>
      </c>
      <c r="AK2656">
        <v>15.693754721142801</v>
      </c>
      <c r="AL2656">
        <v>80.625056701411793</v>
      </c>
      <c r="AM2656">
        <v>81.244820804172306</v>
      </c>
      <c r="AN2656">
        <v>1.0000000185009701</v>
      </c>
    </row>
    <row r="2657" spans="1:40" x14ac:dyDescent="0.3">
      <c r="A2657" t="str">
        <f>"20200111150859865"</f>
        <v>20200111150859865</v>
      </c>
      <c r="B2657" t="str">
        <f>"1578726539856237"</f>
        <v>1578726539856237</v>
      </c>
      <c r="C2657" t="s">
        <v>40</v>
      </c>
      <c r="D2657">
        <v>5.480696</v>
      </c>
      <c r="E2657">
        <v>0.69970549999999998</v>
      </c>
      <c r="F2657" t="s">
        <v>43</v>
      </c>
      <c r="G2657">
        <v>-303.70280000000002</v>
      </c>
      <c r="H2657" s="1">
        <v>-4.2012630000000004E-6</v>
      </c>
      <c r="I2657">
        <v>-2.319839</v>
      </c>
      <c r="J2657">
        <v>-309.7217</v>
      </c>
      <c r="K2657">
        <v>1.0493349999999999</v>
      </c>
      <c r="L2657">
        <v>12.60413</v>
      </c>
      <c r="M2657">
        <v>0.84767590000000004</v>
      </c>
      <c r="N2657">
        <v>0</v>
      </c>
      <c r="O2657">
        <v>-0.53029939999999998</v>
      </c>
      <c r="P2657">
        <v>0.75244279999999997</v>
      </c>
      <c r="Q2657">
        <v>0.15200359999999999</v>
      </c>
      <c r="R2657">
        <v>-0.64087839999999996</v>
      </c>
      <c r="S2657">
        <v>1.3220829999999999</v>
      </c>
      <c r="T2657">
        <v>-0.22322429999999999</v>
      </c>
      <c r="U2657">
        <v>-3.2020569999999999</v>
      </c>
      <c r="V2657">
        <v>0.1489481</v>
      </c>
      <c r="W2657">
        <v>0.16258349999999999</v>
      </c>
      <c r="X2657">
        <v>0.97538760000000002</v>
      </c>
      <c r="Y2657">
        <v>0.5810263</v>
      </c>
      <c r="Z2657">
        <v>1.6655059999999999E-2</v>
      </c>
      <c r="AA2657">
        <v>0.8137143</v>
      </c>
      <c r="AB2657">
        <v>33</v>
      </c>
      <c r="AC2657">
        <v>6.0188999999999702</v>
      </c>
      <c r="AD2657">
        <v>-1.0493392012630001</v>
      </c>
      <c r="AE2657">
        <v>-14.923969</v>
      </c>
      <c r="AF2657">
        <v>9.4198936703872391</v>
      </c>
      <c r="AG2657">
        <v>-1.0493392012630001</v>
      </c>
      <c r="AH2657">
        <v>12.9626136578966</v>
      </c>
      <c r="AI2657">
        <v>93.746726676805395</v>
      </c>
      <c r="AJ2657">
        <v>53.994204128183597</v>
      </c>
      <c r="AK2657">
        <v>16.058171202369099</v>
      </c>
      <c r="AL2657">
        <v>80.643115799140006</v>
      </c>
      <c r="AM2657">
        <v>81.3176320115154</v>
      </c>
      <c r="AN2657">
        <v>0.99999995059980795</v>
      </c>
    </row>
    <row r="2658" spans="1:40" x14ac:dyDescent="0.3">
      <c r="A2658" t="str">
        <f>"20200111150859877"</f>
        <v>20200111150859877</v>
      </c>
      <c r="B2658" t="str">
        <f>"1578726539866973"</f>
        <v>1578726539866973</v>
      </c>
      <c r="C2658" t="s">
        <v>40</v>
      </c>
      <c r="D2658">
        <v>5.4878410000000004</v>
      </c>
      <c r="E2658">
        <v>0.69967880000000005</v>
      </c>
      <c r="F2658" t="s">
        <v>43</v>
      </c>
      <c r="G2658">
        <v>-303.5634</v>
      </c>
      <c r="H2658" s="1">
        <v>-4.0485490000000002E-6</v>
      </c>
      <c r="I2658">
        <v>-2.6531159999999998</v>
      </c>
      <c r="J2658">
        <v>-309.55369999999999</v>
      </c>
      <c r="K2658">
        <v>1.049239</v>
      </c>
      <c r="L2658">
        <v>12.491149999999999</v>
      </c>
      <c r="M2658">
        <v>0.8433678</v>
      </c>
      <c r="N2658">
        <v>0</v>
      </c>
      <c r="O2658">
        <v>-0.53712700000000002</v>
      </c>
      <c r="P2658">
        <v>0.74719199999999997</v>
      </c>
      <c r="Q2658">
        <v>0.15207770000000001</v>
      </c>
      <c r="R2658">
        <v>-0.64697479999999996</v>
      </c>
      <c r="S2658">
        <v>1.296265</v>
      </c>
      <c r="T2658">
        <v>-0.22087670000000001</v>
      </c>
      <c r="U2658">
        <v>-3.2115170000000002</v>
      </c>
      <c r="V2658">
        <v>0.149006</v>
      </c>
      <c r="W2658">
        <v>0.16256660000000001</v>
      </c>
      <c r="X2658">
        <v>0.97538159999999896</v>
      </c>
      <c r="Y2658">
        <v>0.58092310000000003</v>
      </c>
      <c r="Z2658">
        <v>1.7011490000000001E-2</v>
      </c>
      <c r="AA2658">
        <v>0.81378070000000002</v>
      </c>
      <c r="AB2658">
        <v>33</v>
      </c>
      <c r="AC2658">
        <v>5.9902999999999897</v>
      </c>
      <c r="AD2658">
        <v>-1.0492430485490001</v>
      </c>
      <c r="AE2658">
        <v>-15.144265999999901</v>
      </c>
      <c r="AF2658">
        <v>9.5162118157569093</v>
      </c>
      <c r="AG2658">
        <v>-1.0492430485490001</v>
      </c>
      <c r="AH2658">
        <v>13.1333929661624</v>
      </c>
      <c r="AI2658">
        <v>93.7015149113641</v>
      </c>
      <c r="AJ2658">
        <v>54.073613312053403</v>
      </c>
      <c r="AK2658">
        <v>16.2525446961676</v>
      </c>
      <c r="AL2658">
        <v>80.644097398547601</v>
      </c>
      <c r="AM2658">
        <v>81.314255795275997</v>
      </c>
      <c r="AN2658">
        <v>0.99999997654505901</v>
      </c>
    </row>
    <row r="2659" spans="1:40" x14ac:dyDescent="0.3">
      <c r="A2659" t="str">
        <f>"20200111150859892"</f>
        <v>20200111150859892</v>
      </c>
      <c r="B2659" t="str">
        <f>"1578726539886493"</f>
        <v>1578726539886493</v>
      </c>
      <c r="C2659" t="s">
        <v>40</v>
      </c>
      <c r="D2659">
        <v>5.527882</v>
      </c>
      <c r="E2659">
        <v>0.69933509999999999</v>
      </c>
      <c r="F2659" t="s">
        <v>43</v>
      </c>
      <c r="G2659">
        <v>-303.49709999999999</v>
      </c>
      <c r="H2659" s="1">
        <v>-3.9549029999999999E-6</v>
      </c>
      <c r="I2659">
        <v>-2.8663630000000002</v>
      </c>
      <c r="J2659">
        <v>-309.38209999999998</v>
      </c>
      <c r="K2659">
        <v>1.0491549999999901</v>
      </c>
      <c r="L2659">
        <v>12.37302</v>
      </c>
      <c r="M2659">
        <v>0.83887049999999996</v>
      </c>
      <c r="N2659">
        <v>0</v>
      </c>
      <c r="O2659">
        <v>-0.54412660000000002</v>
      </c>
      <c r="P2659">
        <v>0.74161299999999997</v>
      </c>
      <c r="Q2659">
        <v>0.1525628</v>
      </c>
      <c r="R2659">
        <v>-0.65324969999999905</v>
      </c>
      <c r="S2659">
        <v>1.2704470000000001</v>
      </c>
      <c r="T2659">
        <v>-0.22009219999999999</v>
      </c>
      <c r="U2659">
        <v>-3.2214360000000002</v>
      </c>
      <c r="V2659">
        <v>0.1491729</v>
      </c>
      <c r="W2659">
        <v>0.16296269999999999</v>
      </c>
      <c r="X2659">
        <v>0.97528999999999999</v>
      </c>
      <c r="Y2659">
        <v>0.58065959999999905</v>
      </c>
      <c r="Z2659">
        <v>1.7498030000000001E-2</v>
      </c>
      <c r="AA2659">
        <v>0.81395830000000002</v>
      </c>
      <c r="AB2659">
        <v>33</v>
      </c>
      <c r="AC2659">
        <v>5.88499999999999</v>
      </c>
      <c r="AD2659">
        <v>-1.04915895490299</v>
      </c>
      <c r="AE2659">
        <v>-15.239382999999901</v>
      </c>
      <c r="AF2659">
        <v>9.5433876189359399</v>
      </c>
      <c r="AG2659">
        <v>-1.04915895490299</v>
      </c>
      <c r="AH2659">
        <v>13.176033114245801</v>
      </c>
      <c r="AI2659">
        <v>93.689767944953104</v>
      </c>
      <c r="AJ2659">
        <v>54.084223353810799</v>
      </c>
      <c r="AK2659">
        <v>16.302908648017901</v>
      </c>
      <c r="AL2659">
        <v>80.621095937937696</v>
      </c>
      <c r="AM2659">
        <v>81.303871412657301</v>
      </c>
      <c r="AN2659">
        <v>0.99999998989284999</v>
      </c>
    </row>
    <row r="2660" spans="1:40" x14ac:dyDescent="0.3">
      <c r="A2660" t="str">
        <f>"20200111150859907"</f>
        <v>20200111150859907</v>
      </c>
      <c r="B2660" t="str">
        <f>"1578726539896254"</f>
        <v>1578726539896254</v>
      </c>
      <c r="C2660" t="s">
        <v>40</v>
      </c>
      <c r="D2660">
        <v>5.4425220000000003</v>
      </c>
      <c r="E2660">
        <v>0.69892319999999997</v>
      </c>
      <c r="F2660" t="s">
        <v>43</v>
      </c>
      <c r="G2660">
        <v>-303.32510000000002</v>
      </c>
      <c r="H2660" s="1">
        <v>-3.7415699999999999E-6</v>
      </c>
      <c r="I2660">
        <v>-3.342441</v>
      </c>
      <c r="J2660">
        <v>-309.20119999999997</v>
      </c>
      <c r="K2660">
        <v>1.049077</v>
      </c>
      <c r="L2660">
        <v>12.246549999999999</v>
      </c>
      <c r="M2660">
        <v>0.83404080000000003</v>
      </c>
      <c r="N2660">
        <v>0</v>
      </c>
      <c r="O2660">
        <v>-0.55150330000000003</v>
      </c>
      <c r="P2660">
        <v>0.73574399999999995</v>
      </c>
      <c r="Q2660">
        <v>0.15271599999999999</v>
      </c>
      <c r="R2660">
        <v>-0.65981699999999999</v>
      </c>
      <c r="S2660">
        <v>1.2447509999999999</v>
      </c>
      <c r="T2660">
        <v>-0.2156101</v>
      </c>
      <c r="U2660">
        <v>-3.2296450000000001</v>
      </c>
      <c r="V2660">
        <v>0.14925939999999999</v>
      </c>
      <c r="W2660">
        <v>0.16303099999999901</v>
      </c>
      <c r="X2660">
        <v>0.97526539999999995</v>
      </c>
      <c r="Y2660">
        <v>0.57982639999999996</v>
      </c>
      <c r="Z2660">
        <v>1.77351E-2</v>
      </c>
      <c r="AA2660">
        <v>0.81454700000000002</v>
      </c>
      <c r="AB2660">
        <v>33</v>
      </c>
      <c r="AC2660">
        <v>5.8760999999999504</v>
      </c>
      <c r="AD2660">
        <v>-1.0490807415700001</v>
      </c>
      <c r="AE2660">
        <v>-15.588991</v>
      </c>
      <c r="AF2660">
        <v>9.7236821196084993</v>
      </c>
      <c r="AG2660">
        <v>-1.0490807415700001</v>
      </c>
      <c r="AH2660">
        <v>13.446452338002601</v>
      </c>
      <c r="AI2660">
        <v>93.617477336845994</v>
      </c>
      <c r="AJ2660">
        <v>54.1277625469151</v>
      </c>
      <c r="AK2660">
        <v>16.627015512223</v>
      </c>
      <c r="AL2660">
        <v>80.617130047515303</v>
      </c>
      <c r="AM2660">
        <v>81.298689874093</v>
      </c>
      <c r="AN2660">
        <v>1.0000000379432501</v>
      </c>
    </row>
    <row r="2661" spans="1:40" x14ac:dyDescent="0.3">
      <c r="A2661" t="str">
        <f>"20200111150859920"</f>
        <v>20200111150859920</v>
      </c>
      <c r="B2661" t="str">
        <f>"1578726539916750"</f>
        <v>1578726539916750</v>
      </c>
      <c r="C2661" t="s">
        <v>40</v>
      </c>
      <c r="D2661">
        <v>5.4782820000000001</v>
      </c>
      <c r="E2661">
        <v>0.69866510000000004</v>
      </c>
      <c r="F2661" t="s">
        <v>43</v>
      </c>
      <c r="G2661">
        <v>-303.25979999999998</v>
      </c>
      <c r="H2661" s="1">
        <v>-3.653336E-6</v>
      </c>
      <c r="I2661">
        <v>-3.5420219999999998</v>
      </c>
      <c r="J2661">
        <v>-309.041</v>
      </c>
      <c r="K2661">
        <v>1.0490120000000001</v>
      </c>
      <c r="L2661">
        <v>12.13297</v>
      </c>
      <c r="M2661">
        <v>0.82968799999999898</v>
      </c>
      <c r="N2661">
        <v>0</v>
      </c>
      <c r="O2661">
        <v>-0.55803219999999898</v>
      </c>
      <c r="P2661">
        <v>0.73016080000000005</v>
      </c>
      <c r="Q2661">
        <v>0.15248529999999999</v>
      </c>
      <c r="R2661">
        <v>-0.66604300000000005</v>
      </c>
      <c r="S2661">
        <v>1.218445</v>
      </c>
      <c r="T2661">
        <v>-0.2151409</v>
      </c>
      <c r="U2661">
        <v>-3.237854</v>
      </c>
      <c r="V2661">
        <v>0.14985299999999999</v>
      </c>
      <c r="W2661">
        <v>0.16271389999999999</v>
      </c>
      <c r="X2661">
        <v>0.97522730000000002</v>
      </c>
      <c r="Y2661">
        <v>0.57991539999999997</v>
      </c>
      <c r="Z2661">
        <v>1.8193890000000001E-2</v>
      </c>
      <c r="AA2661">
        <v>0.81447349999999996</v>
      </c>
      <c r="AB2661">
        <v>32</v>
      </c>
      <c r="AC2661">
        <v>5.7812000000000099</v>
      </c>
      <c r="AD2661">
        <v>-1.049015653336</v>
      </c>
      <c r="AE2661">
        <v>-15.674992</v>
      </c>
      <c r="AF2661">
        <v>9.7419160009884394</v>
      </c>
      <c r="AG2661">
        <v>-1.049015653336</v>
      </c>
      <c r="AH2661">
        <v>13.4920272595421</v>
      </c>
      <c r="AI2661">
        <v>93.606930125531207</v>
      </c>
      <c r="AJ2661">
        <v>54.168838944034803</v>
      </c>
      <c r="AK2661">
        <v>16.674536298904599</v>
      </c>
      <c r="AL2661">
        <v>80.635544166474006</v>
      </c>
      <c r="AM2661">
        <v>81.264281753169897</v>
      </c>
      <c r="AN2661">
        <v>1.0000000107637499</v>
      </c>
    </row>
    <row r="2662" spans="1:40" x14ac:dyDescent="0.3">
      <c r="A2662" t="str">
        <f>"20200111150859934"</f>
        <v>20200111150859934</v>
      </c>
      <c r="B2662" t="str">
        <f>"1578726539926509"</f>
        <v>1578726539926509</v>
      </c>
      <c r="C2662" t="s">
        <v>40</v>
      </c>
      <c r="D2662">
        <v>5.4370609999999999</v>
      </c>
      <c r="E2662">
        <v>0.69850219999999996</v>
      </c>
      <c r="F2662" t="s">
        <v>43</v>
      </c>
      <c r="G2662">
        <v>-303.18610000000001</v>
      </c>
      <c r="H2662" s="1">
        <v>-3.5148799999999999E-6</v>
      </c>
      <c r="I2662">
        <v>-3.8204250000000002</v>
      </c>
      <c r="J2662">
        <v>-308.87490000000003</v>
      </c>
      <c r="K2662">
        <v>1.0489539999999999</v>
      </c>
      <c r="L2662">
        <v>12.01248</v>
      </c>
      <c r="M2662">
        <v>0.82508159999999897</v>
      </c>
      <c r="N2662">
        <v>0</v>
      </c>
      <c r="O2662">
        <v>-0.56482270000000001</v>
      </c>
      <c r="P2662">
        <v>0.72470199999999996</v>
      </c>
      <c r="Q2662">
        <v>0.1521303</v>
      </c>
      <c r="R2662">
        <v>-0.67205930000000003</v>
      </c>
      <c r="S2662">
        <v>1.191589</v>
      </c>
      <c r="T2662">
        <v>-0.21349509999999999</v>
      </c>
      <c r="U2662">
        <v>-3.246826</v>
      </c>
      <c r="V2662">
        <v>0.14985870000000001</v>
      </c>
      <c r="W2662">
        <v>0.1622942</v>
      </c>
      <c r="X2662">
        <v>0.97529639999999995</v>
      </c>
      <c r="Y2662">
        <v>0.5799031</v>
      </c>
      <c r="Z2662">
        <v>1.8569639999999998E-2</v>
      </c>
      <c r="AA2662">
        <v>0.81447380000000003</v>
      </c>
      <c r="AB2662">
        <v>32</v>
      </c>
      <c r="AC2662">
        <v>5.6888000000000103</v>
      </c>
      <c r="AD2662">
        <v>-1.0489575148799899</v>
      </c>
      <c r="AE2662">
        <v>-15.832904999999901</v>
      </c>
      <c r="AF2662">
        <v>9.8131894818166305</v>
      </c>
      <c r="AG2662">
        <v>-1.0489575148799899</v>
      </c>
      <c r="AH2662">
        <v>13.585167669603999</v>
      </c>
      <c r="AI2662">
        <v>93.581565533363204</v>
      </c>
      <c r="AJ2662">
        <v>54.157692151864303</v>
      </c>
      <c r="AK2662">
        <v>16.791538949283801</v>
      </c>
      <c r="AL2662">
        <v>80.659915541270394</v>
      </c>
      <c r="AM2662">
        <v>81.264563999846601</v>
      </c>
      <c r="AN2662">
        <v>1.0000000525861401</v>
      </c>
    </row>
    <row r="2663" spans="1:40" x14ac:dyDescent="0.3">
      <c r="A2663" t="str">
        <f>"20200111150859947"</f>
        <v>20200111150859947</v>
      </c>
      <c r="B2663" t="str">
        <f>"1578726539936269"</f>
        <v>1578726539936269</v>
      </c>
      <c r="C2663" t="s">
        <v>40</v>
      </c>
      <c r="D2663">
        <v>5.5267059999999999</v>
      </c>
      <c r="E2663">
        <v>0.6982488</v>
      </c>
      <c r="F2663" t="s">
        <v>43</v>
      </c>
      <c r="G2663">
        <v>-303.16419999999999</v>
      </c>
      <c r="H2663" s="1">
        <v>-3.4498870000000001E-6</v>
      </c>
      <c r="I2663">
        <v>-3.9455740000000001</v>
      </c>
      <c r="J2663">
        <v>-308.72410000000002</v>
      </c>
      <c r="K2663">
        <v>1.0489040000000001</v>
      </c>
      <c r="L2663">
        <v>11.90143</v>
      </c>
      <c r="M2663">
        <v>0.82082619999999895</v>
      </c>
      <c r="N2663">
        <v>0</v>
      </c>
      <c r="O2663">
        <v>-0.57099060000000001</v>
      </c>
      <c r="P2663">
        <v>0.71960249999999903</v>
      </c>
      <c r="Q2663">
        <v>0.15143879999999901</v>
      </c>
      <c r="R2663">
        <v>-0.67767159999999904</v>
      </c>
      <c r="S2663">
        <v>1.1651609999999999</v>
      </c>
      <c r="T2663">
        <v>-0.2140186</v>
      </c>
      <c r="U2663">
        <v>-3.2559200000000001</v>
      </c>
      <c r="V2663">
        <v>0.1500234</v>
      </c>
      <c r="W2663">
        <v>0.1615441</v>
      </c>
      <c r="X2663">
        <v>0.97539560000000003</v>
      </c>
      <c r="Y2663">
        <v>0.58038489999999998</v>
      </c>
      <c r="Z2663">
        <v>1.9066119999999999E-2</v>
      </c>
      <c r="AA2663">
        <v>0.81411899999999904</v>
      </c>
      <c r="AB2663">
        <v>32</v>
      </c>
      <c r="AC2663">
        <v>5.5599000000000203</v>
      </c>
      <c r="AD2663">
        <v>-1.0489074498869999</v>
      </c>
      <c r="AE2663">
        <v>-15.847003999999901</v>
      </c>
      <c r="AF2663">
        <v>9.79582572052019</v>
      </c>
      <c r="AG2663">
        <v>-1.0489074498869999</v>
      </c>
      <c r="AH2663">
        <v>13.5607602026829</v>
      </c>
      <c r="AI2663">
        <v>93.587790795070802</v>
      </c>
      <c r="AJ2663">
        <v>54.156951211491801</v>
      </c>
      <c r="AK2663">
        <v>16.7616414965808</v>
      </c>
      <c r="AL2663">
        <v>80.703467763221397</v>
      </c>
      <c r="AM2663">
        <v>81.255987401314798</v>
      </c>
      <c r="AN2663">
        <v>1.0000000466458601</v>
      </c>
    </row>
    <row r="2664" spans="1:40" x14ac:dyDescent="0.3">
      <c r="A2664" t="str">
        <f>"20200111150859960"</f>
        <v>20200111150859960</v>
      </c>
      <c r="B2664" t="str">
        <f>"1578726539956767"</f>
        <v>1578726539956767</v>
      </c>
      <c r="C2664" t="s">
        <v>40</v>
      </c>
      <c r="D2664">
        <v>5.4740510000000002</v>
      </c>
      <c r="E2664">
        <v>0.69787969999999999</v>
      </c>
      <c r="F2664" t="s">
        <v>43</v>
      </c>
      <c r="G2664">
        <v>-303.13409999999999</v>
      </c>
      <c r="H2664" s="1">
        <v>-3.3762189999999999E-6</v>
      </c>
      <c r="I2664">
        <v>-4.0844959999999997</v>
      </c>
      <c r="J2664">
        <v>-308.5693</v>
      </c>
      <c r="K2664">
        <v>1.048856</v>
      </c>
      <c r="L2664">
        <v>11.786099999999999</v>
      </c>
      <c r="M2664">
        <v>0.81639019999999995</v>
      </c>
      <c r="N2664">
        <v>0</v>
      </c>
      <c r="O2664">
        <v>-0.57731659999999996</v>
      </c>
      <c r="P2664">
        <v>0.71418249999999905</v>
      </c>
      <c r="Q2664">
        <v>0.15077099999999999</v>
      </c>
      <c r="R2664">
        <v>-0.68352869999999999</v>
      </c>
      <c r="S2664">
        <v>1.141052</v>
      </c>
      <c r="T2664">
        <v>-0.21410789999999999</v>
      </c>
      <c r="U2664">
        <v>-3.2631230000000002</v>
      </c>
      <c r="V2664">
        <v>0.15035209999999999</v>
      </c>
      <c r="W2664">
        <v>0.1608137</v>
      </c>
      <c r="X2664">
        <v>0.97546569999999999</v>
      </c>
      <c r="Y2664">
        <v>0.58001709999999995</v>
      </c>
      <c r="Z2664">
        <v>1.9572450000000002E-2</v>
      </c>
      <c r="AA2664">
        <v>0.81436909999999996</v>
      </c>
      <c r="AB2664">
        <v>32</v>
      </c>
      <c r="AC2664">
        <v>5.4352</v>
      </c>
      <c r="AD2664">
        <v>-1.0488593762189999</v>
      </c>
      <c r="AE2664">
        <v>-15.870596000000001</v>
      </c>
      <c r="AF2664">
        <v>9.7815739101254007</v>
      </c>
      <c r="AG2664">
        <v>-1.0488593762189999</v>
      </c>
      <c r="AH2664">
        <v>13.5480866124709</v>
      </c>
      <c r="AI2664">
        <v>93.591613647877395</v>
      </c>
      <c r="AJ2664">
        <v>54.171117716299101</v>
      </c>
      <c r="AK2664">
        <v>16.7430566208605</v>
      </c>
      <c r="AL2664">
        <v>80.745871193852807</v>
      </c>
      <c r="AM2664">
        <v>81.237746336556896</v>
      </c>
      <c r="AN2664">
        <v>1.00000006597929</v>
      </c>
    </row>
    <row r="2665" spans="1:40" x14ac:dyDescent="0.3">
      <c r="A2665" t="str">
        <f>"20200111150859974"</f>
        <v>20200111150859974</v>
      </c>
      <c r="B2665" t="str">
        <f>"1578726539966525"</f>
        <v>1578726539966525</v>
      </c>
      <c r="C2665" t="s">
        <v>40</v>
      </c>
      <c r="D2665">
        <v>5.4561549999999999</v>
      </c>
      <c r="E2665">
        <v>0.69768920000000001</v>
      </c>
      <c r="F2665" t="s">
        <v>43</v>
      </c>
      <c r="G2665">
        <v>-303.11149999999998</v>
      </c>
      <c r="H2665" s="1">
        <v>-3.313664E-6</v>
      </c>
      <c r="I2665">
        <v>-4.2040730000000002</v>
      </c>
      <c r="J2665">
        <v>-308.39499999999998</v>
      </c>
      <c r="K2665">
        <v>1.048807</v>
      </c>
      <c r="L2665">
        <v>11.65326</v>
      </c>
      <c r="M2665">
        <v>0.81129319999999905</v>
      </c>
      <c r="N2665">
        <v>0</v>
      </c>
      <c r="O2665">
        <v>-0.58445919999999996</v>
      </c>
      <c r="P2665">
        <v>0.70793759999999994</v>
      </c>
      <c r="Q2665">
        <v>0.149838</v>
      </c>
      <c r="R2665">
        <v>-0.69019759999999997</v>
      </c>
      <c r="S2665">
        <v>1.11615</v>
      </c>
      <c r="T2665">
        <v>-0.21449760000000001</v>
      </c>
      <c r="U2665">
        <v>-3.2700809999999998</v>
      </c>
      <c r="V2665">
        <v>0.15079600000000001</v>
      </c>
      <c r="W2665">
        <v>0.1598136</v>
      </c>
      <c r="X2665">
        <v>0.97556149999999997</v>
      </c>
      <c r="Y2665">
        <v>0.57895850000000004</v>
      </c>
      <c r="Z2665">
        <v>2.0196430000000001E-2</v>
      </c>
      <c r="AA2665">
        <v>0.81510689999999997</v>
      </c>
      <c r="AB2665">
        <v>32</v>
      </c>
      <c r="AC2665">
        <v>5.2835000000000001</v>
      </c>
      <c r="AD2665">
        <v>-1.0488103136639999</v>
      </c>
      <c r="AE2665">
        <v>-15.857332999999899</v>
      </c>
      <c r="AF2665">
        <v>9.7396376387795591</v>
      </c>
      <c r="AG2665">
        <v>-1.0488103136639999</v>
      </c>
      <c r="AH2665">
        <v>13.5026945583109</v>
      </c>
      <c r="AI2665">
        <v>93.604645296361596</v>
      </c>
      <c r="AJ2665">
        <v>54.196686300929599</v>
      </c>
      <c r="AK2665">
        <v>16.681825581866601</v>
      </c>
      <c r="AL2665">
        <v>80.803923212831506</v>
      </c>
      <c r="AM2665">
        <v>81.213129335262707</v>
      </c>
      <c r="AN2665">
        <v>1.0000000303215999</v>
      </c>
    </row>
    <row r="2666" spans="1:40" x14ac:dyDescent="0.3">
      <c r="A2666" t="str">
        <f>"20200111150859990"</f>
        <v>20200111150859990</v>
      </c>
      <c r="B2666" t="str">
        <f>"1578726539986046"</f>
        <v>1578726539986046</v>
      </c>
      <c r="C2666" t="s">
        <v>40</v>
      </c>
      <c r="D2666">
        <v>5.4241619999999999</v>
      </c>
      <c r="E2666">
        <v>0.69713709999999995</v>
      </c>
      <c r="F2666" t="s">
        <v>43</v>
      </c>
      <c r="G2666">
        <v>-303.15710000000001</v>
      </c>
      <c r="H2666" s="1">
        <v>-3.3524739999999998E-6</v>
      </c>
      <c r="I2666">
        <v>-4.1476290000000002</v>
      </c>
      <c r="J2666">
        <v>-308.21030000000002</v>
      </c>
      <c r="K2666">
        <v>1.0487679999999999</v>
      </c>
      <c r="L2666">
        <v>11.509980000000001</v>
      </c>
      <c r="M2666">
        <v>0.805786</v>
      </c>
      <c r="N2666">
        <v>0</v>
      </c>
      <c r="O2666">
        <v>-0.59203030000000001</v>
      </c>
      <c r="P2666">
        <v>0.70137969999999905</v>
      </c>
      <c r="Q2666">
        <v>0.14964759999999999</v>
      </c>
      <c r="R2666">
        <v>-0.69690180000000002</v>
      </c>
      <c r="S2666">
        <v>1.0869450000000001</v>
      </c>
      <c r="T2666">
        <v>-0.21764449999999999</v>
      </c>
      <c r="U2666">
        <v>-3.278931</v>
      </c>
      <c r="V2666">
        <v>0.15090909999999999</v>
      </c>
      <c r="W2666">
        <v>0.15956600000000001</v>
      </c>
      <c r="X2666">
        <v>0.97558449999999997</v>
      </c>
      <c r="Y2666">
        <v>0.5785264</v>
      </c>
      <c r="Z2666">
        <v>2.109892E-2</v>
      </c>
      <c r="AA2666">
        <v>0.81539069999999902</v>
      </c>
      <c r="AB2666">
        <v>32</v>
      </c>
      <c r="AC2666">
        <v>5.0532000000000004</v>
      </c>
      <c r="AD2666">
        <v>-1.0487713524740001</v>
      </c>
      <c r="AE2666">
        <v>-15.6576089999999</v>
      </c>
      <c r="AF2666">
        <v>9.5870854590424006</v>
      </c>
      <c r="AG2666">
        <v>-1.0487713524740001</v>
      </c>
      <c r="AH2666">
        <v>13.288974198405599</v>
      </c>
      <c r="AI2666">
        <v>93.662115395273602</v>
      </c>
      <c r="AJ2666">
        <v>54.192130269065601</v>
      </c>
      <c r="AK2666">
        <v>16.419773573184301</v>
      </c>
      <c r="AL2666">
        <v>80.818293698410002</v>
      </c>
      <c r="AM2666">
        <v>81.206846037928699</v>
      </c>
      <c r="AN2666">
        <v>0.99999999072952905</v>
      </c>
    </row>
    <row r="2667" spans="1:40" x14ac:dyDescent="0.3">
      <c r="A2667" t="str">
        <f>"20200111150900008"</f>
        <v>20200111150900008</v>
      </c>
      <c r="B2667" t="str">
        <f>"1578726540006541"</f>
        <v>1578726540006541</v>
      </c>
      <c r="C2667" t="s">
        <v>40</v>
      </c>
      <c r="D2667">
        <v>5.4293189999999996</v>
      </c>
      <c r="E2667">
        <v>0.69637389999999999</v>
      </c>
      <c r="F2667" t="s">
        <v>43</v>
      </c>
      <c r="G2667">
        <v>-303.14940000000001</v>
      </c>
      <c r="H2667" s="1">
        <v>-3.3308119999999998E-6</v>
      </c>
      <c r="I2667">
        <v>-4.1891669999999896</v>
      </c>
      <c r="J2667">
        <v>-308.00889999999998</v>
      </c>
      <c r="K2667">
        <v>1.0487299999999999</v>
      </c>
      <c r="L2667">
        <v>11.350709999999999</v>
      </c>
      <c r="M2667">
        <v>0.79965319999999995</v>
      </c>
      <c r="N2667">
        <v>0</v>
      </c>
      <c r="O2667">
        <v>-0.60028959999999998</v>
      </c>
      <c r="P2667">
        <v>0.6942123</v>
      </c>
      <c r="Q2667">
        <v>0.14988760000000001</v>
      </c>
      <c r="R2667">
        <v>-0.70399100000000003</v>
      </c>
      <c r="S2667">
        <v>1.0592349999999999</v>
      </c>
      <c r="T2667">
        <v>-0.21950749999999999</v>
      </c>
      <c r="U2667">
        <v>-3.285828</v>
      </c>
      <c r="V2667">
        <v>0.15081510000000001</v>
      </c>
      <c r="W2667">
        <v>0.15975429999999999</v>
      </c>
      <c r="X2667">
        <v>0.9755682</v>
      </c>
      <c r="Y2667">
        <v>0.57686809999999999</v>
      </c>
      <c r="Z2667">
        <v>2.1996700000000001E-2</v>
      </c>
      <c r="AA2667">
        <v>0.81654110000000002</v>
      </c>
      <c r="AB2667">
        <v>32</v>
      </c>
      <c r="AC2667">
        <v>4.8594999999999597</v>
      </c>
      <c r="AD2667">
        <v>-1.0487333308119999</v>
      </c>
      <c r="AE2667">
        <v>-15.539876999999899</v>
      </c>
      <c r="AF2667">
        <v>9.4710970513651098</v>
      </c>
      <c r="AG2667">
        <v>-1.0487333308119999</v>
      </c>
      <c r="AH2667">
        <v>13.1611081756755</v>
      </c>
      <c r="AI2667">
        <v>93.700618664318</v>
      </c>
      <c r="AJ2667">
        <v>54.260166447973802</v>
      </c>
      <c r="AK2667">
        <v>16.248578072168801</v>
      </c>
      <c r="AL2667">
        <v>80.807364530848901</v>
      </c>
      <c r="AM2667">
        <v>81.212093163553703</v>
      </c>
      <c r="AN2667">
        <v>0.99999997180386901</v>
      </c>
    </row>
    <row r="2668" spans="1:40" x14ac:dyDescent="0.3">
      <c r="A2668" t="str">
        <f>"20200111150900026"</f>
        <v>20200111150900026</v>
      </c>
      <c r="B2668" t="str">
        <f>"1578726540016301"</f>
        <v>1578726540016301</v>
      </c>
      <c r="C2668" t="s">
        <v>40</v>
      </c>
      <c r="D2668">
        <v>5.4811009999999998</v>
      </c>
      <c r="E2668">
        <v>0.69607839999999999</v>
      </c>
      <c r="F2668" t="s">
        <v>43</v>
      </c>
      <c r="G2668">
        <v>-303.05829999999997</v>
      </c>
      <c r="H2668" s="1">
        <v>-3.1725140000000001E-6</v>
      </c>
      <c r="I2668">
        <v>-4.4727550000000003</v>
      </c>
      <c r="J2668">
        <v>-307.80419999999998</v>
      </c>
      <c r="K2668">
        <v>1.0486949999999999</v>
      </c>
      <c r="L2668">
        <v>11.185420000000001</v>
      </c>
      <c r="M2668">
        <v>0.79328160000000003</v>
      </c>
      <c r="N2668">
        <v>0</v>
      </c>
      <c r="O2668">
        <v>-0.6086859</v>
      </c>
      <c r="P2668">
        <v>0.68708349999999996</v>
      </c>
      <c r="Q2668">
        <v>0.14963589999999999</v>
      </c>
      <c r="R2668">
        <v>-0.7110033</v>
      </c>
      <c r="S2668">
        <v>1.0299990000000001</v>
      </c>
      <c r="T2668">
        <v>-0.2181978</v>
      </c>
      <c r="U2668">
        <v>-3.2922060000000002</v>
      </c>
      <c r="V2668">
        <v>0.15039069999999999</v>
      </c>
      <c r="W2668">
        <v>0.1594662</v>
      </c>
      <c r="X2668">
        <v>0.97568089999999996</v>
      </c>
      <c r="Y2668">
        <v>0.57531889999999997</v>
      </c>
      <c r="Z2668">
        <v>2.2593470000000001E-2</v>
      </c>
      <c r="AA2668">
        <v>0.81761709999999999</v>
      </c>
      <c r="AB2668">
        <v>32</v>
      </c>
      <c r="AC2668">
        <v>4.7458999999999998</v>
      </c>
      <c r="AD2668">
        <v>-1.0486981725139899</v>
      </c>
      <c r="AE2668">
        <v>-15.658175</v>
      </c>
      <c r="AF2668">
        <v>9.4945553189232701</v>
      </c>
      <c r="AG2668">
        <v>-1.0486981725139899</v>
      </c>
      <c r="AH2668">
        <v>13.2427102584292</v>
      </c>
      <c r="AI2668">
        <v>93.6823858122698</v>
      </c>
      <c r="AJ2668">
        <v>54.360813975754098</v>
      </c>
      <c r="AK2668">
        <v>16.328371736025499</v>
      </c>
      <c r="AL2668">
        <v>80.824086303773598</v>
      </c>
      <c r="AM2668">
        <v>81.237434840749501</v>
      </c>
      <c r="AN2668">
        <v>1.0000000251068599</v>
      </c>
    </row>
    <row r="2669" spans="1:40" x14ac:dyDescent="0.3">
      <c r="A2669" t="str">
        <f>"20200111150900040"</f>
        <v>20200111150900040</v>
      </c>
      <c r="B2669" t="str">
        <f>"1578726540036799"</f>
        <v>1578726540036799</v>
      </c>
      <c r="C2669" t="s">
        <v>40</v>
      </c>
      <c r="D2669">
        <v>5.4851989999999997</v>
      </c>
      <c r="E2669">
        <v>0.69537559999999998</v>
      </c>
      <c r="F2669" t="s">
        <v>43</v>
      </c>
      <c r="G2669">
        <v>-303.02069999999998</v>
      </c>
      <c r="H2669" s="1">
        <v>-3.0858249999999998E-6</v>
      </c>
      <c r="I2669">
        <v>-4.6349859999999996</v>
      </c>
      <c r="J2669">
        <v>-307.64139999999998</v>
      </c>
      <c r="K2669">
        <v>1.0486690000000001</v>
      </c>
      <c r="L2669">
        <v>11.051640000000001</v>
      </c>
      <c r="M2669">
        <v>0.78811119999999901</v>
      </c>
      <c r="N2669">
        <v>0</v>
      </c>
      <c r="O2669">
        <v>-0.61536669999999905</v>
      </c>
      <c r="P2669">
        <v>0.68150540000000004</v>
      </c>
      <c r="Q2669">
        <v>0.14931349999999999</v>
      </c>
      <c r="R2669">
        <v>-0.71641860000000002</v>
      </c>
      <c r="S2669">
        <v>0.9980774</v>
      </c>
      <c r="T2669">
        <v>-0.21881120000000001</v>
      </c>
      <c r="U2669">
        <v>-3.3009339999999998</v>
      </c>
      <c r="V2669">
        <v>0.149812</v>
      </c>
      <c r="W2669">
        <v>0.15912490000000001</v>
      </c>
      <c r="X2669">
        <v>0.97582559999999996</v>
      </c>
      <c r="Y2669">
        <v>0.57625459999999995</v>
      </c>
      <c r="Z2669">
        <v>2.3158970000000001E-2</v>
      </c>
      <c r="AA2669">
        <v>0.81694199999999995</v>
      </c>
      <c r="AB2669">
        <v>32</v>
      </c>
      <c r="AC2669">
        <v>4.6206999999999896</v>
      </c>
      <c r="AD2669">
        <v>-1.048672085825</v>
      </c>
      <c r="AE2669">
        <v>-15.686626</v>
      </c>
      <c r="AF2669">
        <v>9.4813644058939506</v>
      </c>
      <c r="AG2669">
        <v>-1.048672085825</v>
      </c>
      <c r="AH2669">
        <v>13.2415595561631</v>
      </c>
      <c r="AI2669">
        <v>93.684237671739496</v>
      </c>
      <c r="AJ2669">
        <v>54.396170079948199</v>
      </c>
      <c r="AK2669">
        <v>16.3197697171362</v>
      </c>
      <c r="AL2669">
        <v>80.8438939153245</v>
      </c>
      <c r="AM2669">
        <v>81.271907142244103</v>
      </c>
      <c r="AN2669">
        <v>0.99999998537968404</v>
      </c>
    </row>
    <row r="2670" spans="1:40" x14ac:dyDescent="0.3">
      <c r="A2670" t="str">
        <f>"20200111150900054"</f>
        <v>20200111150900054</v>
      </c>
      <c r="B2670" t="str">
        <f>"1578726540046557"</f>
        <v>1578726540046557</v>
      </c>
      <c r="C2670" t="s">
        <v>40</v>
      </c>
      <c r="D2670">
        <v>5.5106089999999996</v>
      </c>
      <c r="E2670">
        <v>0.69488669999999997</v>
      </c>
      <c r="F2670" t="s">
        <v>43</v>
      </c>
      <c r="G2670">
        <v>-303.00970000000001</v>
      </c>
      <c r="H2670" s="1">
        <v>-3.0874899999999998E-6</v>
      </c>
      <c r="I2670">
        <v>-4.6252319999999996</v>
      </c>
      <c r="J2670">
        <v>-307.4871</v>
      </c>
      <c r="K2670">
        <v>1.048648</v>
      </c>
      <c r="L2670">
        <v>10.92212</v>
      </c>
      <c r="M2670">
        <v>0.78311799999999998</v>
      </c>
      <c r="N2670">
        <v>0</v>
      </c>
      <c r="O2670">
        <v>-0.62170930000000002</v>
      </c>
      <c r="P2670">
        <v>0.67594690000000002</v>
      </c>
      <c r="Q2670">
        <v>0.14973939999999999</v>
      </c>
      <c r="R2670">
        <v>-0.72157729999999998</v>
      </c>
      <c r="S2670">
        <v>0.97637940000000001</v>
      </c>
      <c r="T2670">
        <v>-0.22106439999999999</v>
      </c>
      <c r="U2670">
        <v>-3.3047490000000002</v>
      </c>
      <c r="V2670">
        <v>0.14941670000000001</v>
      </c>
      <c r="W2670">
        <v>0.15953020000000001</v>
      </c>
      <c r="X2670">
        <v>0.97582009999999997</v>
      </c>
      <c r="Y2670">
        <v>0.57484820000000003</v>
      </c>
      <c r="Z2670">
        <v>2.3969089999999998E-2</v>
      </c>
      <c r="AA2670">
        <v>0.81790889999999905</v>
      </c>
      <c r="AB2670">
        <v>32</v>
      </c>
      <c r="AC2670">
        <v>4.4773999999999798</v>
      </c>
      <c r="AD2670">
        <v>-1.0486510874899999</v>
      </c>
      <c r="AE2670">
        <v>-15.547351999999901</v>
      </c>
      <c r="AF2670">
        <v>9.3534336575705304</v>
      </c>
      <c r="AG2670">
        <v>-1.0486510874899999</v>
      </c>
      <c r="AH2670">
        <v>13.118497905450401</v>
      </c>
      <c r="AI2670">
        <v>93.723955259658894</v>
      </c>
      <c r="AJ2670">
        <v>54.511290982499602</v>
      </c>
      <c r="AK2670">
        <v>16.145630293834099</v>
      </c>
      <c r="AL2670">
        <v>80.820372064125493</v>
      </c>
      <c r="AM2670">
        <v>81.294535864507907</v>
      </c>
      <c r="AN2670">
        <v>1.0000000512574601</v>
      </c>
    </row>
    <row r="2671" spans="1:40" x14ac:dyDescent="0.3">
      <c r="A2671" t="str">
        <f>"20200111150900069"</f>
        <v>20200111150900069</v>
      </c>
      <c r="B2671" t="str">
        <f>"1578726540066077"</f>
        <v>1578726540066077</v>
      </c>
      <c r="C2671" t="s">
        <v>40</v>
      </c>
      <c r="D2671">
        <v>5.5387729999999999</v>
      </c>
      <c r="E2671">
        <v>0.69426949999999998</v>
      </c>
      <c r="F2671" t="s">
        <v>43</v>
      </c>
      <c r="G2671">
        <v>-302.92570000000001</v>
      </c>
      <c r="H2671" s="1">
        <v>-2.9290970000000002E-6</v>
      </c>
      <c r="I2671">
        <v>-4.9130469999999997</v>
      </c>
      <c r="J2671">
        <v>-307.32139999999998</v>
      </c>
      <c r="K2671">
        <v>1.0486340000000001</v>
      </c>
      <c r="L2671">
        <v>10.78079</v>
      </c>
      <c r="M2671">
        <v>0.77765980000000001</v>
      </c>
      <c r="N2671">
        <v>0</v>
      </c>
      <c r="O2671">
        <v>-0.62852410000000003</v>
      </c>
      <c r="P2671">
        <v>0.66962929999999998</v>
      </c>
      <c r="Q2671">
        <v>0.14970520000000001</v>
      </c>
      <c r="R2671">
        <v>-0.72745109999999902</v>
      </c>
      <c r="S2671">
        <v>0.95343020000000001</v>
      </c>
      <c r="T2671">
        <v>-0.21918950000000001</v>
      </c>
      <c r="U2671">
        <v>-3.3098749999999999</v>
      </c>
      <c r="V2671">
        <v>0.1494057</v>
      </c>
      <c r="W2671">
        <v>0.159464299999999</v>
      </c>
      <c r="X2671">
        <v>0.97583249999999999</v>
      </c>
      <c r="Y2671">
        <v>0.57328380000000001</v>
      </c>
      <c r="Z2671">
        <v>2.4371090000000002E-2</v>
      </c>
      <c r="AA2671">
        <v>0.81899429999999995</v>
      </c>
      <c r="AB2671">
        <v>32</v>
      </c>
      <c r="AC2671">
        <v>4.3956999999999704</v>
      </c>
      <c r="AD2671">
        <v>-1.0486369290969999</v>
      </c>
      <c r="AE2671">
        <v>-15.693836999999901</v>
      </c>
      <c r="AF2671">
        <v>9.4036892779840997</v>
      </c>
      <c r="AG2671">
        <v>-1.0486369290969999</v>
      </c>
      <c r="AH2671">
        <v>13.2288937431462</v>
      </c>
      <c r="AI2671">
        <v>93.696659874199796</v>
      </c>
      <c r="AJ2671">
        <v>54.5930829845028</v>
      </c>
      <c r="AK2671">
        <v>16.264459447316199</v>
      </c>
      <c r="AL2671">
        <v>80.824196317758904</v>
      </c>
      <c r="AM2671">
        <v>81.295275859317101</v>
      </c>
      <c r="AN2671">
        <v>0.99999999711161403</v>
      </c>
    </row>
    <row r="2672" spans="1:40" x14ac:dyDescent="0.3">
      <c r="A2672" t="str">
        <f>"20200111150900083"</f>
        <v>20200111150900083</v>
      </c>
      <c r="B2672" t="str">
        <f>"1578726540076813"</f>
        <v>1578726540076813</v>
      </c>
      <c r="C2672" t="s">
        <v>40</v>
      </c>
      <c r="D2672">
        <v>5.6560040000000003</v>
      </c>
      <c r="E2672">
        <v>0.6935519</v>
      </c>
      <c r="F2672" t="s">
        <v>43</v>
      </c>
      <c r="G2672">
        <v>-302.90530000000001</v>
      </c>
      <c r="H2672" s="1">
        <v>-2.8916380000000002E-6</v>
      </c>
      <c r="I2672">
        <v>-4.9808149999999998</v>
      </c>
      <c r="J2672">
        <v>-307.15280000000001</v>
      </c>
      <c r="K2672">
        <v>1.04862099999999</v>
      </c>
      <c r="L2672">
        <v>10.634740000000001</v>
      </c>
      <c r="M2672">
        <v>0.77200729999999995</v>
      </c>
      <c r="N2672">
        <v>0</v>
      </c>
      <c r="O2672">
        <v>-0.63545479999999999</v>
      </c>
      <c r="P2672">
        <v>0.66296690000000003</v>
      </c>
      <c r="Q2672">
        <v>0.1496574</v>
      </c>
      <c r="R2672">
        <v>-0.73353760000000001</v>
      </c>
      <c r="S2672">
        <v>0.92864990000000003</v>
      </c>
      <c r="T2672">
        <v>-0.2205182</v>
      </c>
      <c r="U2672">
        <v>-3.314514</v>
      </c>
      <c r="V2672">
        <v>0.14958080000000001</v>
      </c>
      <c r="W2672">
        <v>0.15938099999999999</v>
      </c>
      <c r="X2672">
        <v>0.97581929999999995</v>
      </c>
      <c r="Y2672">
        <v>0.57193359999999904</v>
      </c>
      <c r="Z2672">
        <v>2.5136550000000001E-2</v>
      </c>
      <c r="AA2672">
        <v>0.819914699999999</v>
      </c>
      <c r="AB2672">
        <v>32</v>
      </c>
      <c r="AC2672">
        <v>4.2474999999999996</v>
      </c>
      <c r="AD2672">
        <v>-1.04862389163799</v>
      </c>
      <c r="AE2672">
        <v>-15.615555000000001</v>
      </c>
      <c r="AF2672">
        <v>9.31804828405145</v>
      </c>
      <c r="AG2672">
        <v>-1.04862389163799</v>
      </c>
      <c r="AH2672">
        <v>13.1482067327553</v>
      </c>
      <c r="AI2672">
        <v>93.723003397016299</v>
      </c>
      <c r="AJ2672">
        <v>54.675048502032297</v>
      </c>
      <c r="AK2672">
        <v>16.149333614031899</v>
      </c>
      <c r="AL2672">
        <v>80.829031031323495</v>
      </c>
      <c r="AM2672">
        <v>81.285114577522705</v>
      </c>
      <c r="AN2672">
        <v>1.00000001257106</v>
      </c>
    </row>
    <row r="2673" spans="1:40" x14ac:dyDescent="0.3">
      <c r="A2673" t="str">
        <f>"20200111150900098"</f>
        <v>20200111150900098</v>
      </c>
      <c r="B2673" t="str">
        <f>"1578726540086573"</f>
        <v>1578726540086573</v>
      </c>
      <c r="C2673" t="s">
        <v>40</v>
      </c>
      <c r="D2673">
        <v>5.4982150000000001</v>
      </c>
      <c r="E2673">
        <v>0.69313279999999999</v>
      </c>
      <c r="F2673" t="s">
        <v>43</v>
      </c>
      <c r="G2673">
        <v>-302.82479999999998</v>
      </c>
      <c r="H2673" s="1">
        <v>-2.7248000000000002E-6</v>
      </c>
      <c r="I2673">
        <v>-5.2884359999999999</v>
      </c>
      <c r="J2673">
        <v>-306.99220000000003</v>
      </c>
      <c r="K2673">
        <v>1.048613</v>
      </c>
      <c r="L2673">
        <v>10.493259999999999</v>
      </c>
      <c r="M2673">
        <v>0.76652439999999999</v>
      </c>
      <c r="N2673">
        <v>0</v>
      </c>
      <c r="O2673">
        <v>-0.64205849999999998</v>
      </c>
      <c r="P2673">
        <v>0.65620239999999996</v>
      </c>
      <c r="Q2673">
        <v>0.14960029999999999</v>
      </c>
      <c r="R2673">
        <v>-0.73960630000000005</v>
      </c>
      <c r="S2673">
        <v>0.90213010000000005</v>
      </c>
      <c r="T2673">
        <v>-0.21857550000000001</v>
      </c>
      <c r="U2673">
        <v>-3.3190309999999998</v>
      </c>
      <c r="V2673">
        <v>0.15017179999999999</v>
      </c>
      <c r="W2673">
        <v>0.15927929999999901</v>
      </c>
      <c r="X2673">
        <v>0.97574510000000003</v>
      </c>
      <c r="Y2673">
        <v>0.57127859999999997</v>
      </c>
      <c r="Z2673">
        <v>2.5484690000000001E-2</v>
      </c>
      <c r="AA2673">
        <v>0.82036049999999905</v>
      </c>
      <c r="AB2673">
        <v>32</v>
      </c>
      <c r="AC2673">
        <v>4.1674000000000397</v>
      </c>
      <c r="AD2673">
        <v>-1.0486157248000001</v>
      </c>
      <c r="AE2673">
        <v>-15.781695999999901</v>
      </c>
      <c r="AF2673">
        <v>9.3835610906997697</v>
      </c>
      <c r="AG2673">
        <v>-1.0486157248000001</v>
      </c>
      <c r="AH2673">
        <v>13.273744115542801</v>
      </c>
      <c r="AI2673">
        <v>93.690927504317301</v>
      </c>
      <c r="AJ2673">
        <v>54.742498226796599</v>
      </c>
      <c r="AK2673">
        <v>16.289355313397198</v>
      </c>
      <c r="AL2673">
        <v>80.834933135324505</v>
      </c>
      <c r="AM2673">
        <v>81.250558405505203</v>
      </c>
      <c r="AN2673">
        <v>0.99999998254886902</v>
      </c>
    </row>
    <row r="2674" spans="1:40" x14ac:dyDescent="0.3">
      <c r="A2674" t="str">
        <f>"20200111150900121"</f>
        <v>20200111150900121</v>
      </c>
      <c r="B2674" t="str">
        <f>"1578726540116829"</f>
        <v>1578726540116829</v>
      </c>
      <c r="C2674" t="s">
        <v>40</v>
      </c>
      <c r="D2674">
        <v>5.5470009999999998</v>
      </c>
      <c r="E2674">
        <v>0.69213630000000004</v>
      </c>
      <c r="F2674" t="s">
        <v>43</v>
      </c>
      <c r="G2674">
        <v>-302.79129999999998</v>
      </c>
      <c r="H2674" s="1">
        <v>-2.6210559999999998E-6</v>
      </c>
      <c r="I2674">
        <v>-5.4890330000000001</v>
      </c>
      <c r="J2674">
        <v>-306.75200000000001</v>
      </c>
      <c r="K2674">
        <v>1.048597</v>
      </c>
      <c r="L2674">
        <v>10.27643</v>
      </c>
      <c r="M2674">
        <v>0.75811899999999999</v>
      </c>
      <c r="N2674">
        <v>0</v>
      </c>
      <c r="O2674">
        <v>-0.65196290000000001</v>
      </c>
      <c r="P2674">
        <v>0.64594130000000005</v>
      </c>
      <c r="Q2674">
        <v>0.14997569999999999</v>
      </c>
      <c r="R2674">
        <v>-0.74851009999999996</v>
      </c>
      <c r="S2674">
        <v>0.87396240000000003</v>
      </c>
      <c r="T2674">
        <v>-0.2181517</v>
      </c>
      <c r="U2674">
        <v>-3.3249209999999998</v>
      </c>
      <c r="V2674">
        <v>0.15090390000000001</v>
      </c>
      <c r="W2674">
        <v>0.15959470000000001</v>
      </c>
      <c r="X2674">
        <v>0.97558060000000002</v>
      </c>
      <c r="Y2674">
        <v>0.56747879999999995</v>
      </c>
      <c r="Z2674">
        <v>2.6363250000000001E-2</v>
      </c>
      <c r="AA2674">
        <v>0.82296589999999903</v>
      </c>
      <c r="AB2674">
        <v>32</v>
      </c>
      <c r="AC2674">
        <v>3.9607000000000299</v>
      </c>
      <c r="AD2674">
        <v>-1.048599621056</v>
      </c>
      <c r="AE2674">
        <v>-15.765463</v>
      </c>
      <c r="AF2674">
        <v>9.3319716740125198</v>
      </c>
      <c r="AG2674">
        <v>-1.048599621056</v>
      </c>
      <c r="AH2674">
        <v>13.2274639059363</v>
      </c>
      <c r="AI2674">
        <v>93.706232659958403</v>
      </c>
      <c r="AJ2674">
        <v>54.797043228316902</v>
      </c>
      <c r="AK2674">
        <v>16.2219313854022</v>
      </c>
      <c r="AL2674">
        <v>80.816627874756605</v>
      </c>
      <c r="AM2674">
        <v>81.207109694765904</v>
      </c>
      <c r="AN2674">
        <v>0.99999998119982902</v>
      </c>
    </row>
    <row r="2675" spans="1:40" x14ac:dyDescent="0.3">
      <c r="A2675" t="str">
        <f>"20200111150900143"</f>
        <v>20200111150900143</v>
      </c>
      <c r="B2675" t="str">
        <f>"1578726540136352"</f>
        <v>1578726540136352</v>
      </c>
      <c r="C2675" t="s">
        <v>40</v>
      </c>
      <c r="D2675">
        <v>5.5572999999999997</v>
      </c>
      <c r="E2675">
        <v>0.69163409999999903</v>
      </c>
      <c r="F2675" t="s">
        <v>43</v>
      </c>
      <c r="G2675">
        <v>-302.72160000000002</v>
      </c>
      <c r="H2675" s="1">
        <v>-2.4483220000000001E-6</v>
      </c>
      <c r="I2675">
        <v>-5.8152179999999998</v>
      </c>
      <c r="J2675">
        <v>-306.51179999999999</v>
      </c>
      <c r="K2675">
        <v>1.0485799999999901</v>
      </c>
      <c r="L2675">
        <v>10.05368</v>
      </c>
      <c r="M2675">
        <v>0.74946299999999999</v>
      </c>
      <c r="N2675">
        <v>0</v>
      </c>
      <c r="O2675">
        <v>-0.66189600000000004</v>
      </c>
      <c r="P2675">
        <v>0.63571639999999996</v>
      </c>
      <c r="Q2675">
        <v>0.14956849999999999</v>
      </c>
      <c r="R2675">
        <v>-0.75729409999999997</v>
      </c>
      <c r="S2675">
        <v>0.83441160000000003</v>
      </c>
      <c r="T2675">
        <v>-0.21708740000000001</v>
      </c>
      <c r="U2675">
        <v>-3.3313899999999999</v>
      </c>
      <c r="V2675">
        <v>0.15134900000000001</v>
      </c>
      <c r="W2675">
        <v>0.15914039999999999</v>
      </c>
      <c r="X2675">
        <v>0.97558590000000001</v>
      </c>
      <c r="Y2675">
        <v>0.56620039999999905</v>
      </c>
      <c r="Z2675">
        <v>2.7099020000000001E-2</v>
      </c>
      <c r="AA2675">
        <v>0.8238221</v>
      </c>
      <c r="AB2675">
        <v>32</v>
      </c>
      <c r="AC2675">
        <v>3.7901999999999698</v>
      </c>
      <c r="AD2675">
        <v>-1.0485824483220001</v>
      </c>
      <c r="AE2675">
        <v>-15.868898</v>
      </c>
      <c r="AF2675">
        <v>9.3467589834368692</v>
      </c>
      <c r="AG2675">
        <v>-1.0485824483220001</v>
      </c>
      <c r="AH2675">
        <v>13.290603317878899</v>
      </c>
      <c r="AI2675">
        <v>93.692493492634</v>
      </c>
      <c r="AJ2675">
        <v>54.8827863396927</v>
      </c>
      <c r="AK2675">
        <v>16.281939847530499</v>
      </c>
      <c r="AL2675">
        <v>80.8429946646052</v>
      </c>
      <c r="AM2675">
        <v>81.181628752439906</v>
      </c>
      <c r="AN2675">
        <v>1.00000001749598</v>
      </c>
    </row>
    <row r="2676" spans="1:40" x14ac:dyDescent="0.3">
      <c r="A2676" t="str">
        <f>"20200111150900158"</f>
        <v>20200111150900158</v>
      </c>
      <c r="B2676" t="str">
        <f>"1578726540146110"</f>
        <v>1578726540146110</v>
      </c>
      <c r="C2676" t="s">
        <v>40</v>
      </c>
      <c r="D2676">
        <v>5.560956</v>
      </c>
      <c r="E2676">
        <v>0.69136759999999997</v>
      </c>
      <c r="F2676" t="s">
        <v>43</v>
      </c>
      <c r="G2676">
        <v>-302.70760000000001</v>
      </c>
      <c r="H2676" s="1">
        <v>-2.357803E-6</v>
      </c>
      <c r="I2676">
        <v>-5.9988270000000004</v>
      </c>
      <c r="J2676">
        <v>-306.3442</v>
      </c>
      <c r="K2676">
        <v>1.0485640000000001</v>
      </c>
      <c r="L2676">
        <v>9.8950499999999995</v>
      </c>
      <c r="M2676">
        <v>0.74327989999999999</v>
      </c>
      <c r="N2676">
        <v>0</v>
      </c>
      <c r="O2676">
        <v>-0.66883230000000005</v>
      </c>
      <c r="P2676">
        <v>0.62815109999999996</v>
      </c>
      <c r="Q2676">
        <v>0.14971219999999999</v>
      </c>
      <c r="R2676">
        <v>-0.76355220000000001</v>
      </c>
      <c r="S2676">
        <v>0.79156490000000002</v>
      </c>
      <c r="T2676">
        <v>-0.21818319999999999</v>
      </c>
      <c r="U2676">
        <v>-3.3401179999999999</v>
      </c>
      <c r="V2676">
        <v>0.15197449999999901</v>
      </c>
      <c r="W2676">
        <v>0.159243</v>
      </c>
      <c r="X2676">
        <v>0.97547189999999995</v>
      </c>
      <c r="Y2676">
        <v>0.56902419999999998</v>
      </c>
      <c r="Z2676">
        <v>2.7721570000000001E-2</v>
      </c>
      <c r="AA2676">
        <v>0.82185339999999996</v>
      </c>
      <c r="AB2676">
        <v>32</v>
      </c>
      <c r="AC2676">
        <v>3.6365999999999801</v>
      </c>
      <c r="AD2676">
        <v>-1.048566357803</v>
      </c>
      <c r="AE2676">
        <v>-15.893877</v>
      </c>
      <c r="AF2676">
        <v>9.3436099303410192</v>
      </c>
      <c r="AG2676">
        <v>-1.048566357803</v>
      </c>
      <c r="AH2676">
        <v>13.279748629410401</v>
      </c>
      <c r="AI2676">
        <v>93.694861181566395</v>
      </c>
      <c r="AJ2676">
        <v>54.869842241895398</v>
      </c>
      <c r="AK2676">
        <v>16.2712710504561</v>
      </c>
      <c r="AL2676">
        <v>80.837040066045105</v>
      </c>
      <c r="AM2676">
        <v>81.144741848619205</v>
      </c>
      <c r="AN2676">
        <v>1.00000000469443</v>
      </c>
    </row>
    <row r="2677" spans="1:40" x14ac:dyDescent="0.3">
      <c r="A2677" t="str">
        <f>"20200111150900176"</f>
        <v>20200111150900176</v>
      </c>
      <c r="B2677" t="str">
        <f>"1578726540166606"</f>
        <v>1578726540166606</v>
      </c>
      <c r="C2677" t="s">
        <v>40</v>
      </c>
      <c r="D2677">
        <v>5.3541470000000002</v>
      </c>
      <c r="E2677">
        <v>0.69120689999999996</v>
      </c>
      <c r="F2677" t="s">
        <v>43</v>
      </c>
      <c r="G2677">
        <v>-302.68549999999999</v>
      </c>
      <c r="H2677" s="1">
        <v>-2.2485219999999999E-6</v>
      </c>
      <c r="I2677">
        <v>-6.2175479999999999</v>
      </c>
      <c r="J2677">
        <v>-306.1542</v>
      </c>
      <c r="K2677">
        <v>1.048546</v>
      </c>
      <c r="L2677">
        <v>9.7110900000000004</v>
      </c>
      <c r="M2677">
        <v>0.73609630000000004</v>
      </c>
      <c r="N2677">
        <v>0</v>
      </c>
      <c r="O2677">
        <v>-0.67673090000000002</v>
      </c>
      <c r="P2677">
        <v>0.61912199999999995</v>
      </c>
      <c r="Q2677">
        <v>0.14967449999999999</v>
      </c>
      <c r="R2677">
        <v>-0.77089909999999995</v>
      </c>
      <c r="S2677">
        <v>0.75991819999999999</v>
      </c>
      <c r="T2677">
        <v>-0.21778330000000001</v>
      </c>
      <c r="U2677">
        <v>-3.346527</v>
      </c>
      <c r="V2677">
        <v>0.15304889999999999</v>
      </c>
      <c r="W2677">
        <v>0.15914890000000001</v>
      </c>
      <c r="X2677">
        <v>0.9753193</v>
      </c>
      <c r="Y2677">
        <v>0.56798029999999999</v>
      </c>
      <c r="Z2677">
        <v>2.8353E-2</v>
      </c>
      <c r="AA2677">
        <v>0.8225536</v>
      </c>
      <c r="AB2677">
        <v>32</v>
      </c>
      <c r="AC2677">
        <v>3.4687000000000099</v>
      </c>
      <c r="AD2677">
        <v>-1.0485482485219999</v>
      </c>
      <c r="AE2677">
        <v>-15.928637999999999</v>
      </c>
      <c r="AF2677">
        <v>9.3399209583471308</v>
      </c>
      <c r="AG2677">
        <v>-1.0485482485219999</v>
      </c>
      <c r="AH2677">
        <v>13.2790786082031</v>
      </c>
      <c r="AI2677">
        <v>93.695403635233902</v>
      </c>
      <c r="AJ2677">
        <v>54.879129191146397</v>
      </c>
      <c r="AK2677">
        <v>16.268604907013</v>
      </c>
      <c r="AL2677">
        <v>80.842501548795198</v>
      </c>
      <c r="AM2677">
        <v>81.081768447317202</v>
      </c>
      <c r="AN2677">
        <v>1.00000003755745</v>
      </c>
    </row>
    <row r="2678" spans="1:40" x14ac:dyDescent="0.3">
      <c r="A2678" t="str">
        <f>"20200111150900443"</f>
        <v>20200111150900443</v>
      </c>
      <c r="B2678" t="str">
        <f>"1578726540435981"</f>
        <v>1578726540435981</v>
      </c>
      <c r="C2678" t="s">
        <v>40</v>
      </c>
      <c r="D2678">
        <v>5.8474130000000004</v>
      </c>
      <c r="E2678">
        <v>0.69120689999999996</v>
      </c>
      <c r="F2678" t="s">
        <v>43</v>
      </c>
      <c r="G2678">
        <v>-302.66770000000002</v>
      </c>
      <c r="H2678" s="1">
        <v>-2.105033E-6</v>
      </c>
      <c r="I2678">
        <v>-6.5111150000000002</v>
      </c>
      <c r="J2678">
        <v>-303.58530000000002</v>
      </c>
      <c r="K2678">
        <v>1.047844</v>
      </c>
      <c r="L2678">
        <v>6.7466739999999996</v>
      </c>
      <c r="M2678">
        <v>0.61491269999999998</v>
      </c>
      <c r="N2678">
        <v>0</v>
      </c>
      <c r="O2678">
        <v>-0.78846959999999999</v>
      </c>
      <c r="P2678">
        <v>0.47771400000000003</v>
      </c>
      <c r="Q2678">
        <v>0.15216640000000001</v>
      </c>
      <c r="R2678">
        <v>-0.86523660000000002</v>
      </c>
      <c r="S2678">
        <v>0.7209778</v>
      </c>
      <c r="T2678">
        <v>-0.21683079999999999</v>
      </c>
      <c r="U2678">
        <v>-3.3546140000000002</v>
      </c>
      <c r="V2678">
        <v>0.160273</v>
      </c>
      <c r="W2678">
        <v>0.1611775</v>
      </c>
      <c r="X2678">
        <v>0.97382460000000004</v>
      </c>
      <c r="Y2678">
        <v>0.43570120000000001</v>
      </c>
      <c r="Z2678">
        <v>4.0851039999999998E-2</v>
      </c>
      <c r="AA2678">
        <v>0.89916390000000002</v>
      </c>
      <c r="AB2678">
        <v>32</v>
      </c>
      <c r="AC2678">
        <v>0.91759999999999298</v>
      </c>
      <c r="AD2678">
        <v>-1.0478461050329999</v>
      </c>
      <c r="AE2678">
        <v>-13.257789000000001</v>
      </c>
      <c r="AF2678">
        <v>7.3837147377046399</v>
      </c>
      <c r="AG2678">
        <v>-1.0478461050329999</v>
      </c>
      <c r="AH2678">
        <v>10.950619275968499</v>
      </c>
      <c r="AI2678">
        <v>94.536220900938005</v>
      </c>
      <c r="AJ2678">
        <v>56.009247415005397</v>
      </c>
      <c r="AK2678">
        <v>13.248897588661601</v>
      </c>
      <c r="AL2678">
        <v>80.724750741020202</v>
      </c>
      <c r="AM2678">
        <v>80.653988658091805</v>
      </c>
      <c r="AN2678">
        <v>0.99999998630020404</v>
      </c>
    </row>
    <row r="2679" spans="1:40" x14ac:dyDescent="0.3">
      <c r="A2679" t="str">
        <f>"20200111150900466"</f>
        <v>20200111150900466</v>
      </c>
      <c r="B2679" t="str">
        <f>"1578726540456477"</f>
        <v>1578726540456477</v>
      </c>
      <c r="C2679" t="s">
        <v>40</v>
      </c>
      <c r="D2679">
        <v>6.918641</v>
      </c>
      <c r="E2679">
        <v>0.69120689999999996</v>
      </c>
      <c r="F2679" t="s">
        <v>43</v>
      </c>
      <c r="G2679">
        <v>-302.90859999999998</v>
      </c>
      <c r="H2679" s="1">
        <v>-5.5721590000000001E-7</v>
      </c>
      <c r="I2679">
        <v>-9.9210619999999992</v>
      </c>
      <c r="J2679">
        <v>-303.39440000000002</v>
      </c>
      <c r="K2679">
        <v>1.047814</v>
      </c>
      <c r="L2679">
        <v>6.4804690000000003</v>
      </c>
      <c r="M2679">
        <v>0.60360179999999997</v>
      </c>
      <c r="N2679">
        <v>0</v>
      </c>
      <c r="O2679">
        <v>-0.79716189999999998</v>
      </c>
      <c r="P2679">
        <v>0.46446310000000002</v>
      </c>
      <c r="Q2679">
        <v>0.15260190000000001</v>
      </c>
      <c r="R2679">
        <v>-0.87234560000000005</v>
      </c>
      <c r="S2679">
        <v>0.1391907</v>
      </c>
      <c r="T2679">
        <v>-0.21552650000000001</v>
      </c>
      <c r="U2679">
        <v>-3.4283139999999999</v>
      </c>
      <c r="V2679">
        <v>0.16121429999999901</v>
      </c>
      <c r="W2679">
        <v>0.16157469999999999</v>
      </c>
      <c r="X2679">
        <v>0.97360340000000001</v>
      </c>
      <c r="Y2679">
        <v>0.57073969999999996</v>
      </c>
      <c r="Z2679">
        <v>3.8130440000000002E-2</v>
      </c>
      <c r="AA2679">
        <v>0.82024519999999901</v>
      </c>
      <c r="AB2679">
        <v>32</v>
      </c>
      <c r="AC2679">
        <v>0.48580000000003998</v>
      </c>
      <c r="AD2679">
        <v>-1.0478145572158899</v>
      </c>
      <c r="AE2679">
        <v>-16.401530999999999</v>
      </c>
      <c r="AF2679">
        <v>9.4750364906862998</v>
      </c>
      <c r="AG2679">
        <v>-1.0478145572158899</v>
      </c>
      <c r="AH2679">
        <v>13.314932668570201</v>
      </c>
      <c r="AI2679">
        <v>93.668643493363604</v>
      </c>
      <c r="AJ2679">
        <v>54.563972762007801</v>
      </c>
      <c r="AK2679">
        <v>16.375642393955399</v>
      </c>
      <c r="AL2679">
        <v>80.701690804727804</v>
      </c>
      <c r="AM2679">
        <v>80.5979779170152</v>
      </c>
      <c r="AN2679">
        <v>1.0000000073480699</v>
      </c>
    </row>
    <row r="2680" spans="1:40" x14ac:dyDescent="0.3">
      <c r="A2680" t="str">
        <f>"20200111150900488"</f>
        <v>20200111150900488</v>
      </c>
      <c r="B2680" t="str">
        <f>"1578726540476974"</f>
        <v>1578726540476974</v>
      </c>
      <c r="C2680" t="s">
        <v>40</v>
      </c>
      <c r="D2680">
        <v>9.4922629999999995</v>
      </c>
      <c r="E2680">
        <v>0.77711790000000003</v>
      </c>
      <c r="F2680" t="s">
        <v>43</v>
      </c>
      <c r="G2680">
        <v>-302.96890000000002</v>
      </c>
      <c r="H2680" s="1">
        <v>-4.2391129999999999E-7</v>
      </c>
      <c r="I2680">
        <v>-10.237019999999999</v>
      </c>
      <c r="J2680">
        <v>-303.2133</v>
      </c>
      <c r="K2680">
        <v>1.0477860000000001</v>
      </c>
      <c r="L2680">
        <v>6.2203369999999998</v>
      </c>
      <c r="M2680">
        <v>0.59250619999999998</v>
      </c>
      <c r="N2680">
        <v>0</v>
      </c>
      <c r="O2680">
        <v>-0.80544289999999996</v>
      </c>
      <c r="P2680">
        <v>0.45125720000000002</v>
      </c>
      <c r="Q2680">
        <v>0.15370490000000001</v>
      </c>
      <c r="R2680">
        <v>-0.879057599999999</v>
      </c>
      <c r="S2680">
        <v>8.7310789999999999E-2</v>
      </c>
      <c r="T2680">
        <v>-0.21499180000000001</v>
      </c>
      <c r="U2680">
        <v>-3.4301149999999998</v>
      </c>
      <c r="V2680">
        <v>0.1623462</v>
      </c>
      <c r="W2680">
        <v>0.16263339999999901</v>
      </c>
      <c r="X2680">
        <v>0.97323890000000002</v>
      </c>
      <c r="Y2680">
        <v>0.57178289999999998</v>
      </c>
      <c r="Z2680">
        <v>3.8744290000000001E-2</v>
      </c>
      <c r="AA2680">
        <v>0.81948969999999899</v>
      </c>
      <c r="AB2680">
        <v>32</v>
      </c>
      <c r="AC2680">
        <v>0.24439999999998399</v>
      </c>
      <c r="AD2680">
        <v>-1.0477864239112999</v>
      </c>
      <c r="AE2680">
        <v>-16.457356999999998</v>
      </c>
      <c r="AF2680">
        <v>9.5166158133102297</v>
      </c>
      <c r="AG2680">
        <v>-1.0477864239112999</v>
      </c>
      <c r="AH2680">
        <v>13.347506025466901</v>
      </c>
      <c r="AI2680">
        <v>93.657240203655306</v>
      </c>
      <c r="AJ2680">
        <v>54.511574625598001</v>
      </c>
      <c r="AK2680">
        <v>16.426190977465101</v>
      </c>
      <c r="AL2680">
        <v>80.640218017039899</v>
      </c>
      <c r="AM2680">
        <v>80.529674990329696</v>
      </c>
      <c r="AN2680">
        <v>0.99999993396160203</v>
      </c>
    </row>
    <row r="2681" spans="1:40" x14ac:dyDescent="0.3">
      <c r="A2681" t="str">
        <f>"20200111150900511"</f>
        <v>20200111150900511</v>
      </c>
      <c r="B2681" t="str">
        <f>"1578726540506253"</f>
        <v>1578726540506253</v>
      </c>
      <c r="C2681" t="s">
        <v>40</v>
      </c>
      <c r="D2681">
        <v>5.1086479999999996</v>
      </c>
      <c r="E2681">
        <v>0.76678630000000003</v>
      </c>
      <c r="F2681" t="s">
        <v>49</v>
      </c>
      <c r="G2681">
        <v>0</v>
      </c>
      <c r="H2681">
        <v>0</v>
      </c>
      <c r="I2681">
        <v>0</v>
      </c>
      <c r="J2681">
        <v>-303.0247</v>
      </c>
      <c r="K2681">
        <v>1.047763</v>
      </c>
      <c r="L2681">
        <v>5.941071</v>
      </c>
      <c r="M2681">
        <v>0.58055900000000005</v>
      </c>
      <c r="N2681">
        <v>0</v>
      </c>
      <c r="O2681">
        <v>-0.81409629999999999</v>
      </c>
      <c r="P2681">
        <v>0.4379905</v>
      </c>
      <c r="Q2681">
        <v>0.15448709999999999</v>
      </c>
      <c r="R2681">
        <v>-0.88560589999999995</v>
      </c>
      <c r="S2681">
        <v>-0.6535339</v>
      </c>
      <c r="T2681">
        <v>1.168957</v>
      </c>
      <c r="U2681">
        <v>-3.543793</v>
      </c>
      <c r="V2681">
        <v>0.16257539999999901</v>
      </c>
      <c r="W2681">
        <v>0.16340160000000001</v>
      </c>
      <c r="X2681">
        <v>0.97307200000000005</v>
      </c>
      <c r="Y2681">
        <v>0.710669199999999</v>
      </c>
      <c r="Z2681">
        <v>-0.17751239999999999</v>
      </c>
      <c r="AA2681">
        <v>0.68076340000000002</v>
      </c>
      <c r="AB2681">
        <v>32</v>
      </c>
      <c r="AC2681">
        <v>-0.6535339</v>
      </c>
      <c r="AD2681">
        <v>1.168957</v>
      </c>
      <c r="AE2681">
        <v>-3.543793</v>
      </c>
      <c r="AF2681">
        <v>2.3431136845170202</v>
      </c>
      <c r="AG2681">
        <v>1.168957</v>
      </c>
      <c r="AH2681">
        <v>2.2672425466025299</v>
      </c>
      <c r="AI2681">
        <v>70.2759402535482</v>
      </c>
      <c r="AJ2681">
        <v>44.057187036054202</v>
      </c>
      <c r="AK2681">
        <v>3.4636730462826102</v>
      </c>
      <c r="AL2681">
        <v>80.595607076977998</v>
      </c>
      <c r="AM2681">
        <v>80.514950463492895</v>
      </c>
      <c r="AN2681">
        <v>0.99999998037585902</v>
      </c>
    </row>
    <row r="2682" spans="1:40" x14ac:dyDescent="0.3">
      <c r="A2682" t="str">
        <f>"20200111150900539"</f>
        <v>20200111150900539</v>
      </c>
      <c r="B2682" t="str">
        <f>"1578726540536510"</f>
        <v>1578726540536510</v>
      </c>
      <c r="C2682" t="s">
        <v>40</v>
      </c>
      <c r="D2682">
        <v>6.9339649999999997</v>
      </c>
      <c r="E2682">
        <v>0.74844489999999997</v>
      </c>
      <c r="F2682" t="s">
        <v>49</v>
      </c>
      <c r="G2682">
        <v>0</v>
      </c>
      <c r="H2682">
        <v>0</v>
      </c>
      <c r="I2682">
        <v>0</v>
      </c>
      <c r="J2682">
        <v>-302.7996</v>
      </c>
      <c r="K2682">
        <v>1.047742</v>
      </c>
      <c r="L2682">
        <v>5.5962519999999998</v>
      </c>
      <c r="M2682">
        <v>0.56574820000000003</v>
      </c>
      <c r="N2682">
        <v>0</v>
      </c>
      <c r="O2682">
        <v>-0.82445789999999997</v>
      </c>
      <c r="P2682">
        <v>0.4211686</v>
      </c>
      <c r="Q2682">
        <v>0.15528729999999999</v>
      </c>
      <c r="R2682">
        <v>-0.89359</v>
      </c>
      <c r="S2682">
        <v>-0.62857059999999998</v>
      </c>
      <c r="T2682">
        <v>1.1011299999999999</v>
      </c>
      <c r="U2682">
        <v>-3.5062869999999999</v>
      </c>
      <c r="V2682">
        <v>0.16334290000000001</v>
      </c>
      <c r="W2682">
        <v>0.16416929999999999</v>
      </c>
      <c r="X2682">
        <v>0.97281430000000002</v>
      </c>
      <c r="Y2682">
        <v>0.6953104</v>
      </c>
      <c r="Z2682">
        <v>-0.176762</v>
      </c>
      <c r="AA2682">
        <v>0.69663379999999997</v>
      </c>
      <c r="AB2682">
        <v>32</v>
      </c>
      <c r="AC2682">
        <v>-0.62857059999999998</v>
      </c>
      <c r="AD2682">
        <v>1.1011299999999999</v>
      </c>
      <c r="AE2682">
        <v>-3.5062869999999999</v>
      </c>
      <c r="AF2682">
        <v>2.2839180652104698</v>
      </c>
      <c r="AG2682">
        <v>1.1011299999999999</v>
      </c>
      <c r="AH2682">
        <v>2.3142872664934901</v>
      </c>
      <c r="AI2682">
        <v>71.291141948287702</v>
      </c>
      <c r="AJ2682">
        <v>45.378408886858097</v>
      </c>
      <c r="AK2682">
        <v>3.43288429128462</v>
      </c>
      <c r="AL2682">
        <v>80.551019766565204</v>
      </c>
      <c r="AM2682">
        <v>80.468513951766894</v>
      </c>
      <c r="AN2682">
        <v>1.00000006216369</v>
      </c>
    </row>
    <row r="2683" spans="1:40" x14ac:dyDescent="0.3">
      <c r="A2683" t="str">
        <f>"20200111150900600"</f>
        <v>20200111150900600</v>
      </c>
      <c r="B2683" t="str">
        <f>"1578726540596045"</f>
        <v>1578726540596045</v>
      </c>
      <c r="C2683" t="s">
        <v>40</v>
      </c>
      <c r="D2683">
        <v>6.4453849999999999</v>
      </c>
      <c r="E2683">
        <v>0.74396609999999996</v>
      </c>
      <c r="F2683" t="s">
        <v>49</v>
      </c>
      <c r="G2683">
        <v>0</v>
      </c>
      <c r="H2683">
        <v>0</v>
      </c>
      <c r="I2683">
        <v>0</v>
      </c>
      <c r="J2683">
        <v>-302.33800000000002</v>
      </c>
      <c r="K2683">
        <v>1.047682</v>
      </c>
      <c r="L2683">
        <v>4.8412480000000002</v>
      </c>
      <c r="M2683">
        <v>0.53316529999999995</v>
      </c>
      <c r="N2683">
        <v>0</v>
      </c>
      <c r="O2683">
        <v>-0.84589380000000003</v>
      </c>
      <c r="P2683">
        <v>0.38170270000000001</v>
      </c>
      <c r="Q2683">
        <v>0.15768190000000001</v>
      </c>
      <c r="R2683">
        <v>-0.91073599999999999</v>
      </c>
      <c r="S2683">
        <v>-0.56527709999999998</v>
      </c>
      <c r="T2683">
        <v>1.134674</v>
      </c>
      <c r="U2683">
        <v>-3.4264830000000002</v>
      </c>
      <c r="V2683">
        <v>0.16782069999999999</v>
      </c>
      <c r="W2683">
        <v>0.16640179999999999</v>
      </c>
      <c r="X2683">
        <v>0.97167210000000004</v>
      </c>
      <c r="Y2683">
        <v>0.65641439999999995</v>
      </c>
      <c r="Z2683">
        <v>-0.20166480000000001</v>
      </c>
      <c r="AA2683">
        <v>0.72694669999999995</v>
      </c>
      <c r="AB2683">
        <v>32</v>
      </c>
      <c r="AC2683">
        <v>-0.56527709999999998</v>
      </c>
      <c r="AD2683">
        <v>1.134674</v>
      </c>
      <c r="AE2683">
        <v>-3.4264830000000002</v>
      </c>
      <c r="AF2683">
        <v>2.0829158480348098</v>
      </c>
      <c r="AG2683">
        <v>1.134674</v>
      </c>
      <c r="AH2683">
        <v>2.34678423941783</v>
      </c>
      <c r="AI2683">
        <v>70.119410212678801</v>
      </c>
      <c r="AJ2683">
        <v>48.408966950613099</v>
      </c>
      <c r="AK2683">
        <v>3.3366779560890398</v>
      </c>
      <c r="AL2683">
        <v>80.421322514410804</v>
      </c>
      <c r="AM2683">
        <v>80.200928426686104</v>
      </c>
      <c r="AN2683">
        <v>1.00000000815507</v>
      </c>
    </row>
    <row r="2684" spans="1:40" x14ac:dyDescent="0.3">
      <c r="A2684" t="str">
        <f>"20200111150900623"</f>
        <v>20200111150900623</v>
      </c>
      <c r="B2684" t="str">
        <f>"1578726540616541"</f>
        <v>1578726540616541</v>
      </c>
      <c r="C2684" t="s">
        <v>40</v>
      </c>
      <c r="D2684">
        <v>5.3172309999999996</v>
      </c>
      <c r="E2684">
        <v>0.74379619999999902</v>
      </c>
      <c r="F2684" t="s">
        <v>49</v>
      </c>
      <c r="G2684">
        <v>0</v>
      </c>
      <c r="H2684">
        <v>0</v>
      </c>
      <c r="I2684">
        <v>0</v>
      </c>
      <c r="J2684">
        <v>-302.1696</v>
      </c>
      <c r="K2684">
        <v>1.047658</v>
      </c>
      <c r="L2684">
        <v>4.5478519999999998</v>
      </c>
      <c r="M2684">
        <v>0.52045200000000003</v>
      </c>
      <c r="N2684">
        <v>0</v>
      </c>
      <c r="O2684">
        <v>-0.85377440000000004</v>
      </c>
      <c r="P2684">
        <v>0.3681044</v>
      </c>
      <c r="Q2684">
        <v>0.1573822</v>
      </c>
      <c r="R2684">
        <v>-0.91636779999999995</v>
      </c>
      <c r="S2684">
        <v>-0.68212890000000004</v>
      </c>
      <c r="T2684">
        <v>1.1238239999999999</v>
      </c>
      <c r="U2684">
        <v>-3.3853759999999999</v>
      </c>
      <c r="V2684">
        <v>0.16777439999999999</v>
      </c>
      <c r="W2684">
        <v>0.16610039999999901</v>
      </c>
      <c r="X2684">
        <v>0.97173169999999998</v>
      </c>
      <c r="Y2684">
        <v>0.67064369999999995</v>
      </c>
      <c r="Z2684">
        <v>-0.20299500000000001</v>
      </c>
      <c r="AA2684">
        <v>0.71346339999999997</v>
      </c>
      <c r="AB2684">
        <v>32</v>
      </c>
      <c r="AC2684">
        <v>-0.68212890000000004</v>
      </c>
      <c r="AD2684">
        <v>1.1238239999999999</v>
      </c>
      <c r="AE2684">
        <v>-3.3853759999999999</v>
      </c>
      <c r="AF2684">
        <v>2.1200302847458201</v>
      </c>
      <c r="AG2684">
        <v>1.1238239999999999</v>
      </c>
      <c r="AH2684">
        <v>2.2927773516840202</v>
      </c>
      <c r="AI2684">
        <v>70.206871067003704</v>
      </c>
      <c r="AJ2684">
        <v>47.241798727690004</v>
      </c>
      <c r="AK2684">
        <v>3.3187854368142999</v>
      </c>
      <c r="AL2684">
        <v>80.438835528702896</v>
      </c>
      <c r="AM2684">
        <v>80.2041687116117</v>
      </c>
      <c r="AN2684">
        <v>1.0000000444802</v>
      </c>
    </row>
    <row r="2685" spans="1:40" x14ac:dyDescent="0.3">
      <c r="A2685" t="str">
        <f>"20200111150900645"</f>
        <v>20200111150900645</v>
      </c>
      <c r="B2685" t="str">
        <f>"1578726540636061"</f>
        <v>1578726540636061</v>
      </c>
      <c r="C2685" t="s">
        <v>40</v>
      </c>
      <c r="D2685">
        <v>5.3446829999999999</v>
      </c>
      <c r="E2685">
        <v>0.68754579999999998</v>
      </c>
      <c r="F2685" t="s">
        <v>49</v>
      </c>
      <c r="G2685">
        <v>0</v>
      </c>
      <c r="H2685">
        <v>0</v>
      </c>
      <c r="I2685">
        <v>0</v>
      </c>
      <c r="J2685">
        <v>-302.01310000000001</v>
      </c>
      <c r="K2685">
        <v>1.047641</v>
      </c>
      <c r="L2685">
        <v>4.2659000000000002</v>
      </c>
      <c r="M2685">
        <v>0.50820849999999995</v>
      </c>
      <c r="N2685">
        <v>0</v>
      </c>
      <c r="O2685">
        <v>-0.86111859999999996</v>
      </c>
      <c r="P2685">
        <v>0.35593659999999999</v>
      </c>
      <c r="Q2685">
        <v>0.15721979999999999</v>
      </c>
      <c r="R2685">
        <v>-0.92119019999999996</v>
      </c>
      <c r="S2685">
        <v>-0.73153690000000005</v>
      </c>
      <c r="T2685">
        <v>1.1233879999999901</v>
      </c>
      <c r="U2685">
        <v>-3.374695</v>
      </c>
      <c r="V2685">
        <v>0.16678200000000001</v>
      </c>
      <c r="W2685">
        <v>0.1659687</v>
      </c>
      <c r="X2685">
        <v>0.97192500000000004</v>
      </c>
      <c r="Y2685">
        <v>0.67052349999999905</v>
      </c>
      <c r="Z2685">
        <v>-0.2066219</v>
      </c>
      <c r="AA2685">
        <v>0.71253469999999997</v>
      </c>
      <c r="AB2685">
        <v>32</v>
      </c>
      <c r="AC2685">
        <v>-0.73153690000000005</v>
      </c>
      <c r="AD2685">
        <v>1.1233879999999901</v>
      </c>
      <c r="AE2685">
        <v>-3.374695</v>
      </c>
      <c r="AF2685">
        <v>2.1207614543601201</v>
      </c>
      <c r="AG2685">
        <v>1.1233879999999901</v>
      </c>
      <c r="AH2685">
        <v>2.2919160006999202</v>
      </c>
      <c r="AI2685">
        <v>70.213159972205304</v>
      </c>
      <c r="AJ2685">
        <v>47.221218292168899</v>
      </c>
      <c r="AK2685">
        <v>3.3185100119041402</v>
      </c>
      <c r="AL2685">
        <v>80.446487408377806</v>
      </c>
      <c r="AM2685">
        <v>80.262898894606593</v>
      </c>
      <c r="AN2685">
        <v>1.00000002526434</v>
      </c>
    </row>
    <row r="2686" spans="1:40" x14ac:dyDescent="0.3">
      <c r="A2686" t="str">
        <f>"20200111150900667"</f>
        <v>20200111150900667</v>
      </c>
      <c r="B2686" t="str">
        <f>"1578726540656557"</f>
        <v>1578726540656557</v>
      </c>
      <c r="C2686" t="s">
        <v>40</v>
      </c>
      <c r="D2686">
        <v>5.3687170000000002</v>
      </c>
      <c r="E2686">
        <v>0.69196489999999999</v>
      </c>
      <c r="F2686" t="s">
        <v>89</v>
      </c>
      <c r="G2686">
        <v>-306.98360000000002</v>
      </c>
      <c r="H2686" s="1">
        <v>-6.4976229999999998E-6</v>
      </c>
      <c r="I2686">
        <v>-51.281289999999998</v>
      </c>
      <c r="J2686">
        <v>-301.8603</v>
      </c>
      <c r="K2686">
        <v>1.047625</v>
      </c>
      <c r="L2686">
        <v>3.9810789999999998</v>
      </c>
      <c r="M2686">
        <v>0.4958185</v>
      </c>
      <c r="N2686">
        <v>0</v>
      </c>
      <c r="O2686">
        <v>-0.86831150000000001</v>
      </c>
      <c r="P2686">
        <v>0.34434310000000001</v>
      </c>
      <c r="Q2686">
        <v>0.15708839999999999</v>
      </c>
      <c r="R2686">
        <v>-0.9256086</v>
      </c>
      <c r="S2686">
        <v>-0.30285640000000003</v>
      </c>
      <c r="T2686">
        <v>-6.3834909999999995E-2</v>
      </c>
      <c r="U2686">
        <v>-3.3845830000000001</v>
      </c>
      <c r="V2686">
        <v>0.165067299999999</v>
      </c>
      <c r="W2686">
        <v>0.1658915</v>
      </c>
      <c r="X2686">
        <v>0.97223090000000001</v>
      </c>
      <c r="Y2686">
        <v>0.57127329999999998</v>
      </c>
      <c r="Z2686">
        <v>1.338839E-2</v>
      </c>
      <c r="AA2686">
        <v>0.82065080000000001</v>
      </c>
      <c r="AB2686">
        <v>32</v>
      </c>
      <c r="AC2686">
        <v>-5.1233000000000199</v>
      </c>
      <c r="AD2686">
        <v>-1.0476314976229999</v>
      </c>
      <c r="AE2686">
        <v>-55.262369</v>
      </c>
      <c r="AF2686">
        <v>31.8405516317316</v>
      </c>
      <c r="AG2686">
        <v>-1.0476314976229999</v>
      </c>
      <c r="AH2686">
        <v>45.433060774319699</v>
      </c>
      <c r="AI2686">
        <v>91.081798581234693</v>
      </c>
      <c r="AJ2686">
        <v>54.9763298170529</v>
      </c>
      <c r="AK2686">
        <v>55.489469913586397</v>
      </c>
      <c r="AL2686">
        <v>80.450973186160695</v>
      </c>
      <c r="AM2686">
        <v>80.364095146920107</v>
      </c>
      <c r="AN2686">
        <v>1.00000006310817</v>
      </c>
    </row>
    <row r="2687" spans="1:40" x14ac:dyDescent="0.3">
      <c r="A2687" t="str">
        <f>"20200111150900735"</f>
        <v>20200111150900735</v>
      </c>
      <c r="B2687" t="str">
        <f>"1578726540726458"</f>
        <v>1578726540726458</v>
      </c>
      <c r="C2687" t="s">
        <v>40</v>
      </c>
      <c r="D2687">
        <v>5.1163559999999997</v>
      </c>
      <c r="E2687">
        <v>0.70144779999999995</v>
      </c>
      <c r="F2687" t="s">
        <v>43</v>
      </c>
      <c r="G2687">
        <v>-305.2774</v>
      </c>
      <c r="H2687" s="1">
        <v>-2.8985810000000002E-6</v>
      </c>
      <c r="I2687">
        <v>-26.927420000000001</v>
      </c>
      <c r="J2687">
        <v>-301.41770000000002</v>
      </c>
      <c r="K2687">
        <v>1.047606</v>
      </c>
      <c r="L2687">
        <v>3.0956419999999998</v>
      </c>
      <c r="M2687">
        <v>0.45718490000000001</v>
      </c>
      <c r="N2687">
        <v>0</v>
      </c>
      <c r="O2687">
        <v>-0.88925969999999999</v>
      </c>
      <c r="P2687">
        <v>0.30596780000000001</v>
      </c>
      <c r="Q2687">
        <v>0.15694469999999999</v>
      </c>
      <c r="R2687">
        <v>-0.93901659999999998</v>
      </c>
      <c r="S2687">
        <v>-0.375946</v>
      </c>
      <c r="T2687">
        <v>-0.11525870000000001</v>
      </c>
      <c r="U2687">
        <v>-3.4005130000000001</v>
      </c>
      <c r="V2687">
        <v>0.16235279999999999</v>
      </c>
      <c r="W2687">
        <v>0.16583699999999901</v>
      </c>
      <c r="X2687">
        <v>0.97269709999999998</v>
      </c>
      <c r="Y2687">
        <v>0.55212700000000003</v>
      </c>
      <c r="Z2687">
        <v>2.5310019999999999E-2</v>
      </c>
      <c r="AA2687">
        <v>0.8333758</v>
      </c>
      <c r="AB2687">
        <v>32</v>
      </c>
      <c r="AC2687">
        <v>-3.8596999999999699</v>
      </c>
      <c r="AD2687">
        <v>-1.0476088985809999</v>
      </c>
      <c r="AE2687">
        <v>-30.023061999999999</v>
      </c>
      <c r="AF2687">
        <v>17.139546044433999</v>
      </c>
      <c r="AG2687">
        <v>-1.0476088985809999</v>
      </c>
      <c r="AH2687">
        <v>24.906353924341701</v>
      </c>
      <c r="AI2687">
        <v>91.98451092354</v>
      </c>
      <c r="AJ2687">
        <v>55.465823036219703</v>
      </c>
      <c r="AK2687">
        <v>30.252074124235399</v>
      </c>
      <c r="AL2687">
        <v>80.454139012725193</v>
      </c>
      <c r="AM2687">
        <v>80.524117345760104</v>
      </c>
      <c r="AN2687">
        <v>0.99999999529262396</v>
      </c>
    </row>
    <row r="2688" spans="1:40" x14ac:dyDescent="0.3">
      <c r="A2688" t="str">
        <f>"20200111150900759"</f>
        <v>20200111150900759</v>
      </c>
      <c r="B2688" t="str">
        <f>"1578726540756714"</f>
        <v>1578726540756714</v>
      </c>
      <c r="C2688" t="s">
        <v>40</v>
      </c>
      <c r="D2688">
        <v>5.3757529999999996</v>
      </c>
      <c r="E2688">
        <v>0.70308409999999999</v>
      </c>
      <c r="F2688" t="s">
        <v>43</v>
      </c>
      <c r="G2688">
        <v>-306.0478</v>
      </c>
      <c r="H2688" s="1">
        <v>-4.2093929999999999E-6</v>
      </c>
      <c r="I2688">
        <v>-23.796119999999998</v>
      </c>
      <c r="J2688">
        <v>-301.26960000000003</v>
      </c>
      <c r="K2688">
        <v>1.0476049999999999</v>
      </c>
      <c r="L2688">
        <v>2.7764890000000002</v>
      </c>
      <c r="M2688">
        <v>0.44322210000000001</v>
      </c>
      <c r="N2688">
        <v>0</v>
      </c>
      <c r="O2688">
        <v>-0.896300599999999</v>
      </c>
      <c r="P2688">
        <v>0.29155959999999997</v>
      </c>
      <c r="Q2688">
        <v>0.15675420000000001</v>
      </c>
      <c r="R2688">
        <v>-0.94362109999999999</v>
      </c>
      <c r="S2688">
        <v>-0.58682250000000002</v>
      </c>
      <c r="T2688">
        <v>-0.13277420000000001</v>
      </c>
      <c r="U2688">
        <v>-3.408264</v>
      </c>
      <c r="V2688">
        <v>0.16203670000000001</v>
      </c>
      <c r="W2688">
        <v>0.16565879999999999</v>
      </c>
      <c r="X2688">
        <v>0.97278019999999998</v>
      </c>
      <c r="Y2688">
        <v>0.58882780000000001</v>
      </c>
      <c r="Z2688">
        <v>2.885209E-2</v>
      </c>
      <c r="AA2688">
        <v>0.8077434</v>
      </c>
      <c r="AB2688">
        <v>32</v>
      </c>
      <c r="AC2688">
        <v>-4.7781999999999698</v>
      </c>
      <c r="AD2688">
        <v>-1.0476092093929901</v>
      </c>
      <c r="AE2688">
        <v>-26.572609</v>
      </c>
      <c r="AF2688">
        <v>16.037726154743101</v>
      </c>
      <c r="AG2688">
        <v>-1.0476092093929901</v>
      </c>
      <c r="AH2688">
        <v>21.668780795724199</v>
      </c>
      <c r="AI2688">
        <v>92.225422758098802</v>
      </c>
      <c r="AJ2688">
        <v>53.493726757133601</v>
      </c>
      <c r="AK2688">
        <v>26.978550858844901</v>
      </c>
      <c r="AL2688">
        <v>80.464492600843002</v>
      </c>
      <c r="AM2688">
        <v>80.543026540985196</v>
      </c>
      <c r="AN2688">
        <v>1.0000000238381801</v>
      </c>
    </row>
    <row r="2689" spans="1:40" x14ac:dyDescent="0.3">
      <c r="A2689" t="str">
        <f>"20200111150900782"</f>
        <v>20200111150900782</v>
      </c>
      <c r="B2689" t="str">
        <f>"1578726540776235"</f>
        <v>1578726540776235</v>
      </c>
      <c r="C2689" t="s">
        <v>40</v>
      </c>
      <c r="D2689">
        <v>5.3451870000000001</v>
      </c>
      <c r="E2689">
        <v>0.70202209999999998</v>
      </c>
      <c r="F2689" t="s">
        <v>43</v>
      </c>
      <c r="G2689">
        <v>-305.91030000000001</v>
      </c>
      <c r="H2689" s="1">
        <v>-4.9742429999999999E-6</v>
      </c>
      <c r="I2689">
        <v>-21.476900000000001</v>
      </c>
      <c r="J2689">
        <v>-301.13589999999999</v>
      </c>
      <c r="K2689">
        <v>1.047606</v>
      </c>
      <c r="L2689">
        <v>2.4754939999999999</v>
      </c>
      <c r="M2689">
        <v>0.43005090000000001</v>
      </c>
      <c r="N2689">
        <v>0</v>
      </c>
      <c r="O2689">
        <v>-0.90269429999999995</v>
      </c>
      <c r="P2689">
        <v>0.27755570000000002</v>
      </c>
      <c r="Q2689">
        <v>0.15734329999999999</v>
      </c>
      <c r="R2689">
        <v>-0.9477371</v>
      </c>
      <c r="S2689">
        <v>-0.65151979999999998</v>
      </c>
      <c r="T2689">
        <v>-0.1470755</v>
      </c>
      <c r="U2689">
        <v>-3.4049680000000002</v>
      </c>
      <c r="V2689">
        <v>0.1621726</v>
      </c>
      <c r="W2689">
        <v>0.16624330000000001</v>
      </c>
      <c r="X2689">
        <v>0.97265780000000002</v>
      </c>
      <c r="Y2689">
        <v>0.591948699999999</v>
      </c>
      <c r="Z2689">
        <v>3.2291760000000003E-2</v>
      </c>
      <c r="AA2689">
        <v>0.8053285</v>
      </c>
      <c r="AB2689">
        <v>32</v>
      </c>
      <c r="AC2689">
        <v>-4.7744000000000097</v>
      </c>
      <c r="AD2689">
        <v>-1.047610974243</v>
      </c>
      <c r="AE2689">
        <v>-23.952394000000002</v>
      </c>
      <c r="AF2689">
        <v>14.585193399112701</v>
      </c>
      <c r="AG2689">
        <v>-1.047610974243</v>
      </c>
      <c r="AH2689">
        <v>19.5344637113757</v>
      </c>
      <c r="AI2689">
        <v>92.460618246648906</v>
      </c>
      <c r="AJ2689">
        <v>53.253545042010202</v>
      </c>
      <c r="AK2689">
        <v>24.401242339969698</v>
      </c>
      <c r="AL2689">
        <v>80.430532011605905</v>
      </c>
      <c r="AM2689">
        <v>80.534068936593499</v>
      </c>
      <c r="AN2689">
        <v>0.99999999144324403</v>
      </c>
    </row>
    <row r="2690" spans="1:40" x14ac:dyDescent="0.3">
      <c r="A2690" t="str">
        <f>"20200111150900803"</f>
        <v>20200111150900803</v>
      </c>
      <c r="B2690" t="str">
        <f>"1578726540796730"</f>
        <v>1578726540796730</v>
      </c>
      <c r="C2690" t="s">
        <v>40</v>
      </c>
      <c r="D2690">
        <v>5.3716530000000002</v>
      </c>
      <c r="E2690">
        <v>0.70144949999999995</v>
      </c>
      <c r="F2690" t="s">
        <v>43</v>
      </c>
      <c r="G2690">
        <v>-305.68099999999998</v>
      </c>
      <c r="H2690" s="1">
        <v>-1.7777869999999901E-6</v>
      </c>
      <c r="I2690">
        <v>-19.790330000000001</v>
      </c>
      <c r="J2690">
        <v>-301.01310000000001</v>
      </c>
      <c r="K2690">
        <v>1.047598</v>
      </c>
      <c r="L2690">
        <v>2.1879270000000002</v>
      </c>
      <c r="M2690">
        <v>0.41745260000000001</v>
      </c>
      <c r="N2690">
        <v>0</v>
      </c>
      <c r="O2690">
        <v>-0.90858919999999999</v>
      </c>
      <c r="P2690">
        <v>0.26425759999999998</v>
      </c>
      <c r="Q2690">
        <v>0.15757360000000001</v>
      </c>
      <c r="R2690">
        <v>-0.95149300000000003</v>
      </c>
      <c r="S2690">
        <v>-0.69299319999999998</v>
      </c>
      <c r="T2690">
        <v>-0.15973010000000001</v>
      </c>
      <c r="U2690">
        <v>-3.3948969999999998</v>
      </c>
      <c r="V2690">
        <v>0.16225309999999901</v>
      </c>
      <c r="W2690">
        <v>0.166471799999999</v>
      </c>
      <c r="X2690">
        <v>0.97260530000000001</v>
      </c>
      <c r="Y2690">
        <v>0.59061660000000005</v>
      </c>
      <c r="Z2690">
        <v>3.556235E-2</v>
      </c>
      <c r="AA2690">
        <v>0.80616840000000001</v>
      </c>
      <c r="AB2690">
        <v>32</v>
      </c>
      <c r="AC2690">
        <v>-4.6678999999999702</v>
      </c>
      <c r="AD2690">
        <v>-1.0475997777869901</v>
      </c>
      <c r="AE2690">
        <v>-21.978256999999999</v>
      </c>
      <c r="AF2690">
        <v>13.3883140173443</v>
      </c>
      <c r="AG2690">
        <v>-1.0475997777869901</v>
      </c>
      <c r="AH2690">
        <v>17.983279040773599</v>
      </c>
      <c r="AI2690">
        <v>92.675293589890302</v>
      </c>
      <c r="AJ2690">
        <v>53.332802794579401</v>
      </c>
      <c r="AK2690">
        <v>22.444214011182599</v>
      </c>
      <c r="AL2690">
        <v>80.417254990393602</v>
      </c>
      <c r="AM2690">
        <v>80.5289533439569</v>
      </c>
      <c r="AN2690">
        <v>0.99999999912146997</v>
      </c>
    </row>
    <row r="2691" spans="1:40" x14ac:dyDescent="0.3">
      <c r="A2691" t="str">
        <f>"20200111150900824"</f>
        <v>20200111150900824</v>
      </c>
      <c r="B2691" t="str">
        <f>"1578726540816250"</f>
        <v>1578726540816250</v>
      </c>
      <c r="C2691" t="s">
        <v>40</v>
      </c>
      <c r="D2691">
        <v>5.3958649999999997</v>
      </c>
      <c r="E2691">
        <v>0.70113029999999998</v>
      </c>
      <c r="F2691" t="s">
        <v>43</v>
      </c>
      <c r="G2691">
        <v>-305.6474</v>
      </c>
      <c r="H2691" s="1">
        <v>-2.0468469999999999E-6</v>
      </c>
      <c r="I2691">
        <v>-19.142320000000002</v>
      </c>
      <c r="J2691">
        <v>-300.89839999999998</v>
      </c>
      <c r="K2691">
        <v>1.0476019999999999</v>
      </c>
      <c r="L2691">
        <v>1.909119</v>
      </c>
      <c r="M2691">
        <v>0.40522910000000001</v>
      </c>
      <c r="N2691">
        <v>0</v>
      </c>
      <c r="O2691">
        <v>-0.91410610000000003</v>
      </c>
      <c r="P2691">
        <v>0.25169609999999998</v>
      </c>
      <c r="Q2691">
        <v>0.15677269999999999</v>
      </c>
      <c r="R2691">
        <v>-0.9550244</v>
      </c>
      <c r="S2691">
        <v>-0.73538210000000004</v>
      </c>
      <c r="T2691">
        <v>-0.166234299999999</v>
      </c>
      <c r="U2691">
        <v>-3.3847049999999999</v>
      </c>
      <c r="V2691">
        <v>0.16205259999999999</v>
      </c>
      <c r="W2691">
        <v>0.16567999999999999</v>
      </c>
      <c r="X2691">
        <v>0.97277389999999997</v>
      </c>
      <c r="Y2691">
        <v>0.58991890000000002</v>
      </c>
      <c r="Z2691">
        <v>3.7485610000000003E-2</v>
      </c>
      <c r="AA2691">
        <v>0.80659190000000003</v>
      </c>
      <c r="AB2691">
        <v>32</v>
      </c>
      <c r="AC2691">
        <v>-4.7490000000000201</v>
      </c>
      <c r="AD2691">
        <v>-1.047604046847</v>
      </c>
      <c r="AE2691">
        <v>-21.051438999999998</v>
      </c>
      <c r="AF2691">
        <v>12.8427647775026</v>
      </c>
      <c r="AG2691">
        <v>-1.047604046847</v>
      </c>
      <c r="AH2691">
        <v>17.279822445589701</v>
      </c>
      <c r="AI2691">
        <v>92.7857298885083</v>
      </c>
      <c r="AJ2691">
        <v>53.379412594821801</v>
      </c>
      <c r="AK2691">
        <v>21.555192996592201</v>
      </c>
      <c r="AL2691">
        <v>80.463260526988805</v>
      </c>
      <c r="AM2691">
        <v>80.542055185944605</v>
      </c>
      <c r="AN2691">
        <v>0.99999998404398405</v>
      </c>
    </row>
    <row r="2692" spans="1:40" x14ac:dyDescent="0.3">
      <c r="A2692" t="str">
        <f>"20200111150900848"</f>
        <v>20200111150900848</v>
      </c>
      <c r="B2692" t="str">
        <f>"1578726540836746"</f>
        <v>1578726540836746</v>
      </c>
      <c r="C2692" t="s">
        <v>40</v>
      </c>
      <c r="D2692">
        <v>5.3913039999999999</v>
      </c>
      <c r="E2692">
        <v>0.70082019999999901</v>
      </c>
      <c r="F2692" t="s">
        <v>43</v>
      </c>
      <c r="G2692">
        <v>-305.64850000000001</v>
      </c>
      <c r="H2692" s="1">
        <v>-2.2415909999999998E-6</v>
      </c>
      <c r="I2692">
        <v>-18.689039999999999</v>
      </c>
      <c r="J2692">
        <v>-300.77010000000001</v>
      </c>
      <c r="K2692">
        <v>1.0476099999999999</v>
      </c>
      <c r="L2692">
        <v>1.5838319999999999</v>
      </c>
      <c r="M2692">
        <v>0.39095780000000002</v>
      </c>
      <c r="N2692">
        <v>0</v>
      </c>
      <c r="O2692">
        <v>-0.92030020000000001</v>
      </c>
      <c r="P2692">
        <v>0.23774020000000001</v>
      </c>
      <c r="Q2692">
        <v>0.15577279999999999</v>
      </c>
      <c r="R2692">
        <v>-0.95875670000000002</v>
      </c>
      <c r="S2692">
        <v>-0.77819819999999995</v>
      </c>
      <c r="T2692">
        <v>-0.17162620000000001</v>
      </c>
      <c r="U2692">
        <v>-3.3745419999999999</v>
      </c>
      <c r="V2692">
        <v>0.16113520000000001</v>
      </c>
      <c r="W2692">
        <v>0.164714</v>
      </c>
      <c r="X2692">
        <v>0.97309029999999996</v>
      </c>
      <c r="Y2692">
        <v>0.58758659999999996</v>
      </c>
      <c r="Z2692">
        <v>3.9272769999999999E-2</v>
      </c>
      <c r="AA2692">
        <v>0.80820780000000003</v>
      </c>
      <c r="AB2692">
        <v>32</v>
      </c>
      <c r="AC2692">
        <v>-4.8783999999999903</v>
      </c>
      <c r="AD2692">
        <v>-1.0476122415910001</v>
      </c>
      <c r="AE2692">
        <v>-20.272872</v>
      </c>
      <c r="AF2692">
        <v>12.385405589807901</v>
      </c>
      <c r="AG2692">
        <v>-1.0476122415910001</v>
      </c>
      <c r="AH2692">
        <v>16.7093732444221</v>
      </c>
      <c r="AI2692">
        <v>92.883449599477103</v>
      </c>
      <c r="AJ2692">
        <v>53.453232166921602</v>
      </c>
      <c r="AK2692">
        <v>20.825439185145299</v>
      </c>
      <c r="AL2692">
        <v>80.519379379777206</v>
      </c>
      <c r="AM2692">
        <v>80.597641986344897</v>
      </c>
      <c r="AN2692">
        <v>0.99999999321456401</v>
      </c>
    </row>
    <row r="2693" spans="1:40" x14ac:dyDescent="0.3">
      <c r="A2693" t="str">
        <f>"20200111150900871"</f>
        <v>20200111150900871</v>
      </c>
      <c r="B2693" t="str">
        <f>"1578726540866027"</f>
        <v>1578726540866027</v>
      </c>
      <c r="C2693" t="s">
        <v>40</v>
      </c>
      <c r="D2693">
        <v>5.3800230000000004</v>
      </c>
      <c r="E2693">
        <v>0.699631</v>
      </c>
      <c r="F2693" t="s">
        <v>43</v>
      </c>
      <c r="G2693">
        <v>-305.71080000000001</v>
      </c>
      <c r="H2693" s="1">
        <v>-2.322501E-6</v>
      </c>
      <c r="I2693">
        <v>-18.539079999999998</v>
      </c>
      <c r="J2693">
        <v>-300.65170000000001</v>
      </c>
      <c r="K2693">
        <v>1.0476160000000001</v>
      </c>
      <c r="L2693">
        <v>1.269714</v>
      </c>
      <c r="M2693">
        <v>0.37716179999999999</v>
      </c>
      <c r="N2693">
        <v>0</v>
      </c>
      <c r="O2693">
        <v>-0.92603979999999997</v>
      </c>
      <c r="P2693">
        <v>0.22480330000000001</v>
      </c>
      <c r="Q2693">
        <v>0.15590029999999999</v>
      </c>
      <c r="R2693">
        <v>-0.96185180000000003</v>
      </c>
      <c r="S2693">
        <v>-0.82550049999999997</v>
      </c>
      <c r="T2693">
        <v>-0.17503750000000001</v>
      </c>
      <c r="U2693">
        <v>-3.3621829999999999</v>
      </c>
      <c r="V2693">
        <v>0.15969349999999999</v>
      </c>
      <c r="W2693">
        <v>0.16488939999999999</v>
      </c>
      <c r="X2693">
        <v>0.97329829999999995</v>
      </c>
      <c r="Y2693">
        <v>0.5868932</v>
      </c>
      <c r="Z2693">
        <v>4.058867E-2</v>
      </c>
      <c r="AA2693">
        <v>0.80864639999999999</v>
      </c>
      <c r="AB2693">
        <v>32</v>
      </c>
      <c r="AC2693">
        <v>-5.0590999999999999</v>
      </c>
      <c r="AD2693">
        <v>-1.0476183225009901</v>
      </c>
      <c r="AE2693">
        <v>-19.808793999999999</v>
      </c>
      <c r="AF2693">
        <v>12.1254217605621</v>
      </c>
      <c r="AG2693">
        <v>-1.0476183225009901</v>
      </c>
      <c r="AH2693">
        <v>16.3942235683412</v>
      </c>
      <c r="AI2693">
        <v>92.941058558401096</v>
      </c>
      <c r="AJ2693">
        <v>53.512796816367498</v>
      </c>
      <c r="AK2693">
        <v>20.4179803954727</v>
      </c>
      <c r="AL2693">
        <v>80.509190969789202</v>
      </c>
      <c r="AM2693">
        <v>80.682240501699994</v>
      </c>
      <c r="AN2693">
        <v>1.00000005447874</v>
      </c>
    </row>
    <row r="2694" spans="1:40" x14ac:dyDescent="0.3">
      <c r="A2694" t="str">
        <f>"20200111150900892"</f>
        <v>20200111150900892</v>
      </c>
      <c r="B2694" t="str">
        <f>"1578726540886522"</f>
        <v>1578726540886522</v>
      </c>
      <c r="C2694" t="s">
        <v>40</v>
      </c>
      <c r="D2694">
        <v>5.3804869999999996</v>
      </c>
      <c r="E2694">
        <v>0.69848069999999995</v>
      </c>
      <c r="F2694" t="s">
        <v>43</v>
      </c>
      <c r="G2694">
        <v>-305.66739999999999</v>
      </c>
      <c r="H2694" s="1">
        <v>-2.4389590000000002E-6</v>
      </c>
      <c r="I2694">
        <v>-18.240670000000001</v>
      </c>
      <c r="J2694">
        <v>-300.5505</v>
      </c>
      <c r="K2694">
        <v>1.047868</v>
      </c>
      <c r="L2694">
        <v>0.99011229999999995</v>
      </c>
      <c r="M2694">
        <v>0.36459910000000001</v>
      </c>
      <c r="N2694">
        <v>0</v>
      </c>
      <c r="O2694">
        <v>-0.93105389999999999</v>
      </c>
      <c r="P2694">
        <v>0.21341389999999999</v>
      </c>
      <c r="Q2694">
        <v>0.1562878</v>
      </c>
      <c r="R2694">
        <v>-0.96438000000000001</v>
      </c>
      <c r="S2694">
        <v>-0.86105350000000003</v>
      </c>
      <c r="T2694">
        <v>-0.17984739999999999</v>
      </c>
      <c r="U2694">
        <v>-3.349396</v>
      </c>
      <c r="V2694">
        <v>0.1579547</v>
      </c>
      <c r="W2694">
        <v>0.165632</v>
      </c>
      <c r="X2694">
        <v>0.97345590000000004</v>
      </c>
      <c r="Y2694">
        <v>0.58470940000000005</v>
      </c>
      <c r="Z2694">
        <v>4.2246220000000001E-2</v>
      </c>
      <c r="AA2694">
        <v>0.81014209999999998</v>
      </c>
      <c r="AB2694">
        <v>32</v>
      </c>
      <c r="AC2694">
        <v>-5.1168999999999798</v>
      </c>
      <c r="AD2694">
        <v>-1.0478704389589999</v>
      </c>
      <c r="AE2694">
        <v>-19.230782300000001</v>
      </c>
      <c r="AF2694">
        <v>11.744285274841101</v>
      </c>
      <c r="AG2694">
        <v>-1.0478704389589999</v>
      </c>
      <c r="AH2694">
        <v>15.9965762609227</v>
      </c>
      <c r="AI2694">
        <v>93.022587754938201</v>
      </c>
      <c r="AJ2694">
        <v>53.714817907463903</v>
      </c>
      <c r="AK2694">
        <v>19.872511696944802</v>
      </c>
      <c r="AL2694">
        <v>80.466049581007795</v>
      </c>
      <c r="AM2694">
        <v>80.783411371090494</v>
      </c>
      <c r="AN2694">
        <v>1.00000001796045</v>
      </c>
    </row>
    <row r="2695" spans="1:40" x14ac:dyDescent="0.3">
      <c r="A2695" t="str">
        <f>"20200111150900916"</f>
        <v>20200111150900916</v>
      </c>
      <c r="B2695" t="str">
        <f>"1578726540907018"</f>
        <v>1578726540907018</v>
      </c>
      <c r="C2695" t="s">
        <v>40</v>
      </c>
      <c r="D2695">
        <v>5.3820119999999996</v>
      </c>
      <c r="E2695">
        <v>0.69694709999999904</v>
      </c>
      <c r="F2695" t="s">
        <v>43</v>
      </c>
      <c r="G2695">
        <v>-305.64019999999999</v>
      </c>
      <c r="H2695" s="1">
        <v>-2.5032999999999998E-6</v>
      </c>
      <c r="I2695">
        <v>-18.073840000000001</v>
      </c>
      <c r="J2695">
        <v>-300.435</v>
      </c>
      <c r="K2695">
        <v>1.048332</v>
      </c>
      <c r="L2695">
        <v>0.65911869999999995</v>
      </c>
      <c r="M2695">
        <v>0.34862959999999998</v>
      </c>
      <c r="N2695">
        <v>0</v>
      </c>
      <c r="O2695">
        <v>-0.93714359999999997</v>
      </c>
      <c r="P2695">
        <v>0.19868939999999999</v>
      </c>
      <c r="Q2695">
        <v>0.15574170000000001</v>
      </c>
      <c r="R2695">
        <v>-0.96760889999999999</v>
      </c>
      <c r="S2695">
        <v>-0.8911133</v>
      </c>
      <c r="T2695">
        <v>-0.18346229999999999</v>
      </c>
      <c r="U2695">
        <v>-3.3377379999999999</v>
      </c>
      <c r="V2695">
        <v>0.15609200000000001</v>
      </c>
      <c r="W2695">
        <v>0.16567009999999999</v>
      </c>
      <c r="X2695">
        <v>0.9737498</v>
      </c>
      <c r="Y2695">
        <v>0.57832019999999995</v>
      </c>
      <c r="Z2695">
        <v>4.3815050000000001E-2</v>
      </c>
      <c r="AA2695">
        <v>0.81463240000000003</v>
      </c>
      <c r="AB2695">
        <v>32</v>
      </c>
      <c r="AC2695">
        <v>-5.2051999999999898</v>
      </c>
      <c r="AD2695">
        <v>-1.0483345033</v>
      </c>
      <c r="AE2695">
        <v>-18.732958700000001</v>
      </c>
      <c r="AF2695">
        <v>11.377058472569299</v>
      </c>
      <c r="AG2695">
        <v>-1.0483345033</v>
      </c>
      <c r="AH2695">
        <v>15.696876348017801</v>
      </c>
      <c r="AI2695">
        <v>93.095311468585805</v>
      </c>
      <c r="AJ2695">
        <v>54.065489713392999</v>
      </c>
      <c r="AK2695">
        <v>19.414643746513299</v>
      </c>
      <c r="AL2695">
        <v>80.463835701092506</v>
      </c>
      <c r="AM2695">
        <v>80.892969509728999</v>
      </c>
      <c r="AN2695">
        <v>0.99999998374902399</v>
      </c>
    </row>
    <row r="2696" spans="1:40" x14ac:dyDescent="0.3">
      <c r="A2696" t="str">
        <f>"20200111150900943"</f>
        <v>20200111150900943</v>
      </c>
      <c r="B2696" t="str">
        <f>"1578726540936298"</f>
        <v>1578726540936298</v>
      </c>
      <c r="C2696" t="s">
        <v>40</v>
      </c>
      <c r="D2696">
        <v>5.4481020000000004</v>
      </c>
      <c r="E2696">
        <v>0.69486119999999996</v>
      </c>
      <c r="F2696" t="s">
        <v>43</v>
      </c>
      <c r="G2696">
        <v>-305.52550000000002</v>
      </c>
      <c r="H2696" s="1">
        <v>-2.7046540000000001E-6</v>
      </c>
      <c r="I2696">
        <v>-17.533290000000001</v>
      </c>
      <c r="J2696">
        <v>-300.31790000000001</v>
      </c>
      <c r="K2696">
        <v>1.0485530000000001</v>
      </c>
      <c r="L2696">
        <v>0.30703740000000002</v>
      </c>
      <c r="M2696">
        <v>0.33325080000000001</v>
      </c>
      <c r="N2696">
        <v>0</v>
      </c>
      <c r="O2696">
        <v>-0.94271249999999995</v>
      </c>
      <c r="P2696">
        <v>0.18469759999999999</v>
      </c>
      <c r="Q2696">
        <v>0.154686299999999</v>
      </c>
      <c r="R2696">
        <v>-0.97054580000000001</v>
      </c>
      <c r="S2696">
        <v>-0.92956539999999999</v>
      </c>
      <c r="T2696">
        <v>-0.1914363</v>
      </c>
      <c r="U2696">
        <v>-3.3221129999999999</v>
      </c>
      <c r="V2696">
        <v>0.15441279999999999</v>
      </c>
      <c r="W2696">
        <v>0.16511049999999999</v>
      </c>
      <c r="X2696">
        <v>0.97411250000000005</v>
      </c>
      <c r="Y2696">
        <v>0.57466479999999998</v>
      </c>
      <c r="Z2696">
        <v>4.6404580000000001E-2</v>
      </c>
      <c r="AA2696">
        <v>0.81707220000000003</v>
      </c>
      <c r="AB2696">
        <v>32</v>
      </c>
      <c r="AC2696">
        <v>-5.20760000000001</v>
      </c>
      <c r="AD2696">
        <v>-1.0485557046539999</v>
      </c>
      <c r="AE2696">
        <v>-17.8403273999999</v>
      </c>
      <c r="AF2696">
        <v>10.8214129168088</v>
      </c>
      <c r="AG2696">
        <v>-1.0485557046539999</v>
      </c>
      <c r="AH2696">
        <v>15.036785527057599</v>
      </c>
      <c r="AI2696">
        <v>93.239458281174294</v>
      </c>
      <c r="AJ2696">
        <v>54.258844459901503</v>
      </c>
      <c r="AK2696">
        <v>18.555521161330098</v>
      </c>
      <c r="AL2696">
        <v>80.496346076797195</v>
      </c>
      <c r="AM2696">
        <v>80.992624826380506</v>
      </c>
      <c r="AN2696">
        <v>0.99999997633516902</v>
      </c>
    </row>
    <row r="2697" spans="1:40" x14ac:dyDescent="0.3">
      <c r="A2697" t="str">
        <f>"20200111150900962"</f>
        <v>20200111150900962</v>
      </c>
      <c r="B2697" t="str">
        <f>"1578726540956794"</f>
        <v>1578726540956794</v>
      </c>
      <c r="C2697" t="s">
        <v>40</v>
      </c>
      <c r="D2697">
        <v>5.4372550000000004</v>
      </c>
      <c r="E2697">
        <v>0.67107309999999998</v>
      </c>
      <c r="F2697" t="s">
        <v>43</v>
      </c>
      <c r="G2697">
        <v>-305.41570000000002</v>
      </c>
      <c r="H2697" s="1">
        <v>-2.814495E-6</v>
      </c>
      <c r="I2697">
        <v>-17.209199999999999</v>
      </c>
      <c r="J2697">
        <v>-300.22980000000001</v>
      </c>
      <c r="K2697">
        <v>1.0485799999999901</v>
      </c>
      <c r="L2697">
        <v>2.7282710000000002E-2</v>
      </c>
      <c r="M2697">
        <v>0.32293749999999999</v>
      </c>
      <c r="N2697">
        <v>0</v>
      </c>
      <c r="O2697">
        <v>-0.94629850000000004</v>
      </c>
      <c r="P2697">
        <v>0.1760061</v>
      </c>
      <c r="Q2697">
        <v>0.15476129999999999</v>
      </c>
      <c r="R2697">
        <v>-0.97214769999999995</v>
      </c>
      <c r="S2697">
        <v>-0.96206670000000005</v>
      </c>
      <c r="T2697">
        <v>-0.19788339999999999</v>
      </c>
      <c r="U2697">
        <v>-3.3056640000000002</v>
      </c>
      <c r="V2697">
        <v>0.15273249999999999</v>
      </c>
      <c r="W2697">
        <v>0.16480899999999901</v>
      </c>
      <c r="X2697">
        <v>0.97442839999999997</v>
      </c>
      <c r="Y2697">
        <v>0.57418119999999995</v>
      </c>
      <c r="Z2697">
        <v>4.8456630000000001E-2</v>
      </c>
      <c r="AA2697">
        <v>0.81729300000000005</v>
      </c>
      <c r="AB2697">
        <v>31</v>
      </c>
      <c r="AC2697">
        <v>-5.1859000000000002</v>
      </c>
      <c r="AD2697">
        <v>-1.04858281449499</v>
      </c>
      <c r="AE2697">
        <v>-17.236482710000001</v>
      </c>
      <c r="AF2697">
        <v>10.439494876265901</v>
      </c>
      <c r="AG2697">
        <v>-1.04858281449499</v>
      </c>
      <c r="AH2697">
        <v>14.588314977083099</v>
      </c>
      <c r="AI2697">
        <v>93.345315700872305</v>
      </c>
      <c r="AJ2697">
        <v>54.412239269543498</v>
      </c>
      <c r="AK2697">
        <v>17.969460566778899</v>
      </c>
      <c r="AL2697">
        <v>80.513860590252605</v>
      </c>
      <c r="AM2697">
        <v>81.091903047622395</v>
      </c>
      <c r="AN2697">
        <v>0.99999996488190401</v>
      </c>
    </row>
    <row r="2698" spans="1:40" x14ac:dyDescent="0.3">
      <c r="A2698" t="str">
        <f>"20200111150900983"</f>
        <v>20200111150900983</v>
      </c>
      <c r="B2698" t="str">
        <f>"1578726540976314"</f>
        <v>1578726540976314</v>
      </c>
      <c r="C2698" t="s">
        <v>40</v>
      </c>
      <c r="D2698">
        <v>5.4456249999999997</v>
      </c>
      <c r="E2698">
        <v>0.67254009999999997</v>
      </c>
      <c r="F2698" t="s">
        <v>43</v>
      </c>
      <c r="G2698">
        <v>-303.73099999999999</v>
      </c>
      <c r="H2698" s="1">
        <v>-3.668986E-6</v>
      </c>
      <c r="I2698">
        <v>-14.17245</v>
      </c>
      <c r="J2698">
        <v>-300.1499</v>
      </c>
      <c r="K2698">
        <v>1.04877</v>
      </c>
      <c r="L2698">
        <v>-0.24102779999999999</v>
      </c>
      <c r="M2698">
        <v>0.31307560000000001</v>
      </c>
      <c r="N2698">
        <v>0</v>
      </c>
      <c r="O2698">
        <v>-0.94962409999999997</v>
      </c>
      <c r="P2698">
        <v>0.16797960000000001</v>
      </c>
      <c r="Q2698">
        <v>0.15523719999999999</v>
      </c>
      <c r="R2698">
        <v>-0.97349070000000004</v>
      </c>
      <c r="S2698">
        <v>-0.80636600000000003</v>
      </c>
      <c r="T2698">
        <v>-0.24150269999999999</v>
      </c>
      <c r="U2698">
        <v>-3.2703859999999998</v>
      </c>
      <c r="V2698">
        <v>0.1507907</v>
      </c>
      <c r="W2698">
        <v>0.1640616</v>
      </c>
      <c r="X2698">
        <v>0.97485690000000003</v>
      </c>
      <c r="Y2698">
        <v>0.53082479999999999</v>
      </c>
      <c r="Z2698">
        <v>6.1486199999999998E-2</v>
      </c>
      <c r="AA2698">
        <v>0.84524820000000001</v>
      </c>
      <c r="AB2698">
        <v>31</v>
      </c>
      <c r="AC2698">
        <v>-3.58109999999999</v>
      </c>
      <c r="AD2698">
        <v>-1.0487736689860001</v>
      </c>
      <c r="AE2698">
        <v>-13.931422199999901</v>
      </c>
      <c r="AF2698">
        <v>7.7220046495489303</v>
      </c>
      <c r="AG2698">
        <v>-1.0487736689860001</v>
      </c>
      <c r="AH2698">
        <v>12.0456220924106</v>
      </c>
      <c r="AI2698">
        <v>94.192195710501395</v>
      </c>
      <c r="AJ2698">
        <v>57.3375634041601</v>
      </c>
      <c r="AK2698">
        <v>14.346647469342299</v>
      </c>
      <c r="AL2698">
        <v>80.557274839572003</v>
      </c>
      <c r="AM2698">
        <v>81.207181862468701</v>
      </c>
      <c r="AN2698">
        <v>1.00000000963933</v>
      </c>
    </row>
    <row r="2699" spans="1:40" x14ac:dyDescent="0.3">
      <c r="A2699" t="str">
        <f>"20200111150901004"</f>
        <v>20200111150901004</v>
      </c>
      <c r="B2699" t="str">
        <f>"1578726540996835"</f>
        <v>1578726540996835</v>
      </c>
      <c r="C2699" t="s">
        <v>40</v>
      </c>
      <c r="D2699">
        <v>5.435524</v>
      </c>
      <c r="E2699">
        <v>0.67286550000000001</v>
      </c>
      <c r="F2699" t="s">
        <v>43</v>
      </c>
      <c r="G2699">
        <v>-303.87439999999998</v>
      </c>
      <c r="H2699" s="1">
        <v>-3.5150260000000001E-6</v>
      </c>
      <c r="I2699">
        <v>-14.620240000000001</v>
      </c>
      <c r="J2699">
        <v>-300.06659999999999</v>
      </c>
      <c r="K2699">
        <v>1.0495909999999999</v>
      </c>
      <c r="L2699">
        <v>-0.53802490000000003</v>
      </c>
      <c r="M2699">
        <v>0.30156880000000003</v>
      </c>
      <c r="N2699">
        <v>0</v>
      </c>
      <c r="O2699">
        <v>-0.95336650000000001</v>
      </c>
      <c r="P2699">
        <v>0.15785629999999901</v>
      </c>
      <c r="Q2699">
        <v>0.15640219999999999</v>
      </c>
      <c r="R2699">
        <v>-0.97499740000000001</v>
      </c>
      <c r="S2699">
        <v>-0.84585569999999899</v>
      </c>
      <c r="T2699">
        <v>-0.23818420000000001</v>
      </c>
      <c r="U2699">
        <v>-3.265625</v>
      </c>
      <c r="V2699">
        <v>0.1491027</v>
      </c>
      <c r="W2699">
        <v>0.16341149999999999</v>
      </c>
      <c r="X2699">
        <v>0.97522560000000003</v>
      </c>
      <c r="Y2699">
        <v>0.53047880000000003</v>
      </c>
      <c r="Z2699">
        <v>6.1054240000000003E-2</v>
      </c>
      <c r="AA2699">
        <v>0.84549669999999899</v>
      </c>
      <c r="AB2699">
        <v>31</v>
      </c>
      <c r="AC2699">
        <v>-3.8077999999999799</v>
      </c>
      <c r="AD2699">
        <v>-1.049594515026</v>
      </c>
      <c r="AE2699">
        <v>-14.082215100000001</v>
      </c>
      <c r="AF2699">
        <v>7.8370009159503802</v>
      </c>
      <c r="AG2699">
        <v>-1.049594515026</v>
      </c>
      <c r="AH2699">
        <v>12.2148775586308</v>
      </c>
      <c r="AI2699">
        <v>94.136538126353798</v>
      </c>
      <c r="AJ2699">
        <v>57.3159836372539</v>
      </c>
      <c r="AK2699">
        <v>14.550720455527999</v>
      </c>
      <c r="AL2699">
        <v>80.595031853138096</v>
      </c>
      <c r="AM2699">
        <v>81.307336026513198</v>
      </c>
      <c r="AN2699">
        <v>0.99999995218744797</v>
      </c>
    </row>
    <row r="2700" spans="1:40" x14ac:dyDescent="0.3">
      <c r="A2700" t="str">
        <f>"20200111150901027"</f>
        <v>20200111150901027</v>
      </c>
      <c r="B2700" t="str">
        <f>"1578726541016355"</f>
        <v>1578726541016355</v>
      </c>
      <c r="C2700" t="s">
        <v>40</v>
      </c>
      <c r="D2700">
        <v>5.4903139999999997</v>
      </c>
      <c r="E2700">
        <v>0.67114410000000002</v>
      </c>
      <c r="F2700" t="s">
        <v>43</v>
      </c>
      <c r="G2700">
        <v>-303.8793</v>
      </c>
      <c r="H2700" s="1">
        <v>-3.5191509999999998E-6</v>
      </c>
      <c r="I2700">
        <v>-14.61369</v>
      </c>
      <c r="J2700">
        <v>-299.98</v>
      </c>
      <c r="K2700">
        <v>1.051342</v>
      </c>
      <c r="L2700">
        <v>-0.86572269999999896</v>
      </c>
      <c r="M2700">
        <v>0.2879813</v>
      </c>
      <c r="N2700">
        <v>0</v>
      </c>
      <c r="O2700">
        <v>-0.95758279999999996</v>
      </c>
      <c r="P2700">
        <v>0.14569219999999999</v>
      </c>
      <c r="Q2700">
        <v>0.15775349999999999</v>
      </c>
      <c r="R2700">
        <v>-0.97667179999999998</v>
      </c>
      <c r="S2700">
        <v>-0.88272090000000003</v>
      </c>
      <c r="T2700">
        <v>-0.24300379999999999</v>
      </c>
      <c r="U2700">
        <v>-3.2588200000000001</v>
      </c>
      <c r="V2700">
        <v>0.14714869999999999</v>
      </c>
      <c r="W2700">
        <v>0.16292229999999999</v>
      </c>
      <c r="X2700">
        <v>0.97560420000000003</v>
      </c>
      <c r="Y2700">
        <v>0.52775749999999999</v>
      </c>
      <c r="Z2700">
        <v>6.2847589999999995E-2</v>
      </c>
      <c r="AA2700">
        <v>0.84706680000000001</v>
      </c>
      <c r="AB2700">
        <v>32</v>
      </c>
      <c r="AC2700">
        <v>-3.8992999999999798</v>
      </c>
      <c r="AD2700">
        <v>-1.0513455191509999</v>
      </c>
      <c r="AE2700">
        <v>-13.747967299999999</v>
      </c>
      <c r="AF2700">
        <v>7.6520343672228401</v>
      </c>
      <c r="AG2700">
        <v>-1.0513455191509999</v>
      </c>
      <c r="AH2700">
        <v>11.977674242866099</v>
      </c>
      <c r="AI2700">
        <v>94.230410736201193</v>
      </c>
      <c r="AJ2700">
        <v>57.427195079928303</v>
      </c>
      <c r="AK2700">
        <v>14.252145018418</v>
      </c>
      <c r="AL2700">
        <v>80.623441999326204</v>
      </c>
      <c r="AM2700">
        <v>81.422827573619102</v>
      </c>
      <c r="AN2700">
        <v>0.99999998540330903</v>
      </c>
    </row>
    <row r="2701" spans="1:40" x14ac:dyDescent="0.3">
      <c r="A2701" t="str">
        <f>"20200111150901049"</f>
        <v>20200111150901049</v>
      </c>
      <c r="B2701" t="str">
        <f>"1578726541046611"</f>
        <v>1578726541046611</v>
      </c>
      <c r="C2701" t="s">
        <v>40</v>
      </c>
      <c r="D2701">
        <v>5.5117459999999996</v>
      </c>
      <c r="E2701">
        <v>0.57530579999999998</v>
      </c>
      <c r="F2701" t="s">
        <v>43</v>
      </c>
      <c r="G2701">
        <v>-303.95089999999999</v>
      </c>
      <c r="H2701" s="1">
        <v>-3.3562129999999999E-6</v>
      </c>
      <c r="I2701">
        <v>-15.03792</v>
      </c>
      <c r="J2701">
        <v>-299.90600000000001</v>
      </c>
      <c r="K2701">
        <v>1.0533709999999901</v>
      </c>
      <c r="L2701">
        <v>-1.1616519999999999</v>
      </c>
      <c r="M2701">
        <v>0.27498</v>
      </c>
      <c r="N2701">
        <v>0</v>
      </c>
      <c r="O2701">
        <v>-0.96141339999999997</v>
      </c>
      <c r="P2701">
        <v>0.13410830000000001</v>
      </c>
      <c r="Q2701">
        <v>0.1584296</v>
      </c>
      <c r="R2701">
        <v>-0.97822050000000005</v>
      </c>
      <c r="S2701">
        <v>-0.90954590000000002</v>
      </c>
      <c r="T2701">
        <v>-0.24081610000000001</v>
      </c>
      <c r="U2701">
        <v>-3.246216</v>
      </c>
      <c r="V2701">
        <v>0.14519089999999901</v>
      </c>
      <c r="W2701">
        <v>0.1621676</v>
      </c>
      <c r="X2701">
        <v>0.97602319999999998</v>
      </c>
      <c r="Y2701">
        <v>0.52358090000000002</v>
      </c>
      <c r="Z2701">
        <v>6.2965010000000002E-2</v>
      </c>
      <c r="AA2701">
        <v>0.84964609999999996</v>
      </c>
      <c r="AB2701">
        <v>32</v>
      </c>
      <c r="AC2701">
        <v>-4.0448999999999797</v>
      </c>
      <c r="AD2701">
        <v>-1.05337435621299</v>
      </c>
      <c r="AE2701">
        <v>-13.876268</v>
      </c>
      <c r="AF2701">
        <v>7.6640816144515496</v>
      </c>
      <c r="AG2701">
        <v>-1.05337435621299</v>
      </c>
      <c r="AH2701">
        <v>12.1643842195164</v>
      </c>
      <c r="AI2701">
        <v>94.1903368969502</v>
      </c>
      <c r="AJ2701">
        <v>57.787320448924199</v>
      </c>
      <c r="AK2701">
        <v>14.4159629566436</v>
      </c>
      <c r="AL2701">
        <v>80.6672661417564</v>
      </c>
      <c r="AM2701">
        <v>81.538863127626399</v>
      </c>
      <c r="AN2701">
        <v>1.0000000074354001</v>
      </c>
    </row>
    <row r="2702" spans="1:40" x14ac:dyDescent="0.3">
      <c r="A2702" t="str">
        <f>"20200111150901073"</f>
        <v>20200111150901073</v>
      </c>
      <c r="B2702" t="str">
        <f>"1578726541066131"</f>
        <v>1578726541066131</v>
      </c>
      <c r="C2702" t="s">
        <v>40</v>
      </c>
      <c r="D2702">
        <v>5.4943710000000001</v>
      </c>
      <c r="E2702">
        <v>0.57744510000000004</v>
      </c>
      <c r="F2702" t="s">
        <v>43</v>
      </c>
      <c r="G2702">
        <v>-302.26060000000001</v>
      </c>
      <c r="H2702" s="1">
        <v>-9.8103830000000003E-7</v>
      </c>
      <c r="I2702">
        <v>-39.526150000000001</v>
      </c>
      <c r="J2702">
        <v>-299.82479999999998</v>
      </c>
      <c r="K2702">
        <v>1.055993</v>
      </c>
      <c r="L2702">
        <v>-1.504089</v>
      </c>
      <c r="M2702">
        <v>0.25879279999999999</v>
      </c>
      <c r="N2702">
        <v>0</v>
      </c>
      <c r="O2702">
        <v>-0.96590969999999998</v>
      </c>
      <c r="P2702">
        <v>0.1198761</v>
      </c>
      <c r="Q2702">
        <v>0.15894330000000001</v>
      </c>
      <c r="R2702">
        <v>-0.9799831</v>
      </c>
      <c r="S2702">
        <v>-0.1906738</v>
      </c>
      <c r="T2702">
        <v>-8.5301879999999997E-2</v>
      </c>
      <c r="U2702">
        <v>-3.1067499999999999</v>
      </c>
      <c r="V2702">
        <v>0.14260539999999999</v>
      </c>
      <c r="W2702">
        <v>0.1613935</v>
      </c>
      <c r="X2702">
        <v>0.97653259999999997</v>
      </c>
      <c r="Y2702">
        <v>0.31746149999999901</v>
      </c>
      <c r="Z2702">
        <v>2.5306660000000002E-2</v>
      </c>
      <c r="AA2702">
        <v>0.94793340000000004</v>
      </c>
      <c r="AB2702">
        <v>32</v>
      </c>
      <c r="AC2702">
        <v>-2.4358000000000199</v>
      </c>
      <c r="AD2702">
        <v>-1.0559939810382999</v>
      </c>
      <c r="AE2702">
        <v>-38.022061000000001</v>
      </c>
      <c r="AF2702">
        <v>12.183511878546801</v>
      </c>
      <c r="AG2702">
        <v>-1.0559939810382999</v>
      </c>
      <c r="AH2702">
        <v>36.068609667298098</v>
      </c>
      <c r="AI2702">
        <v>91.588843849180094</v>
      </c>
      <c r="AJ2702">
        <v>71.3356938574682</v>
      </c>
      <c r="AK2702">
        <v>38.085399936387603</v>
      </c>
      <c r="AL2702">
        <v>80.712211182261996</v>
      </c>
      <c r="AM2702">
        <v>81.691687142537603</v>
      </c>
      <c r="AN2702">
        <v>1.0000000404070799</v>
      </c>
    </row>
    <row r="2703" spans="1:40" x14ac:dyDescent="0.3">
      <c r="A2703" t="str">
        <f>"20200111150901095"</f>
        <v>20200111150901095</v>
      </c>
      <c r="B2703" t="str">
        <f>"1578726541086036"</f>
        <v>1578726541086036</v>
      </c>
      <c r="C2703" t="s">
        <v>40</v>
      </c>
      <c r="D2703">
        <v>5.4663430000000002</v>
      </c>
      <c r="E2703">
        <v>0.57744830000000003</v>
      </c>
      <c r="F2703" t="s">
        <v>43</v>
      </c>
      <c r="G2703">
        <v>-301.47140000000002</v>
      </c>
      <c r="H2703" s="1">
        <v>-4.0569400000000003E-6</v>
      </c>
      <c r="I2703">
        <v>-21.858650000000001</v>
      </c>
      <c r="J2703">
        <v>-299.75400000000002</v>
      </c>
      <c r="K2703">
        <v>1.0583880000000001</v>
      </c>
      <c r="L2703">
        <v>-1.818573</v>
      </c>
      <c r="M2703">
        <v>0.24267140000000001</v>
      </c>
      <c r="N2703">
        <v>0</v>
      </c>
      <c r="O2703">
        <v>-0.97009179999999995</v>
      </c>
      <c r="P2703">
        <v>0.1058644</v>
      </c>
      <c r="Q2703">
        <v>0.1592934</v>
      </c>
      <c r="R2703">
        <v>-0.98153869999999999</v>
      </c>
      <c r="S2703">
        <v>-0.25225829999999999</v>
      </c>
      <c r="T2703">
        <v>-0.1617818</v>
      </c>
      <c r="U2703">
        <v>-3.1183779999999999</v>
      </c>
      <c r="V2703">
        <v>0.14006179999999999</v>
      </c>
      <c r="W2703">
        <v>0.1609931</v>
      </c>
      <c r="X2703">
        <v>0.97696669999999997</v>
      </c>
      <c r="Y2703">
        <v>0.32000119999999999</v>
      </c>
      <c r="Z2703">
        <v>4.8039890000000002E-2</v>
      </c>
      <c r="AA2703">
        <v>0.9461984</v>
      </c>
      <c r="AB2703">
        <v>32</v>
      </c>
      <c r="AC2703">
        <v>-1.71739999999999</v>
      </c>
      <c r="AD2703">
        <v>-1.0583920569399901</v>
      </c>
      <c r="AE2703">
        <v>-20.040077</v>
      </c>
      <c r="AF2703">
        <v>6.5112658457142301</v>
      </c>
      <c r="AG2703">
        <v>-1.0583920569399901</v>
      </c>
      <c r="AH2703">
        <v>18.971727638636001</v>
      </c>
      <c r="AI2703">
        <v>93.020502301318999</v>
      </c>
      <c r="AJ2703">
        <v>71.057323081992905</v>
      </c>
      <c r="AK2703">
        <v>20.085896202418802</v>
      </c>
      <c r="AL2703">
        <v>80.735456103627996</v>
      </c>
      <c r="AM2703">
        <v>81.8414428098787</v>
      </c>
      <c r="AN2703">
        <v>1.0000000094878601</v>
      </c>
    </row>
    <row r="2704" spans="1:40" x14ac:dyDescent="0.3">
      <c r="A2704" t="str">
        <f>"20200111150901117"</f>
        <v>20200111150901117</v>
      </c>
      <c r="B2704" t="str">
        <f>"1578726541106532"</f>
        <v>1578726541106532</v>
      </c>
      <c r="C2704" t="s">
        <v>40</v>
      </c>
      <c r="D2704">
        <v>5.4828919999999997</v>
      </c>
      <c r="E2704">
        <v>0.5761039</v>
      </c>
      <c r="F2704" t="s">
        <v>43</v>
      </c>
      <c r="G2704">
        <v>-301.50290000000001</v>
      </c>
      <c r="H2704" s="1">
        <v>-4.792169E-7</v>
      </c>
      <c r="I2704">
        <v>-20.22597</v>
      </c>
      <c r="J2704">
        <v>-299.6909</v>
      </c>
      <c r="K2704">
        <v>1.0604129999999901</v>
      </c>
      <c r="L2704">
        <v>-2.1134949999999999</v>
      </c>
      <c r="M2704">
        <v>0.22759270000000001</v>
      </c>
      <c r="N2704">
        <v>0</v>
      </c>
      <c r="O2704">
        <v>-0.97374179999999999</v>
      </c>
      <c r="P2704">
        <v>9.2570620000000006E-2</v>
      </c>
      <c r="Q2704">
        <v>0.16000200000000001</v>
      </c>
      <c r="R2704">
        <v>-0.98276660000000005</v>
      </c>
      <c r="S2704">
        <v>-0.29620360000000001</v>
      </c>
      <c r="T2704">
        <v>-0.17924789999999999</v>
      </c>
      <c r="U2704">
        <v>-3.1174620000000002</v>
      </c>
      <c r="V2704">
        <v>0.13813049999999999</v>
      </c>
      <c r="W2704">
        <v>0.16145000000000001</v>
      </c>
      <c r="X2704">
        <v>0.97716619999999998</v>
      </c>
      <c r="Y2704">
        <v>0.3185325</v>
      </c>
      <c r="Z2704">
        <v>5.3520770000000002E-2</v>
      </c>
      <c r="AA2704">
        <v>0.94639980000000001</v>
      </c>
      <c r="AB2704">
        <v>32</v>
      </c>
      <c r="AC2704">
        <v>-1.81200000000001</v>
      </c>
      <c r="AD2704">
        <v>-1.06041347921689</v>
      </c>
      <c r="AE2704">
        <v>-18.112475</v>
      </c>
      <c r="AF2704">
        <v>5.8668608244014999</v>
      </c>
      <c r="AG2704">
        <v>-1.06041347921689</v>
      </c>
      <c r="AH2704">
        <v>17.166463873869699</v>
      </c>
      <c r="AI2704">
        <v>93.345299945215601</v>
      </c>
      <c r="AJ2704">
        <v>71.131474157442995</v>
      </c>
      <c r="AK2704">
        <v>18.172286994560601</v>
      </c>
      <c r="AL2704">
        <v>80.708930198417903</v>
      </c>
      <c r="AM2704">
        <v>81.954078109485494</v>
      </c>
      <c r="AN2704">
        <v>0.99999995997634405</v>
      </c>
    </row>
    <row r="2705" spans="1:40" x14ac:dyDescent="0.3">
      <c r="A2705" t="str">
        <f>"20200111150901147"</f>
        <v>20200111150901147</v>
      </c>
      <c r="B2705" t="str">
        <f>"1578726541136788"</f>
        <v>1578726541136788</v>
      </c>
      <c r="C2705" t="s">
        <v>40</v>
      </c>
      <c r="D2705">
        <v>5.5661889999999996</v>
      </c>
      <c r="E2705">
        <v>0.57483700000000004</v>
      </c>
      <c r="F2705" t="s">
        <v>43</v>
      </c>
      <c r="G2705">
        <v>-301.49779999999998</v>
      </c>
      <c r="H2705" s="1">
        <v>-8.6774100000000004E-7</v>
      </c>
      <c r="I2705">
        <v>-19.317150000000002</v>
      </c>
      <c r="J2705">
        <v>-299.61020000000002</v>
      </c>
      <c r="K2705">
        <v>1.063104</v>
      </c>
      <c r="L2705">
        <v>-2.5242610000000001</v>
      </c>
      <c r="M2705">
        <v>0.20865320000000001</v>
      </c>
      <c r="N2705">
        <v>0</v>
      </c>
      <c r="O2705">
        <v>-0.97797420000000002</v>
      </c>
      <c r="P2705">
        <v>7.5746170000000002E-2</v>
      </c>
      <c r="Q2705">
        <v>0.1613947</v>
      </c>
      <c r="R2705">
        <v>-0.98397900000000005</v>
      </c>
      <c r="S2705">
        <v>-0.32714840000000001</v>
      </c>
      <c r="T2705">
        <v>-0.19198580000000001</v>
      </c>
      <c r="U2705">
        <v>-3.1146850000000001</v>
      </c>
      <c r="V2705">
        <v>0.13615039999999901</v>
      </c>
      <c r="W2705">
        <v>0.162823</v>
      </c>
      <c r="X2705">
        <v>0.97721630000000004</v>
      </c>
      <c r="Y2705">
        <v>0.30948690000000001</v>
      </c>
      <c r="Z2705">
        <v>5.7815369999999998E-2</v>
      </c>
      <c r="AA2705">
        <v>0.94914449999999995</v>
      </c>
      <c r="AB2705">
        <v>31</v>
      </c>
      <c r="AC2705">
        <v>-1.88759999999996</v>
      </c>
      <c r="AD2705">
        <v>-1.063104867741</v>
      </c>
      <c r="AE2705">
        <v>-16.792888999999999</v>
      </c>
      <c r="AF2705">
        <v>5.3289047162142298</v>
      </c>
      <c r="AG2705">
        <v>-1.063104867741</v>
      </c>
      <c r="AH2705">
        <v>15.966211007162199</v>
      </c>
      <c r="AI2705">
        <v>93.613980782631401</v>
      </c>
      <c r="AJ2705">
        <v>71.542980958063197</v>
      </c>
      <c r="AK2705">
        <v>16.865565847594102</v>
      </c>
      <c r="AL2705">
        <v>80.629208407620098</v>
      </c>
      <c r="AM2705">
        <v>82.068339327028795</v>
      </c>
      <c r="AN2705">
        <v>0.99999997886742398</v>
      </c>
    </row>
    <row r="2706" spans="1:40" x14ac:dyDescent="0.3">
      <c r="A2706" t="str">
        <f>"20200111150901169"</f>
        <v>20200111150901169</v>
      </c>
      <c r="B2706" t="str">
        <f>"1578726541166068"</f>
        <v>1578726541166068</v>
      </c>
      <c r="C2706" t="s">
        <v>40</v>
      </c>
      <c r="D2706">
        <v>5.5407890000000002</v>
      </c>
      <c r="E2706">
        <v>0.57211020000000001</v>
      </c>
      <c r="F2706" t="s">
        <v>43</v>
      </c>
      <c r="G2706">
        <v>-301.5693</v>
      </c>
      <c r="H2706" s="1">
        <v>-1.035942E-6</v>
      </c>
      <c r="I2706">
        <v>-18.96941</v>
      </c>
      <c r="J2706">
        <v>-299.55099999999999</v>
      </c>
      <c r="K2706">
        <v>1.065623</v>
      </c>
      <c r="L2706">
        <v>-2.8591310000000001</v>
      </c>
      <c r="M2706">
        <v>0.19405500000000001</v>
      </c>
      <c r="N2706">
        <v>0</v>
      </c>
      <c r="O2706">
        <v>-0.98097489999999998</v>
      </c>
      <c r="P2706">
        <v>6.3483170000000005E-2</v>
      </c>
      <c r="Q2706">
        <v>0.16197890000000001</v>
      </c>
      <c r="R2706">
        <v>-0.98475009999999996</v>
      </c>
      <c r="S2706">
        <v>-0.3705444</v>
      </c>
      <c r="T2706">
        <v>-0.2010702</v>
      </c>
      <c r="U2706">
        <v>-3.1103519999999998</v>
      </c>
      <c r="V2706">
        <v>0.1339321</v>
      </c>
      <c r="W2706">
        <v>0.16338329999999901</v>
      </c>
      <c r="X2706">
        <v>0.97742929999999995</v>
      </c>
      <c r="Y2706">
        <v>0.30850929999999999</v>
      </c>
      <c r="Z2706">
        <v>6.0876930000000003E-2</v>
      </c>
      <c r="AA2706">
        <v>0.94927130000000004</v>
      </c>
      <c r="AB2706">
        <v>31</v>
      </c>
      <c r="AC2706">
        <v>-2.0183000000000102</v>
      </c>
      <c r="AD2706">
        <v>-1.0656240359419999</v>
      </c>
      <c r="AE2706">
        <v>-16.110278999999998</v>
      </c>
      <c r="AF2706">
        <v>5.0843591864834501</v>
      </c>
      <c r="AG2706">
        <v>-1.0656240359419999</v>
      </c>
      <c r="AH2706">
        <v>15.346250280032001</v>
      </c>
      <c r="AI2706">
        <v>93.771211214462596</v>
      </c>
      <c r="AJ2706">
        <v>71.669473575122495</v>
      </c>
      <c r="AK2706">
        <v>16.201656106106501</v>
      </c>
      <c r="AL2706">
        <v>80.596669805502799</v>
      </c>
      <c r="AM2706">
        <v>82.197644321293595</v>
      </c>
      <c r="AN2706">
        <v>0.99999997331389401</v>
      </c>
    </row>
    <row r="2707" spans="1:40" x14ac:dyDescent="0.3">
      <c r="A2707" t="str">
        <f>"20200111150901190"</f>
        <v>20200111150901190</v>
      </c>
      <c r="B2707" t="str">
        <f>"1578726541186565"</f>
        <v>1578726541186565</v>
      </c>
      <c r="C2707" t="s">
        <v>40</v>
      </c>
      <c r="D2707">
        <v>5.4989100000000004</v>
      </c>
      <c r="E2707">
        <v>0.57007390000000002</v>
      </c>
      <c r="F2707" t="s">
        <v>43</v>
      </c>
      <c r="G2707">
        <v>-301.56970000000001</v>
      </c>
      <c r="H2707" s="1">
        <v>-1.018565E-6</v>
      </c>
      <c r="I2707">
        <v>-19.010169999999999</v>
      </c>
      <c r="J2707">
        <v>-299.50470000000001</v>
      </c>
      <c r="K2707">
        <v>1.068187</v>
      </c>
      <c r="L2707">
        <v>-3.1470340000000001</v>
      </c>
      <c r="M2707">
        <v>0.18134610000000001</v>
      </c>
      <c r="N2707">
        <v>0</v>
      </c>
      <c r="O2707">
        <v>-0.98340349999999999</v>
      </c>
      <c r="P2707">
        <v>5.3321880000000002E-2</v>
      </c>
      <c r="Q2707">
        <v>0.160658299999999</v>
      </c>
      <c r="R2707">
        <v>-0.98556849999999996</v>
      </c>
      <c r="S2707">
        <v>-0.38812259999999998</v>
      </c>
      <c r="T2707">
        <v>-0.20487459999999999</v>
      </c>
      <c r="U2707">
        <v>-3.1051639999999998</v>
      </c>
      <c r="V2707">
        <v>0.13138369999999999</v>
      </c>
      <c r="W2707">
        <v>0.1621031</v>
      </c>
      <c r="X2707">
        <v>0.97798819999999997</v>
      </c>
      <c r="Y2707">
        <v>0.30166480000000001</v>
      </c>
      <c r="Z2707">
        <v>6.241696E-2</v>
      </c>
      <c r="AA2707">
        <v>0.95136869999999996</v>
      </c>
      <c r="AB2707">
        <v>31</v>
      </c>
      <c r="AC2707">
        <v>-2.0649999999999902</v>
      </c>
      <c r="AD2707">
        <v>-1.0681880185649999</v>
      </c>
      <c r="AE2707">
        <v>-15.863136000000001</v>
      </c>
      <c r="AF2707">
        <v>4.88573790176644</v>
      </c>
      <c r="AG2707">
        <v>-1.0681880185649999</v>
      </c>
      <c r="AH2707">
        <v>15.1580340168571</v>
      </c>
      <c r="AI2707">
        <v>93.837200887380206</v>
      </c>
      <c r="AJ2707">
        <v>72.134829481725205</v>
      </c>
      <c r="AK2707">
        <v>15.9617497707476</v>
      </c>
      <c r="AL2707">
        <v>80.671011254864993</v>
      </c>
      <c r="AM2707">
        <v>82.348649807218493</v>
      </c>
      <c r="AN2707">
        <v>1.00000000549727</v>
      </c>
    </row>
    <row r="2708" spans="1:40" x14ac:dyDescent="0.3">
      <c r="A2708" t="str">
        <f>"20200111150901211"</f>
        <v>20200111150901211</v>
      </c>
      <c r="B2708" t="str">
        <f>"1578726541206084"</f>
        <v>1578726541206084</v>
      </c>
      <c r="C2708" t="s">
        <v>40</v>
      </c>
      <c r="D2708">
        <v>5.5148080000000004</v>
      </c>
      <c r="E2708">
        <v>0.56830080000000005</v>
      </c>
      <c r="F2708" t="s">
        <v>43</v>
      </c>
      <c r="G2708">
        <v>-301.47910000000002</v>
      </c>
      <c r="H2708" s="1">
        <v>-1.29241E-6</v>
      </c>
      <c r="I2708">
        <v>-18.3156</v>
      </c>
      <c r="J2708">
        <v>-299.4599</v>
      </c>
      <c r="K2708">
        <v>1.0711569999999999</v>
      </c>
      <c r="L2708">
        <v>-3.4526370000000002</v>
      </c>
      <c r="M2708">
        <v>0.16775619999999999</v>
      </c>
      <c r="N2708">
        <v>0</v>
      </c>
      <c r="O2708">
        <v>-0.98581229999999997</v>
      </c>
      <c r="P2708">
        <v>4.0443569999999998E-2</v>
      </c>
      <c r="Q2708">
        <v>0.1592567</v>
      </c>
      <c r="R2708">
        <v>-0.98640839999999996</v>
      </c>
      <c r="S2708">
        <v>-0.4036865</v>
      </c>
      <c r="T2708">
        <v>-0.21840270000000001</v>
      </c>
      <c r="U2708">
        <v>-3.1013790000000001</v>
      </c>
      <c r="V2708">
        <v>0.1305972</v>
      </c>
      <c r="W2708">
        <v>0.160874499999999</v>
      </c>
      <c r="X2708">
        <v>0.97829630000000001</v>
      </c>
      <c r="Y2708">
        <v>0.29329850000000002</v>
      </c>
      <c r="Z2708">
        <v>6.6923129999999997E-2</v>
      </c>
      <c r="AA2708">
        <v>0.95367570000000002</v>
      </c>
      <c r="AB2708">
        <v>31</v>
      </c>
      <c r="AC2708">
        <v>-2.0192000000000099</v>
      </c>
      <c r="AD2708">
        <v>-1.0711582924099901</v>
      </c>
      <c r="AE2708">
        <v>-14.862963000000001</v>
      </c>
      <c r="AF2708">
        <v>4.4612266474852396</v>
      </c>
      <c r="AG2708">
        <v>-1.0711582924099901</v>
      </c>
      <c r="AH2708">
        <v>14.240960994956501</v>
      </c>
      <c r="AI2708">
        <v>94.1054870790054</v>
      </c>
      <c r="AJ2708">
        <v>72.605935127607793</v>
      </c>
      <c r="AK2708">
        <v>14.9617810887442</v>
      </c>
      <c r="AL2708">
        <v>80.742340497597496</v>
      </c>
      <c r="AM2708">
        <v>82.396282534435898</v>
      </c>
      <c r="AN2708">
        <v>0.99999994199588804</v>
      </c>
    </row>
    <row r="2709" spans="1:40" x14ac:dyDescent="0.3">
      <c r="A2709" t="str">
        <f>"20200111150901253"</f>
        <v>20200111150901253</v>
      </c>
      <c r="B2709" t="str">
        <f>"1578726541246101"</f>
        <v>1578726541246101</v>
      </c>
      <c r="C2709" t="s">
        <v>40</v>
      </c>
      <c r="D2709">
        <v>5.8779149999999998</v>
      </c>
      <c r="E2709">
        <v>0.54267969999999999</v>
      </c>
      <c r="F2709" t="s">
        <v>43</v>
      </c>
      <c r="G2709">
        <v>-301.4436</v>
      </c>
      <c r="H2709" s="1">
        <v>-1.4879730000000001E-6</v>
      </c>
      <c r="I2709">
        <v>-17.83774</v>
      </c>
      <c r="J2709">
        <v>-299.38459999999998</v>
      </c>
      <c r="K2709">
        <v>1.077032</v>
      </c>
      <c r="L2709">
        <v>-4.0531620000000004</v>
      </c>
      <c r="M2709">
        <v>0.14113970000000001</v>
      </c>
      <c r="N2709">
        <v>0</v>
      </c>
      <c r="O2709">
        <v>-0.98996910000000005</v>
      </c>
      <c r="P2709">
        <v>1.9446000000000001E-2</v>
      </c>
      <c r="Q2709">
        <v>0.15281139999999999</v>
      </c>
      <c r="R2709">
        <v>-0.9880641</v>
      </c>
      <c r="S2709">
        <v>-0.42694090000000001</v>
      </c>
      <c r="T2709">
        <v>-0.23054269999999999</v>
      </c>
      <c r="U2709">
        <v>-3.096069</v>
      </c>
      <c r="V2709">
        <v>0.1248398</v>
      </c>
      <c r="W2709">
        <v>0.15546789999999999</v>
      </c>
      <c r="X2709">
        <v>0.97992080000000004</v>
      </c>
      <c r="Y2709">
        <v>0.27469769999999999</v>
      </c>
      <c r="Z2709">
        <v>7.1374610000000005E-2</v>
      </c>
      <c r="AA2709">
        <v>0.95887789999999995</v>
      </c>
      <c r="AB2709">
        <v>32</v>
      </c>
      <c r="AC2709">
        <v>-2.0590000000000201</v>
      </c>
      <c r="AD2709">
        <v>-1.0770334879729999</v>
      </c>
      <c r="AE2709">
        <v>-13.784578</v>
      </c>
      <c r="AF2709">
        <v>3.9603294159405098</v>
      </c>
      <c r="AG2709">
        <v>-1.0770334879729999</v>
      </c>
      <c r="AH2709">
        <v>13.2766892380843</v>
      </c>
      <c r="AI2709">
        <v>94.445083608352306</v>
      </c>
      <c r="AJ2709">
        <v>73.390581879574597</v>
      </c>
      <c r="AK2709">
        <v>13.8965710641741</v>
      </c>
      <c r="AL2709">
        <v>81.05606616211</v>
      </c>
      <c r="AM2709">
        <v>82.739750946423698</v>
      </c>
      <c r="AN2709">
        <v>1.0000000089335399</v>
      </c>
    </row>
    <row r="2710" spans="1:40" x14ac:dyDescent="0.3">
      <c r="A2710" t="str">
        <f>"20200111150901275"</f>
        <v>20200111150901275</v>
      </c>
      <c r="B2710" t="str">
        <f>"1578726541266596"</f>
        <v>1578726541266596</v>
      </c>
      <c r="C2710" t="s">
        <v>40</v>
      </c>
      <c r="D2710">
        <v>5.5234480000000001</v>
      </c>
      <c r="E2710">
        <v>0.54663189999999995</v>
      </c>
      <c r="F2710" t="s">
        <v>41</v>
      </c>
      <c r="G2710">
        <v>-299.46120000000002</v>
      </c>
      <c r="H2710">
        <v>0.98539560000000004</v>
      </c>
      <c r="I2710">
        <v>-4.870368</v>
      </c>
      <c r="J2710">
        <v>-299.35309999999998</v>
      </c>
      <c r="K2710">
        <v>1.079718</v>
      </c>
      <c r="L2710">
        <v>-4.3528440000000002</v>
      </c>
      <c r="M2710">
        <v>0.12801489999999999</v>
      </c>
      <c r="N2710">
        <v>0</v>
      </c>
      <c r="O2710">
        <v>-0.99174850000000003</v>
      </c>
      <c r="P2710">
        <v>1.116985E-2</v>
      </c>
      <c r="Q2710">
        <v>0.14908299999999999</v>
      </c>
      <c r="R2710">
        <v>-0.98876189999999997</v>
      </c>
      <c r="S2710">
        <v>-0.28979490000000002</v>
      </c>
      <c r="T2710">
        <v>-0.34680929999999999</v>
      </c>
      <c r="U2710">
        <v>-3.0955810000000001</v>
      </c>
      <c r="V2710">
        <v>0.1199667</v>
      </c>
      <c r="W2710">
        <v>0.15244540000000001</v>
      </c>
      <c r="X2710">
        <v>0.98100379999999998</v>
      </c>
      <c r="Y2710">
        <v>0.21933859999999999</v>
      </c>
      <c r="Z2710">
        <v>0.10837140000000001</v>
      </c>
      <c r="AA2710">
        <v>0.96961140000000001</v>
      </c>
      <c r="AB2710">
        <v>32</v>
      </c>
      <c r="AC2710">
        <v>-0.108100000000035</v>
      </c>
      <c r="AD2710">
        <v>-9.4322399999999904E-2</v>
      </c>
      <c r="AE2710">
        <v>-0.51752399999999898</v>
      </c>
      <c r="AF2710">
        <v>0.16811205546468999</v>
      </c>
      <c r="AG2710">
        <v>-9.4322399999999904E-2</v>
      </c>
      <c r="AH2710">
        <v>0.484021130593634</v>
      </c>
      <c r="AI2710">
        <v>100.430525147796</v>
      </c>
      <c r="AJ2710">
        <v>70.846669214357306</v>
      </c>
      <c r="AK2710">
        <v>0.52099408172786699</v>
      </c>
      <c r="AL2710">
        <v>81.231332526182797</v>
      </c>
      <c r="AM2710">
        <v>83.027931723157195</v>
      </c>
      <c r="AN2710">
        <v>1.00000003235224</v>
      </c>
    </row>
    <row r="2711" spans="1:40" x14ac:dyDescent="0.3">
      <c r="A2711" t="str">
        <f>"20200111150901298"</f>
        <v>20200111150901298</v>
      </c>
      <c r="B2711" t="str">
        <f>"1578726541286116"</f>
        <v>1578726541286116</v>
      </c>
      <c r="C2711" t="s">
        <v>40</v>
      </c>
      <c r="D2711">
        <v>5.5465460000000002</v>
      </c>
      <c r="E2711">
        <v>0.54622910000000002</v>
      </c>
      <c r="F2711" t="s">
        <v>43</v>
      </c>
      <c r="G2711">
        <v>-300.52100000000002</v>
      </c>
      <c r="H2711" s="1">
        <v>-2.5934809999999999E-6</v>
      </c>
      <c r="I2711">
        <v>-14.68857</v>
      </c>
      <c r="J2711">
        <v>-299.32249999999999</v>
      </c>
      <c r="K2711">
        <v>1.082436</v>
      </c>
      <c r="L2711">
        <v>-4.6875309999999999</v>
      </c>
      <c r="M2711">
        <v>0.11352660000000001</v>
      </c>
      <c r="N2711">
        <v>0</v>
      </c>
      <c r="O2711">
        <v>-0.99350669999999996</v>
      </c>
      <c r="P2711">
        <v>7.9910219999999995E-4</v>
      </c>
      <c r="Q2711">
        <v>0.14530009999999999</v>
      </c>
      <c r="R2711">
        <v>-0.98938729999999997</v>
      </c>
      <c r="S2711">
        <v>-0.34878540000000002</v>
      </c>
      <c r="T2711">
        <v>-0.32244869999999998</v>
      </c>
      <c r="U2711">
        <v>-3.0866699999999998</v>
      </c>
      <c r="V2711">
        <v>0.1158449</v>
      </c>
      <c r="W2711">
        <v>0.149423</v>
      </c>
      <c r="X2711">
        <v>0.98196369999999999</v>
      </c>
      <c r="Y2711">
        <v>0.22378020000000001</v>
      </c>
      <c r="Z2711">
        <v>0.1012536</v>
      </c>
      <c r="AA2711">
        <v>0.96936580000000006</v>
      </c>
      <c r="AB2711">
        <v>32</v>
      </c>
      <c r="AC2711">
        <v>-1.1984999999999599</v>
      </c>
      <c r="AD2711">
        <v>-1.0824385934809999</v>
      </c>
      <c r="AE2711">
        <v>-10.001039</v>
      </c>
      <c r="AF2711">
        <v>2.2996101054045601</v>
      </c>
      <c r="AG2711">
        <v>-1.0824385934809999</v>
      </c>
      <c r="AH2711">
        <v>9.6884264440259198</v>
      </c>
      <c r="AI2711">
        <v>96.203963584384496</v>
      </c>
      <c r="AJ2711">
        <v>76.647569703707703</v>
      </c>
      <c r="AK2711">
        <v>10.0162611241339</v>
      </c>
      <c r="AL2711">
        <v>81.406509866887504</v>
      </c>
      <c r="AM2711">
        <v>83.271761255502994</v>
      </c>
      <c r="AN2711">
        <v>0.99999999095134995</v>
      </c>
    </row>
    <row r="2712" spans="1:40" x14ac:dyDescent="0.3">
      <c r="A2712" t="str">
        <f>"20200111150901321"</f>
        <v>20200111150901321</v>
      </c>
      <c r="B2712" t="str">
        <f>"1578726541316372"</f>
        <v>1578726541316372</v>
      </c>
      <c r="C2712" t="s">
        <v>40</v>
      </c>
      <c r="D2712">
        <v>5.5276779999999999</v>
      </c>
      <c r="E2712">
        <v>0.54607550000000005</v>
      </c>
      <c r="F2712" t="s">
        <v>41</v>
      </c>
      <c r="G2712">
        <v>-299.416</v>
      </c>
      <c r="H2712">
        <v>1.000283</v>
      </c>
      <c r="I2712">
        <v>-5.4460230000000003</v>
      </c>
      <c r="J2712">
        <v>-299.29790000000003</v>
      </c>
      <c r="K2712">
        <v>1.084738</v>
      </c>
      <c r="L2712">
        <v>-5.0082399999999998</v>
      </c>
      <c r="M2712">
        <v>9.9822610000000006E-2</v>
      </c>
      <c r="N2712">
        <v>0</v>
      </c>
      <c r="O2712">
        <v>-0.99497259999999998</v>
      </c>
      <c r="P2712">
        <v>-9.2597559999999992E-3</v>
      </c>
      <c r="Q2712">
        <v>0.143266899999999</v>
      </c>
      <c r="R2712">
        <v>-0.98964110000000005</v>
      </c>
      <c r="S2712">
        <v>-0.37924190000000002</v>
      </c>
      <c r="T2712">
        <v>-0.3331614</v>
      </c>
      <c r="U2712">
        <v>-3.0814210000000002</v>
      </c>
      <c r="V2712">
        <v>0.11223900000000001</v>
      </c>
      <c r="W2712">
        <v>0.14808850000000001</v>
      </c>
      <c r="X2712">
        <v>0.98258449999999997</v>
      </c>
      <c r="Y2712">
        <v>0.21993489999999999</v>
      </c>
      <c r="Z2712">
        <v>0.1049781</v>
      </c>
      <c r="AA2712">
        <v>0.96984959999999998</v>
      </c>
      <c r="AB2712">
        <v>32</v>
      </c>
      <c r="AC2712">
        <v>-0.11809999999996899</v>
      </c>
      <c r="AD2712">
        <v>-8.4454999999999905E-2</v>
      </c>
      <c r="AE2712">
        <v>-0.43778299999999998</v>
      </c>
      <c r="AF2712">
        <v>0.15580695070241701</v>
      </c>
      <c r="AG2712">
        <v>-8.4454999999999905E-2</v>
      </c>
      <c r="AH2712">
        <v>0.409597224843886</v>
      </c>
      <c r="AI2712">
        <v>100.90821545840799</v>
      </c>
      <c r="AJ2712">
        <v>69.173653632684406</v>
      </c>
      <c r="AK2712">
        <v>0.44629400568683197</v>
      </c>
      <c r="AL2712">
        <v>81.483831865005996</v>
      </c>
      <c r="AM2712">
        <v>83.483442980716504</v>
      </c>
      <c r="AN2712">
        <v>1.0000000482967399</v>
      </c>
    </row>
    <row r="2713" spans="1:40" x14ac:dyDescent="0.3">
      <c r="A2713" t="str">
        <f>"20200111150901344"</f>
        <v>20200111150901344</v>
      </c>
      <c r="B2713" t="str">
        <f>"1578726541336868"</f>
        <v>1578726541336868</v>
      </c>
      <c r="C2713" t="s">
        <v>40</v>
      </c>
      <c r="D2713">
        <v>5.5586769999999897</v>
      </c>
      <c r="E2713">
        <v>0.54562069999999996</v>
      </c>
      <c r="F2713" t="s">
        <v>43</v>
      </c>
      <c r="G2713">
        <v>-300.66860000000003</v>
      </c>
      <c r="H2713" s="1">
        <v>-2.384338E-6</v>
      </c>
      <c r="I2713">
        <v>-15.267609999999999</v>
      </c>
      <c r="J2713">
        <v>-299.27749999999997</v>
      </c>
      <c r="K2713">
        <v>1.0868409999999999</v>
      </c>
      <c r="L2713">
        <v>-5.3414000000000001</v>
      </c>
      <c r="M2713">
        <v>8.5734350000000001E-2</v>
      </c>
      <c r="N2713">
        <v>0</v>
      </c>
      <c r="O2713">
        <v>-0.99628070000000002</v>
      </c>
      <c r="P2713">
        <v>-1.9970999999999999E-2</v>
      </c>
      <c r="Q2713">
        <v>0.14245759999999999</v>
      </c>
      <c r="R2713">
        <v>-0.98959960000000002</v>
      </c>
      <c r="S2713">
        <v>-0.41076659999999998</v>
      </c>
      <c r="T2713">
        <v>-0.3250844</v>
      </c>
      <c r="U2713">
        <v>-3.0746150000000001</v>
      </c>
      <c r="V2713">
        <v>0.1089391</v>
      </c>
      <c r="W2713">
        <v>0.14795839999999999</v>
      </c>
      <c r="X2713">
        <v>0.98297540000000005</v>
      </c>
      <c r="Y2713">
        <v>0.21620700000000001</v>
      </c>
      <c r="Z2713">
        <v>0.1028678</v>
      </c>
      <c r="AA2713">
        <v>0.97091340000000004</v>
      </c>
      <c r="AB2713">
        <v>32</v>
      </c>
      <c r="AC2713">
        <v>-1.39110000000005</v>
      </c>
      <c r="AD2713">
        <v>-1.0868433843380001</v>
      </c>
      <c r="AE2713">
        <v>-9.9262099999999993</v>
      </c>
      <c r="AF2713">
        <v>2.2110299653541299</v>
      </c>
      <c r="AG2713">
        <v>-1.0868433843380001</v>
      </c>
      <c r="AH2713">
        <v>9.6568481002157096</v>
      </c>
      <c r="AI2713">
        <v>96.260741698580901</v>
      </c>
      <c r="AJ2713">
        <v>77.103853265080701</v>
      </c>
      <c r="AK2713">
        <v>9.9661726495386809</v>
      </c>
      <c r="AL2713">
        <v>81.491368888242107</v>
      </c>
      <c r="AM2713">
        <v>83.675952788857401</v>
      </c>
      <c r="AN2713">
        <v>1.0000000263222599</v>
      </c>
    </row>
    <row r="2714" spans="1:40" x14ac:dyDescent="0.3">
      <c r="A2714" t="str">
        <f>"20200111150901382"</f>
        <v>20200111150901382</v>
      </c>
      <c r="B2714" t="str">
        <f>"1578726541376884"</f>
        <v>1578726541376884</v>
      </c>
      <c r="C2714" t="s">
        <v>40</v>
      </c>
      <c r="D2714">
        <v>5.5291709999999998</v>
      </c>
      <c r="E2714">
        <v>0.54421609999999998</v>
      </c>
      <c r="F2714" t="s">
        <v>41</v>
      </c>
      <c r="G2714">
        <v>-299.41579999999999</v>
      </c>
      <c r="H2714">
        <v>0.98352980000000001</v>
      </c>
      <c r="I2714">
        <v>-6.3004389999999999</v>
      </c>
      <c r="J2714">
        <v>-299.25360000000001</v>
      </c>
      <c r="K2714">
        <v>1.089753</v>
      </c>
      <c r="L2714">
        <v>-5.8955989999999998</v>
      </c>
      <c r="M2714">
        <v>6.24911999999999E-2</v>
      </c>
      <c r="N2714">
        <v>0</v>
      </c>
      <c r="O2714">
        <v>-0.9980002</v>
      </c>
      <c r="P2714">
        <v>-4.1325470000000003E-2</v>
      </c>
      <c r="Q2714">
        <v>0.1407389</v>
      </c>
      <c r="R2714">
        <v>-0.9891839</v>
      </c>
      <c r="S2714">
        <v>-0.44219969999999997</v>
      </c>
      <c r="T2714">
        <v>-0.33026539999999999</v>
      </c>
      <c r="U2714">
        <v>-3.07016</v>
      </c>
      <c r="V2714">
        <v>0.10720059999999999</v>
      </c>
      <c r="W2714">
        <v>0.14717169999999999</v>
      </c>
      <c r="X2714">
        <v>0.98328450000000001</v>
      </c>
      <c r="Y2714">
        <v>0.20334430000000001</v>
      </c>
      <c r="Z2714">
        <v>0.104988</v>
      </c>
      <c r="AA2714">
        <v>0.97346220000000006</v>
      </c>
      <c r="AB2714">
        <v>32</v>
      </c>
      <c r="AC2714">
        <v>-0.162199999999984</v>
      </c>
      <c r="AD2714">
        <v>-0.106223199999999</v>
      </c>
      <c r="AE2714">
        <v>-0.40483999999999998</v>
      </c>
      <c r="AF2714">
        <v>0.176700729060775</v>
      </c>
      <c r="AG2714">
        <v>-0.106223199999999</v>
      </c>
      <c r="AH2714">
        <v>0.37185294479367498</v>
      </c>
      <c r="AI2714">
        <v>104.467392992062</v>
      </c>
      <c r="AJ2714">
        <v>64.583409406599102</v>
      </c>
      <c r="AK2714">
        <v>0.425183640819561</v>
      </c>
      <c r="AL2714">
        <v>81.536941689864705</v>
      </c>
      <c r="AM2714">
        <v>83.778017607352297</v>
      </c>
      <c r="AN2714">
        <v>0.99999994293074801</v>
      </c>
    </row>
    <row r="2715" spans="1:40" x14ac:dyDescent="0.3">
      <c r="A2715" t="str">
        <f>"20200111150901410"</f>
        <v>20200111150901410</v>
      </c>
      <c r="B2715" t="str">
        <f>"1578726541406164"</f>
        <v>1578726541406164</v>
      </c>
      <c r="C2715" t="s">
        <v>40</v>
      </c>
      <c r="D2715">
        <v>5.4992299999999998</v>
      </c>
      <c r="E2715">
        <v>0.54319619999999902</v>
      </c>
      <c r="F2715" t="s">
        <v>41</v>
      </c>
      <c r="G2715">
        <v>-299.41149999999999</v>
      </c>
      <c r="H2715">
        <v>0.98488909999999996</v>
      </c>
      <c r="I2715">
        <v>-6.8644470000000002</v>
      </c>
      <c r="J2715">
        <v>-299.24489999999997</v>
      </c>
      <c r="K2715">
        <v>1.091415</v>
      </c>
      <c r="L2715">
        <v>-6.2864690000000003</v>
      </c>
      <c r="M2715">
        <v>4.6190059999999998E-2</v>
      </c>
      <c r="N2715">
        <v>0</v>
      </c>
      <c r="O2715">
        <v>-0.99888209999999999</v>
      </c>
      <c r="P2715">
        <v>-5.6182120000000002E-2</v>
      </c>
      <c r="Q2715">
        <v>0.14017260000000001</v>
      </c>
      <c r="R2715">
        <v>-0.98853179999999996</v>
      </c>
      <c r="S2715">
        <v>-0.49810789999999999</v>
      </c>
      <c r="T2715">
        <v>-0.33053650000000001</v>
      </c>
      <c r="U2715">
        <v>-3.059021</v>
      </c>
      <c r="V2715">
        <v>0.105903399999999</v>
      </c>
      <c r="W2715">
        <v>0.1471915</v>
      </c>
      <c r="X2715">
        <v>0.98342220000000002</v>
      </c>
      <c r="Y2715">
        <v>0.2052368</v>
      </c>
      <c r="Z2715">
        <v>0.105425</v>
      </c>
      <c r="AA2715">
        <v>0.97301769999999999</v>
      </c>
      <c r="AB2715">
        <v>32</v>
      </c>
      <c r="AC2715">
        <v>-0.16660000000001601</v>
      </c>
      <c r="AD2715">
        <v>-0.10652590000000001</v>
      </c>
      <c r="AE2715">
        <v>-0.57797799999999899</v>
      </c>
      <c r="AF2715">
        <v>0.18724760649327199</v>
      </c>
      <c r="AG2715">
        <v>-0.10652590000000001</v>
      </c>
      <c r="AH2715">
        <v>0.55234199794399697</v>
      </c>
      <c r="AI2715">
        <v>100.35108022734801</v>
      </c>
      <c r="AJ2715">
        <v>71.272999752075705</v>
      </c>
      <c r="AK2715">
        <v>0.59286686212086104</v>
      </c>
      <c r="AL2715">
        <v>81.535795618151198</v>
      </c>
      <c r="AM2715">
        <v>83.853582032100604</v>
      </c>
      <c r="AN2715">
        <v>1.00000004562832</v>
      </c>
    </row>
    <row r="2716" spans="1:40" x14ac:dyDescent="0.3">
      <c r="A2716" t="str">
        <f>"20200111150901430"</f>
        <v>20200111150901430</v>
      </c>
      <c r="B2716" t="str">
        <f>"1578726541426660"</f>
        <v>1578726541426660</v>
      </c>
      <c r="C2716" t="s">
        <v>40</v>
      </c>
      <c r="D2716">
        <v>5.382638</v>
      </c>
      <c r="E2716">
        <v>0.54103900000000005</v>
      </c>
      <c r="F2716" t="s">
        <v>41</v>
      </c>
      <c r="G2716">
        <v>-299.39710000000002</v>
      </c>
      <c r="H2716">
        <v>0.99723399999999995</v>
      </c>
      <c r="I2716">
        <v>-7.151484</v>
      </c>
      <c r="J2716">
        <v>-299.24250000000001</v>
      </c>
      <c r="K2716">
        <v>1.0925100000000001</v>
      </c>
      <c r="L2716">
        <v>-6.5856630000000003</v>
      </c>
      <c r="M2716">
        <v>3.3734689999999998E-2</v>
      </c>
      <c r="N2716">
        <v>0</v>
      </c>
      <c r="O2716">
        <v>-0.99937640000000005</v>
      </c>
      <c r="P2716">
        <v>-6.5687019999999999E-2</v>
      </c>
      <c r="Q2716">
        <v>0.13930890000000001</v>
      </c>
      <c r="R2716">
        <v>-0.98806799999999995</v>
      </c>
      <c r="S2716">
        <v>-0.53671259999999998</v>
      </c>
      <c r="T2716">
        <v>-0.33222010000000002</v>
      </c>
      <c r="U2716">
        <v>-3.0514220000000001</v>
      </c>
      <c r="V2716">
        <v>0.1030794</v>
      </c>
      <c r="W2716">
        <v>0.14679059999999999</v>
      </c>
      <c r="X2716">
        <v>0.98378209999999999</v>
      </c>
      <c r="Y2716">
        <v>0.20537610000000001</v>
      </c>
      <c r="Z2716">
        <v>0.1061819</v>
      </c>
      <c r="AA2716">
        <v>0.97290600000000005</v>
      </c>
      <c r="AB2716">
        <v>32</v>
      </c>
      <c r="AC2716">
        <v>-0.154600000000016</v>
      </c>
      <c r="AD2716">
        <v>-9.5276E-2</v>
      </c>
      <c r="AE2716">
        <v>-0.56582099999999902</v>
      </c>
      <c r="AF2716">
        <v>0.16913829482090301</v>
      </c>
      <c r="AG2716">
        <v>-9.5276E-2</v>
      </c>
      <c r="AH2716">
        <v>0.54588075899408695</v>
      </c>
      <c r="AI2716">
        <v>99.465124208229994</v>
      </c>
      <c r="AJ2716">
        <v>72.784678735303601</v>
      </c>
      <c r="AK2716">
        <v>0.579371281641473</v>
      </c>
      <c r="AL2716">
        <v>81.559017618914496</v>
      </c>
      <c r="AM2716">
        <v>84.018449175738397</v>
      </c>
      <c r="AN2716">
        <v>1.00000003161656</v>
      </c>
    </row>
    <row r="2717" spans="1:40" x14ac:dyDescent="0.3">
      <c r="A2717" t="str">
        <f>"20200111150901454"</f>
        <v>20200111150901454</v>
      </c>
      <c r="B2717" t="str">
        <f>"1578726541446180"</f>
        <v>1578726541446180</v>
      </c>
      <c r="C2717" t="s">
        <v>40</v>
      </c>
      <c r="D2717">
        <v>7.3806820000000002</v>
      </c>
      <c r="E2717">
        <v>0.54103900000000005</v>
      </c>
      <c r="F2717" t="s">
        <v>41</v>
      </c>
      <c r="G2717">
        <v>-299.39589999999998</v>
      </c>
      <c r="H2717">
        <v>0.99887630000000005</v>
      </c>
      <c r="I2717">
        <v>-7.4352199999999904</v>
      </c>
      <c r="J2717">
        <v>-299.24419999999998</v>
      </c>
      <c r="K2717">
        <v>1.093572</v>
      </c>
      <c r="L2717">
        <v>-6.9261780000000002</v>
      </c>
      <c r="M2717">
        <v>1.9577210000000001E-2</v>
      </c>
      <c r="N2717">
        <v>0</v>
      </c>
      <c r="O2717">
        <v>-0.99974980000000002</v>
      </c>
      <c r="P2717">
        <v>-7.584225E-2</v>
      </c>
      <c r="Q2717">
        <v>0.1383007</v>
      </c>
      <c r="R2717">
        <v>-0.98748199999999997</v>
      </c>
      <c r="S2717">
        <v>-0.55010990000000004</v>
      </c>
      <c r="T2717">
        <v>-0.33546419999999999</v>
      </c>
      <c r="U2717">
        <v>-3.046967</v>
      </c>
      <c r="V2717">
        <v>9.9232119999999993E-2</v>
      </c>
      <c r="W2717">
        <v>0.14628740000000001</v>
      </c>
      <c r="X2717">
        <v>0.98425249999999997</v>
      </c>
      <c r="Y2717">
        <v>0.1958732</v>
      </c>
      <c r="Z2717">
        <v>0.107485999999999</v>
      </c>
      <c r="AA2717">
        <v>0.9747207</v>
      </c>
      <c r="AB2717">
        <v>31</v>
      </c>
      <c r="AC2717">
        <v>-0.151700000000005</v>
      </c>
      <c r="AD2717">
        <v>-9.4695699999999897E-2</v>
      </c>
      <c r="AE2717">
        <v>-0.509041999999999</v>
      </c>
      <c r="AF2717">
        <v>0.156657997143543</v>
      </c>
      <c r="AG2717">
        <v>-9.4695699999999897E-2</v>
      </c>
      <c r="AH2717">
        <v>0.490388166081066</v>
      </c>
      <c r="AI2717">
        <v>100.422785710074</v>
      </c>
      <c r="AJ2717">
        <v>72.283547660293706</v>
      </c>
      <c r="AK2717">
        <v>0.52344011796944601</v>
      </c>
      <c r="AL2717">
        <v>81.588163222802294</v>
      </c>
      <c r="AM2717">
        <v>84.242905791404695</v>
      </c>
      <c r="AN2717">
        <v>1.0000000003973499</v>
      </c>
    </row>
    <row r="2718" spans="1:40" x14ac:dyDescent="0.3">
      <c r="A2718" t="str">
        <f>"20200111150901476"</f>
        <v>20200111150901476</v>
      </c>
      <c r="B2718" t="str">
        <f>"1578726541466676"</f>
        <v>1578726541466676</v>
      </c>
      <c r="C2718" t="s">
        <v>40</v>
      </c>
      <c r="D2718">
        <v>5.5595350000000003</v>
      </c>
      <c r="E2718">
        <v>0.49817440000000002</v>
      </c>
      <c r="F2718" t="s">
        <v>41</v>
      </c>
      <c r="G2718">
        <v>-299.39659999999998</v>
      </c>
      <c r="H2718">
        <v>1.005036</v>
      </c>
      <c r="I2718">
        <v>-7.7221359999999999</v>
      </c>
      <c r="J2718">
        <v>-299.25020000000001</v>
      </c>
      <c r="K2718">
        <v>1.0944100000000001</v>
      </c>
      <c r="L2718">
        <v>-7.2435299999999998</v>
      </c>
      <c r="M2718">
        <v>6.3909179999999998E-3</v>
      </c>
      <c r="N2718">
        <v>0</v>
      </c>
      <c r="O2718">
        <v>-0.99991730000000001</v>
      </c>
      <c r="P2718">
        <v>-8.3792839999999993E-2</v>
      </c>
      <c r="Q2718">
        <v>0.1371589</v>
      </c>
      <c r="R2718">
        <v>-0.9869985</v>
      </c>
      <c r="S2718">
        <v>-0.58206179999999996</v>
      </c>
      <c r="T2718">
        <v>-0.33833429999999998</v>
      </c>
      <c r="U2718">
        <v>-3.0407099999999998</v>
      </c>
      <c r="V2718">
        <v>9.4142950000000003E-2</v>
      </c>
      <c r="W2718">
        <v>0.14562269999999999</v>
      </c>
      <c r="X2718">
        <v>0.98485080000000003</v>
      </c>
      <c r="Y2718">
        <v>0.19317119999999999</v>
      </c>
      <c r="Z2718">
        <v>0.1085671</v>
      </c>
      <c r="AA2718">
        <v>0.97514000000000001</v>
      </c>
      <c r="AB2718">
        <v>31</v>
      </c>
      <c r="AC2718">
        <v>-0.146399999999971</v>
      </c>
      <c r="AD2718">
        <v>-8.9373999999999995E-2</v>
      </c>
      <c r="AE2718">
        <v>-0.47860599999999898</v>
      </c>
      <c r="AF2718">
        <v>0.14483742879092101</v>
      </c>
      <c r="AG2718">
        <v>-8.9373999999999995E-2</v>
      </c>
      <c r="AH2718">
        <v>0.462899818864139</v>
      </c>
      <c r="AI2718">
        <v>100.440487468749</v>
      </c>
      <c r="AJ2718">
        <v>72.625540870909006</v>
      </c>
      <c r="AK2718">
        <v>0.493195534204455</v>
      </c>
      <c r="AL2718">
        <v>81.626659826465698</v>
      </c>
      <c r="AM2718">
        <v>84.539625986891096</v>
      </c>
      <c r="AN2718">
        <v>0.99999998202531604</v>
      </c>
    </row>
    <row r="2719" spans="1:40" x14ac:dyDescent="0.3">
      <c r="A2719" t="str">
        <f>"20200111150901517"</f>
        <v>20200111150901517</v>
      </c>
      <c r="B2719" t="str">
        <f>"1578726541506692"</f>
        <v>1578726541506692</v>
      </c>
      <c r="C2719" t="s">
        <v>40</v>
      </c>
      <c r="D2719">
        <v>5.5490089999999999</v>
      </c>
      <c r="E2719">
        <v>0.51578729999999995</v>
      </c>
      <c r="F2719" t="s">
        <v>103</v>
      </c>
      <c r="G2719">
        <v>-305.60390000000001</v>
      </c>
      <c r="H2719">
        <v>26.606179999999998</v>
      </c>
      <c r="I2719">
        <v>-91.564989999999995</v>
      </c>
      <c r="J2719">
        <v>-299.27170000000001</v>
      </c>
      <c r="K2719">
        <v>1.0956220000000001</v>
      </c>
      <c r="L2719">
        <v>-7.8112490000000001</v>
      </c>
      <c r="M2719">
        <v>-1.714131E-2</v>
      </c>
      <c r="N2719">
        <v>0</v>
      </c>
      <c r="O2719">
        <v>-0.99978509999999998</v>
      </c>
      <c r="P2719">
        <v>-9.662693E-2</v>
      </c>
      <c r="Q2719">
        <v>0.13818079999999999</v>
      </c>
      <c r="R2719">
        <v>-0.98568230000000001</v>
      </c>
      <c r="S2719">
        <v>-0.21844479999999999</v>
      </c>
      <c r="T2719">
        <v>0.87712730000000005</v>
      </c>
      <c r="U2719">
        <v>-2.8990779999999998</v>
      </c>
      <c r="V2719">
        <v>8.3786879999999994E-2</v>
      </c>
      <c r="W2719">
        <v>0.1474481</v>
      </c>
      <c r="X2719">
        <v>0.98551449999999996</v>
      </c>
      <c r="Y2719">
        <v>5.4827090000000002E-2</v>
      </c>
      <c r="Z2719">
        <v>-0.28893770000000002</v>
      </c>
      <c r="AA2719">
        <v>0.95577659999999998</v>
      </c>
      <c r="AB2719">
        <v>31</v>
      </c>
      <c r="AC2719">
        <v>-6.3322000000000003</v>
      </c>
      <c r="AD2719">
        <v>25.510558</v>
      </c>
      <c r="AE2719">
        <v>-83.753741000000005</v>
      </c>
      <c r="AF2719">
        <v>4.4820626304771798</v>
      </c>
      <c r="AG2719">
        <v>25.510558</v>
      </c>
      <c r="AH2719">
        <v>76.768277815837706</v>
      </c>
      <c r="AI2719">
        <v>71.647198037750499</v>
      </c>
      <c r="AJ2719">
        <v>86.658618844874496</v>
      </c>
      <c r="AK2719">
        <v>81.0200341502306</v>
      </c>
      <c r="AL2719">
        <v>81.520931002772898</v>
      </c>
      <c r="AM2719">
        <v>85.140489592505105</v>
      </c>
      <c r="AN2719">
        <v>1.0000000065819901</v>
      </c>
    </row>
    <row r="2720" spans="1:40" x14ac:dyDescent="0.3">
      <c r="A2720" t="str">
        <f>"20200111150901547"</f>
        <v>20200111150901547</v>
      </c>
      <c r="B2720" t="str">
        <f>"1578726541535973"</f>
        <v>1578726541535973</v>
      </c>
      <c r="C2720" t="s">
        <v>40</v>
      </c>
      <c r="D2720">
        <v>5.6221930000000002</v>
      </c>
      <c r="E2720">
        <v>0.49721500000000002</v>
      </c>
      <c r="F2720" t="s">
        <v>41</v>
      </c>
      <c r="G2720">
        <v>-299.38670000000002</v>
      </c>
      <c r="H2720">
        <v>1.044411</v>
      </c>
      <c r="I2720">
        <v>-8.6003089999999993</v>
      </c>
      <c r="J2720">
        <v>-299.29730000000001</v>
      </c>
      <c r="K2720">
        <v>1.096366</v>
      </c>
      <c r="L2720">
        <v>-8.2458500000000008</v>
      </c>
      <c r="M2720">
        <v>-3.5063320000000002E-2</v>
      </c>
      <c r="N2720">
        <v>0</v>
      </c>
      <c r="O2720">
        <v>-0.99931320000000001</v>
      </c>
      <c r="P2720">
        <v>-0.1096341</v>
      </c>
      <c r="Q2720">
        <v>0.13865999999999901</v>
      </c>
      <c r="R2720">
        <v>-0.98425280000000004</v>
      </c>
      <c r="S2720">
        <v>-0.4410095</v>
      </c>
      <c r="T2720">
        <v>-0.19587060000000001</v>
      </c>
      <c r="U2720">
        <v>-3.0278019999999999</v>
      </c>
      <c r="V2720">
        <v>7.9124230000000004E-2</v>
      </c>
      <c r="W2720">
        <v>0.14838470000000001</v>
      </c>
      <c r="X2720">
        <v>0.9857593</v>
      </c>
      <c r="Y2720">
        <v>0.10904899999999999</v>
      </c>
      <c r="Z2720">
        <v>6.3967899999999994E-2</v>
      </c>
      <c r="AA2720">
        <v>0.99197599999999997</v>
      </c>
      <c r="AB2720">
        <v>31</v>
      </c>
      <c r="AC2720">
        <v>-8.9400000000011901E-2</v>
      </c>
      <c r="AD2720">
        <v>-5.1954999999999897E-2</v>
      </c>
      <c r="AE2720">
        <v>-0.35445899999999803</v>
      </c>
      <c r="AF2720">
        <v>7.5392726549970798E-2</v>
      </c>
      <c r="AG2720">
        <v>-5.1954999999999897E-2</v>
      </c>
      <c r="AH2720">
        <v>0.35030003264894599</v>
      </c>
      <c r="AI2720">
        <v>98.250137758229698</v>
      </c>
      <c r="AJ2720">
        <v>77.8538919081725</v>
      </c>
      <c r="AK2720">
        <v>0.36206836110807999</v>
      </c>
      <c r="AL2720">
        <v>81.466671109152898</v>
      </c>
      <c r="AM2720">
        <v>85.410861726526605</v>
      </c>
      <c r="AN2720">
        <v>1.0000000302518299</v>
      </c>
    </row>
    <row r="2721" spans="1:40" x14ac:dyDescent="0.3">
      <c r="A2721" t="str">
        <f>"20200111150901573"</f>
        <v>20200111150901573</v>
      </c>
      <c r="B2721" t="str">
        <f>"1578726541566229"</f>
        <v>1578726541566229</v>
      </c>
      <c r="C2721" t="s">
        <v>40</v>
      </c>
      <c r="D2721">
        <v>5.6576380000000004</v>
      </c>
      <c r="E2721">
        <v>0.5092605</v>
      </c>
      <c r="F2721" t="s">
        <v>103</v>
      </c>
      <c r="G2721">
        <v>-306.64530000000002</v>
      </c>
      <c r="H2721">
        <v>13.37046</v>
      </c>
      <c r="I2721">
        <v>-79.671169999999904</v>
      </c>
      <c r="J2721">
        <v>-299.32459999999998</v>
      </c>
      <c r="K2721">
        <v>1.096908</v>
      </c>
      <c r="L2721">
        <v>-8.6094360000000005</v>
      </c>
      <c r="M2721">
        <v>-4.9920340000000001E-2</v>
      </c>
      <c r="N2721">
        <v>0</v>
      </c>
      <c r="O2721">
        <v>-0.99867859999999997</v>
      </c>
      <c r="P2721">
        <v>-0.1194384</v>
      </c>
      <c r="Q2721">
        <v>0.13814689999999999</v>
      </c>
      <c r="R2721">
        <v>-0.98318320000000003</v>
      </c>
      <c r="S2721">
        <v>-0.3027649</v>
      </c>
      <c r="T2721">
        <v>0.50574490000000005</v>
      </c>
      <c r="U2721">
        <v>-2.9430239999999999</v>
      </c>
      <c r="V2721">
        <v>7.4237709999999998E-2</v>
      </c>
      <c r="W2721">
        <v>0.1482465</v>
      </c>
      <c r="X2721">
        <v>0.98616009999999998</v>
      </c>
      <c r="Y2721">
        <v>5.1081059999999998E-2</v>
      </c>
      <c r="Z2721">
        <v>-0.16850850000000001</v>
      </c>
      <c r="AA2721">
        <v>0.98437580000000002</v>
      </c>
      <c r="AB2721">
        <v>31</v>
      </c>
      <c r="AC2721">
        <v>-7.3207000000000404</v>
      </c>
      <c r="AD2721">
        <v>12.273552</v>
      </c>
      <c r="AE2721">
        <v>-71.061733999999902</v>
      </c>
      <c r="AF2721">
        <v>3.6559648813290302</v>
      </c>
      <c r="AG2721">
        <v>12.273552</v>
      </c>
      <c r="AH2721">
        <v>69.293216424146493</v>
      </c>
      <c r="AI2721">
        <v>79.969336408827303</v>
      </c>
      <c r="AJ2721">
        <v>86.979829714973903</v>
      </c>
      <c r="AK2721">
        <v>70.466701358257296</v>
      </c>
      <c r="AL2721">
        <v>81.474677702973693</v>
      </c>
      <c r="AM2721">
        <v>85.694918321485105</v>
      </c>
      <c r="AN2721">
        <v>1.0000000025901501</v>
      </c>
    </row>
    <row r="2722" spans="1:40" x14ac:dyDescent="0.3">
      <c r="A2722" t="str">
        <f>"20200111150901592"</f>
        <v>20200111150901592</v>
      </c>
      <c r="B2722" t="str">
        <f>"1578726541586724"</f>
        <v>1578726541586724</v>
      </c>
      <c r="C2722" t="s">
        <v>40</v>
      </c>
      <c r="D2722">
        <v>5.6468829999999999</v>
      </c>
      <c r="E2722">
        <v>0.49330089999999999</v>
      </c>
      <c r="F2722" t="s">
        <v>41</v>
      </c>
      <c r="G2722">
        <v>-299.45030000000003</v>
      </c>
      <c r="H2722">
        <v>1.0154350000000001</v>
      </c>
      <c r="I2722">
        <v>-9.4319880000000005</v>
      </c>
      <c r="J2722">
        <v>-299.3501</v>
      </c>
      <c r="K2722">
        <v>1.0972900000000001</v>
      </c>
      <c r="L2722">
        <v>-8.8992000000000004</v>
      </c>
      <c r="M2722">
        <v>-6.162811E-2</v>
      </c>
      <c r="N2722">
        <v>0</v>
      </c>
      <c r="O2722">
        <v>-0.99802259999999998</v>
      </c>
      <c r="P2722">
        <v>-0.12582289999999999</v>
      </c>
      <c r="Q2722">
        <v>0.13575960000000001</v>
      </c>
      <c r="R2722">
        <v>-0.98271940000000002</v>
      </c>
      <c r="S2722">
        <v>-0.46362300000000001</v>
      </c>
      <c r="T2722">
        <v>-0.30036210000000002</v>
      </c>
      <c r="U2722">
        <v>-3.037201</v>
      </c>
      <c r="V2722">
        <v>6.8955160000000001E-2</v>
      </c>
      <c r="W2722">
        <v>0.14617550000000001</v>
      </c>
      <c r="X2722">
        <v>0.98685250000000002</v>
      </c>
      <c r="Y2722">
        <v>8.8968229999999995E-2</v>
      </c>
      <c r="Z2722">
        <v>9.7381919999999997E-2</v>
      </c>
      <c r="AA2722">
        <v>0.99126259999999999</v>
      </c>
      <c r="AB2722">
        <v>31</v>
      </c>
      <c r="AC2722">
        <v>-0.100200000000029</v>
      </c>
      <c r="AD2722">
        <v>-8.1854999999999706E-2</v>
      </c>
      <c r="AE2722">
        <v>-0.53278800000000004</v>
      </c>
      <c r="AF2722">
        <v>6.5675057590334499E-2</v>
      </c>
      <c r="AG2722">
        <v>-8.1854999999999706E-2</v>
      </c>
      <c r="AH2722">
        <v>0.52596016977676696</v>
      </c>
      <c r="AI2722">
        <v>98.778859740365107</v>
      </c>
      <c r="AJ2722">
        <v>82.882488048871494</v>
      </c>
      <c r="AK2722">
        <v>0.53632784228128505</v>
      </c>
      <c r="AL2722">
        <v>81.594644064395794</v>
      </c>
      <c r="AM2722">
        <v>86.003021102272299</v>
      </c>
      <c r="AN2722">
        <v>0.99999997382356198</v>
      </c>
    </row>
    <row r="2723" spans="1:40" x14ac:dyDescent="0.3">
      <c r="A2723" t="str">
        <f>"20200111150901613"</f>
        <v>20200111150901613</v>
      </c>
      <c r="B2723" t="str">
        <f>"1578726541606244"</f>
        <v>1578726541606244</v>
      </c>
      <c r="C2723" t="s">
        <v>40</v>
      </c>
      <c r="D2723">
        <v>5.2048870000000003</v>
      </c>
      <c r="E2723">
        <v>0.49902550000000001</v>
      </c>
      <c r="F2723" t="s">
        <v>103</v>
      </c>
      <c r="G2723">
        <v>-307.0231</v>
      </c>
      <c r="H2723">
        <v>14.489369999999999</v>
      </c>
      <c r="I2723">
        <v>-79.671169999999904</v>
      </c>
      <c r="J2723">
        <v>-299.37909999999999</v>
      </c>
      <c r="K2723">
        <v>1.0976669999999999</v>
      </c>
      <c r="L2723">
        <v>-9.1912839999999996</v>
      </c>
      <c r="M2723">
        <v>-7.3237540000000004E-2</v>
      </c>
      <c r="N2723">
        <v>0</v>
      </c>
      <c r="O2723">
        <v>-0.99723629999999996</v>
      </c>
      <c r="P2723">
        <v>-0.1316214</v>
      </c>
      <c r="Q2723">
        <v>0.13077949999999999</v>
      </c>
      <c r="R2723">
        <v>-0.9826357</v>
      </c>
      <c r="S2723">
        <v>-0.3182373</v>
      </c>
      <c r="T2723">
        <v>0.55543790000000004</v>
      </c>
      <c r="U2723">
        <v>-2.9352719999999999</v>
      </c>
      <c r="V2723">
        <v>6.3059000000000004E-2</v>
      </c>
      <c r="W2723">
        <v>0.14151340000000001</v>
      </c>
      <c r="X2723">
        <v>0.98792590000000002</v>
      </c>
      <c r="Y2723">
        <v>3.2823100000000001E-2</v>
      </c>
      <c r="Z2723">
        <v>-0.18461939999999999</v>
      </c>
      <c r="AA2723">
        <v>0.98226179999999996</v>
      </c>
      <c r="AB2723">
        <v>31</v>
      </c>
      <c r="AC2723">
        <v>-7.6440000000000001</v>
      </c>
      <c r="AD2723">
        <v>13.391703</v>
      </c>
      <c r="AE2723">
        <v>-70.479885999999993</v>
      </c>
      <c r="AF2723">
        <v>2.3764922268312798</v>
      </c>
      <c r="AG2723">
        <v>13.391703</v>
      </c>
      <c r="AH2723">
        <v>68.409396882099898</v>
      </c>
      <c r="AI2723">
        <v>78.930456930919107</v>
      </c>
      <c r="AJ2723">
        <v>88.0103867904852</v>
      </c>
      <c r="AK2723">
        <v>69.748340527334804</v>
      </c>
      <c r="AL2723">
        <v>81.864570610734106</v>
      </c>
      <c r="AM2723">
        <v>86.347782995763495</v>
      </c>
      <c r="AN2723">
        <v>1.0000000318756801</v>
      </c>
    </row>
    <row r="2724" spans="1:40" x14ac:dyDescent="0.3">
      <c r="A2724" t="str">
        <f>"20200111150901635"</f>
        <v>20200111150901635</v>
      </c>
      <c r="B2724" t="str">
        <f>"1578726541626742"</f>
        <v>1578726541626742</v>
      </c>
      <c r="C2724" t="s">
        <v>40</v>
      </c>
      <c r="D2724">
        <v>5.7145769999999896</v>
      </c>
      <c r="E2724">
        <v>0.49022909999999997</v>
      </c>
      <c r="F2724" t="s">
        <v>103</v>
      </c>
      <c r="G2724">
        <v>-308.55829999999997</v>
      </c>
      <c r="H2724">
        <v>13.707689999999999</v>
      </c>
      <c r="I2724">
        <v>-79.671169999999904</v>
      </c>
      <c r="J2724">
        <v>-299.41430000000003</v>
      </c>
      <c r="K2724">
        <v>1.0980829999999999</v>
      </c>
      <c r="L2724">
        <v>-9.5092770000000009</v>
      </c>
      <c r="M2724">
        <v>-8.5586880000000004E-2</v>
      </c>
      <c r="N2724">
        <v>0</v>
      </c>
      <c r="O2724">
        <v>-0.996251</v>
      </c>
      <c r="P2724">
        <v>-0.13818320000000001</v>
      </c>
      <c r="Q2724">
        <v>0.1243566</v>
      </c>
      <c r="R2724">
        <v>-0.98256840000000001</v>
      </c>
      <c r="S2724">
        <v>-0.3818665</v>
      </c>
      <c r="T2724">
        <v>0.52459100000000003</v>
      </c>
      <c r="U2724">
        <v>-2.9320369999999998</v>
      </c>
      <c r="V2724">
        <v>5.7101619999999999E-2</v>
      </c>
      <c r="W2724">
        <v>0.13540070000000001</v>
      </c>
      <c r="X2724">
        <v>0.98914409999999997</v>
      </c>
      <c r="Y2724">
        <v>4.181236E-2</v>
      </c>
      <c r="Z2724">
        <v>-0.17437439999999901</v>
      </c>
      <c r="AA2724">
        <v>0.98379130000000004</v>
      </c>
      <c r="AB2724">
        <v>31</v>
      </c>
      <c r="AC2724">
        <v>-9.1439999999999397</v>
      </c>
      <c r="AD2724">
        <v>12.609607</v>
      </c>
      <c r="AE2724">
        <v>-70.161892999999907</v>
      </c>
      <c r="AF2724">
        <v>3.00944700052775</v>
      </c>
      <c r="AG2724">
        <v>12.609607</v>
      </c>
      <c r="AH2724">
        <v>68.511135671859805</v>
      </c>
      <c r="AI2724">
        <v>79.581139927538004</v>
      </c>
      <c r="AJ2724">
        <v>87.484820002102495</v>
      </c>
      <c r="AK2724">
        <v>69.726857601582907</v>
      </c>
      <c r="AL2724">
        <v>82.218208922157899</v>
      </c>
      <c r="AM2724">
        <v>86.6960782331536</v>
      </c>
      <c r="AN2724">
        <v>0.99999999756596203</v>
      </c>
    </row>
    <row r="2725" spans="1:40" x14ac:dyDescent="0.3">
      <c r="A2725" t="str">
        <f>"20200111150901655"</f>
        <v>20200111150901655</v>
      </c>
      <c r="B2725" t="str">
        <f>"1578726541646260"</f>
        <v>1578726541646260</v>
      </c>
      <c r="C2725" t="s">
        <v>40</v>
      </c>
      <c r="D2725">
        <v>5.1145110000000003</v>
      </c>
      <c r="E2725">
        <v>0.49009580000000003</v>
      </c>
      <c r="F2725" t="s">
        <v>103</v>
      </c>
      <c r="G2725">
        <v>-307.33229999999998</v>
      </c>
      <c r="H2725">
        <v>14.07734</v>
      </c>
      <c r="I2725">
        <v>-79.671169999999904</v>
      </c>
      <c r="J2725">
        <v>-299.44720000000001</v>
      </c>
      <c r="K2725">
        <v>1.098455</v>
      </c>
      <c r="L2725">
        <v>-9.7797850000000004</v>
      </c>
      <c r="M2725">
        <v>-9.5781279999999996E-2</v>
      </c>
      <c r="N2725">
        <v>0</v>
      </c>
      <c r="O2725">
        <v>-0.99532180000000003</v>
      </c>
      <c r="P2725">
        <v>-0.14391970000000001</v>
      </c>
      <c r="Q2725">
        <v>0.1183051</v>
      </c>
      <c r="R2725">
        <v>-0.98249240000000004</v>
      </c>
      <c r="S2725">
        <v>-0.33154299999999998</v>
      </c>
      <c r="T2725">
        <v>0.54346569999999905</v>
      </c>
      <c r="U2725">
        <v>-2.937805</v>
      </c>
      <c r="V2725">
        <v>5.2445539999999999E-2</v>
      </c>
      <c r="W2725">
        <v>0.12958119999999901</v>
      </c>
      <c r="X2725">
        <v>0.99018090000000003</v>
      </c>
      <c r="Y2725">
        <v>1.459939E-2</v>
      </c>
      <c r="Z2725">
        <v>-0.18010409999999999</v>
      </c>
      <c r="AA2725">
        <v>0.98353919999999995</v>
      </c>
      <c r="AB2725">
        <v>31</v>
      </c>
      <c r="AC2725">
        <v>-7.8850999999999596</v>
      </c>
      <c r="AD2725">
        <v>12.978885</v>
      </c>
      <c r="AE2725">
        <v>-69.8913849999999</v>
      </c>
      <c r="AF2725">
        <v>1.1160163171452</v>
      </c>
      <c r="AG2725">
        <v>12.978885</v>
      </c>
      <c r="AH2725">
        <v>68.009490333586996</v>
      </c>
      <c r="AI2725">
        <v>79.197046197042596</v>
      </c>
      <c r="AJ2725">
        <v>89.059876997241602</v>
      </c>
      <c r="AK2725">
        <v>69.245849866238402</v>
      </c>
      <c r="AL2725">
        <v>82.554607992876697</v>
      </c>
      <c r="AM2725">
        <v>86.968126863912005</v>
      </c>
      <c r="AN2725">
        <v>1.0000000183920701</v>
      </c>
    </row>
    <row r="2726" spans="1:40" x14ac:dyDescent="0.3">
      <c r="A2726" t="str">
        <f>"20200111150901700"</f>
        <v>20200111150901700</v>
      </c>
      <c r="B2726" t="str">
        <f>"1578726541696036"</f>
        <v>1578726541696036</v>
      </c>
      <c r="C2726" t="s">
        <v>40</v>
      </c>
      <c r="D2726">
        <v>5.6336430000000002</v>
      </c>
      <c r="E2726">
        <v>0.50004700000000002</v>
      </c>
      <c r="F2726" t="s">
        <v>103</v>
      </c>
      <c r="G2726">
        <v>-307.73439999999999</v>
      </c>
      <c r="H2726">
        <v>13.41816</v>
      </c>
      <c r="I2726">
        <v>-79.671169999999904</v>
      </c>
      <c r="J2726">
        <v>-299.53609999999998</v>
      </c>
      <c r="K2726">
        <v>1.099472</v>
      </c>
      <c r="L2726">
        <v>-10.429959999999999</v>
      </c>
      <c r="M2726">
        <v>-0.1188642</v>
      </c>
      <c r="N2726">
        <v>0</v>
      </c>
      <c r="O2726">
        <v>-0.99282840000000006</v>
      </c>
      <c r="P2726">
        <v>-0.1594467</v>
      </c>
      <c r="Q2726">
        <v>0.1092265</v>
      </c>
      <c r="R2726">
        <v>-0.98114559999999995</v>
      </c>
      <c r="S2726">
        <v>-0.34860229999999998</v>
      </c>
      <c r="T2726">
        <v>0.51823260000000004</v>
      </c>
      <c r="U2726">
        <v>-2.9400019999999998</v>
      </c>
      <c r="V2726">
        <v>4.4535249999999998E-2</v>
      </c>
      <c r="W2726">
        <v>0.1209025</v>
      </c>
      <c r="X2726">
        <v>0.99166489999999996</v>
      </c>
      <c r="Y2726">
        <v>-2.885318E-3</v>
      </c>
      <c r="Z2726">
        <v>-0.17118749999999999</v>
      </c>
      <c r="AA2726">
        <v>0.98523430000000001</v>
      </c>
      <c r="AB2726">
        <v>31</v>
      </c>
      <c r="AC2726">
        <v>-8.1983000000000104</v>
      </c>
      <c r="AD2726">
        <v>12.318688</v>
      </c>
      <c r="AE2726">
        <v>-69.241209999999995</v>
      </c>
      <c r="AF2726">
        <v>-8.8054797658029899E-2</v>
      </c>
      <c r="AG2726">
        <v>12.318688</v>
      </c>
      <c r="AH2726">
        <v>67.614277481891406</v>
      </c>
      <c r="AI2726">
        <v>79.674506460955897</v>
      </c>
      <c r="AJ2726">
        <v>90.074616865066901</v>
      </c>
      <c r="AK2726">
        <v>68.727347883407703</v>
      </c>
      <c r="AL2726">
        <v>83.055809001016598</v>
      </c>
      <c r="AM2726">
        <v>87.428598645265694</v>
      </c>
      <c r="AN2726">
        <v>1.00000003844541</v>
      </c>
    </row>
    <row r="2727" spans="1:40" x14ac:dyDescent="0.3">
      <c r="A2727" t="str">
        <f>"20200111150901723"</f>
        <v>20200111150901723</v>
      </c>
      <c r="B2727" t="str">
        <f>"1578726541716532"</f>
        <v>1578726541716532</v>
      </c>
      <c r="C2727" t="s">
        <v>40</v>
      </c>
      <c r="D2727">
        <v>5.7153519999999904</v>
      </c>
      <c r="E2727">
        <v>0.48925580000000002</v>
      </c>
      <c r="F2727" t="s">
        <v>41</v>
      </c>
      <c r="G2727">
        <v>-299.69310000000002</v>
      </c>
      <c r="H2727">
        <v>0.96366039999999997</v>
      </c>
      <c r="I2727">
        <v>-11.384589999999999</v>
      </c>
      <c r="J2727">
        <v>-299.58530000000002</v>
      </c>
      <c r="K2727">
        <v>1.100041</v>
      </c>
      <c r="L2727">
        <v>-10.753270000000001</v>
      </c>
      <c r="M2727">
        <v>-0.12937489999999999</v>
      </c>
      <c r="N2727">
        <v>0</v>
      </c>
      <c r="O2727">
        <v>-0.99151299999999998</v>
      </c>
      <c r="P2727">
        <v>-0.16531989999999999</v>
      </c>
      <c r="Q2727">
        <v>0.1072516</v>
      </c>
      <c r="R2727">
        <v>-0.98039069999999995</v>
      </c>
      <c r="S2727">
        <v>-0.49710080000000001</v>
      </c>
      <c r="T2727">
        <v>-0.42986570000000002</v>
      </c>
      <c r="U2727">
        <v>-3.0247190000000002</v>
      </c>
      <c r="V2727">
        <v>3.9752540000000003E-2</v>
      </c>
      <c r="W2727">
        <v>0.1191083</v>
      </c>
      <c r="X2727">
        <v>0.9920852</v>
      </c>
      <c r="Y2727">
        <v>3.1569960000000001E-2</v>
      </c>
      <c r="Z2727">
        <v>0.1380063</v>
      </c>
      <c r="AA2727">
        <v>0.98992809999999998</v>
      </c>
      <c r="AB2727">
        <v>31</v>
      </c>
      <c r="AC2727">
        <v>-0.107799999999997</v>
      </c>
      <c r="AD2727">
        <v>-0.13638059999999999</v>
      </c>
      <c r="AE2727">
        <v>-0.63131999999999799</v>
      </c>
      <c r="AF2727">
        <v>2.41166507873092E-2</v>
      </c>
      <c r="AG2727">
        <v>-0.13638059999999999</v>
      </c>
      <c r="AH2727">
        <v>0.61220116048976503</v>
      </c>
      <c r="AI2727">
        <v>102.549336639316</v>
      </c>
      <c r="AJ2727">
        <v>87.744094108729001</v>
      </c>
      <c r="AK2727">
        <v>0.62767152381366897</v>
      </c>
      <c r="AL2727">
        <v>83.159357483266703</v>
      </c>
      <c r="AM2727">
        <v>87.705403774131796</v>
      </c>
      <c r="AN2727">
        <v>1.00000004781218</v>
      </c>
    </row>
    <row r="2728" spans="1:40" x14ac:dyDescent="0.3">
      <c r="A2728" t="str">
        <f>"20200111150901746"</f>
        <v>20200111150901746</v>
      </c>
      <c r="B2728" t="str">
        <f>"1578726541737028"</f>
        <v>1578726541737028</v>
      </c>
      <c r="C2728" t="s">
        <v>40</v>
      </c>
      <c r="D2728">
        <v>5.651491</v>
      </c>
      <c r="E2728">
        <v>0.50274779999999997</v>
      </c>
      <c r="F2728" t="s">
        <v>103</v>
      </c>
      <c r="G2728">
        <v>-309.18549999999999</v>
      </c>
      <c r="H2728">
        <v>8.2663569999999993</v>
      </c>
      <c r="I2728">
        <v>-79.671169999999904</v>
      </c>
      <c r="J2728">
        <v>-299.63619999999997</v>
      </c>
      <c r="K2728">
        <v>1.100571</v>
      </c>
      <c r="L2728">
        <v>-11.06967</v>
      </c>
      <c r="M2728">
        <v>-0.1391049</v>
      </c>
      <c r="N2728">
        <v>0</v>
      </c>
      <c r="O2728">
        <v>-0.99019489999999999</v>
      </c>
      <c r="P2728">
        <v>-0.17016199999999901</v>
      </c>
      <c r="Q2728">
        <v>0.1047001</v>
      </c>
      <c r="R2728">
        <v>-0.97983830000000005</v>
      </c>
      <c r="S2728">
        <v>-0.41189579999999998</v>
      </c>
      <c r="T2728">
        <v>0.30747000000000002</v>
      </c>
      <c r="U2728">
        <v>-2.956909</v>
      </c>
      <c r="V2728">
        <v>3.4682629999999999E-2</v>
      </c>
      <c r="W2728">
        <v>0.1167204</v>
      </c>
      <c r="X2728">
        <v>0.99255910000000003</v>
      </c>
      <c r="Y2728">
        <v>-1.878947E-3</v>
      </c>
      <c r="Z2728">
        <v>-0.1014428</v>
      </c>
      <c r="AA2728">
        <v>0.99483960000000005</v>
      </c>
      <c r="AB2728">
        <v>31</v>
      </c>
      <c r="AC2728">
        <v>-9.5493000000000094</v>
      </c>
      <c r="AD2728">
        <v>7.1657859999999998</v>
      </c>
      <c r="AE2728">
        <v>-68.601499999999902</v>
      </c>
      <c r="AF2728">
        <v>-8.6220914365183504E-2</v>
      </c>
      <c r="AG2728">
        <v>7.1657859999999998</v>
      </c>
      <c r="AH2728">
        <v>68.529381481697399</v>
      </c>
      <c r="AI2728">
        <v>84.030555447101506</v>
      </c>
      <c r="AJ2728">
        <v>90.072087209681499</v>
      </c>
      <c r="AK2728">
        <v>68.903062699040305</v>
      </c>
      <c r="AL2728">
        <v>83.297135299384806</v>
      </c>
      <c r="AM2728">
        <v>87.998748745514604</v>
      </c>
      <c r="AN2728">
        <v>1.0000000517963401</v>
      </c>
    </row>
    <row r="2729" spans="1:40" x14ac:dyDescent="0.3">
      <c r="A2729" t="str">
        <f>"20200111150901769"</f>
        <v>20200111150901769</v>
      </c>
      <c r="B2729" t="str">
        <f>"1578726541766310"</f>
        <v>1578726541766310</v>
      </c>
      <c r="C2729" t="s">
        <v>40</v>
      </c>
      <c r="D2729">
        <v>5.2686859999999998</v>
      </c>
      <c r="E2729">
        <v>0.47966009999999998</v>
      </c>
      <c r="F2729" t="s">
        <v>41</v>
      </c>
      <c r="G2729">
        <v>-299.79739999999998</v>
      </c>
      <c r="H2729">
        <v>0.98798330000000001</v>
      </c>
      <c r="I2729">
        <v>-11.955159999999999</v>
      </c>
      <c r="J2729">
        <v>-299.69040000000001</v>
      </c>
      <c r="K2729">
        <v>1.101118</v>
      </c>
      <c r="L2729">
        <v>-11.389950000000001</v>
      </c>
      <c r="M2729">
        <v>-0.1483006</v>
      </c>
      <c r="N2729">
        <v>0</v>
      </c>
      <c r="O2729">
        <v>-0.98885940000000006</v>
      </c>
      <c r="P2729">
        <v>-0.17429259999999999</v>
      </c>
      <c r="Q2729">
        <v>0.1012967</v>
      </c>
      <c r="R2729">
        <v>-0.97946999999999995</v>
      </c>
      <c r="S2729">
        <v>-0.54656979999999999</v>
      </c>
      <c r="T2729">
        <v>-0.38183590000000001</v>
      </c>
      <c r="U2729">
        <v>-3.0075989999999999</v>
      </c>
      <c r="V2729">
        <v>2.9382490000000001E-2</v>
      </c>
      <c r="W2729">
        <v>0.11346820000000001</v>
      </c>
      <c r="X2729">
        <v>0.99310710000000002</v>
      </c>
      <c r="Y2729">
        <v>2.9531350000000001E-2</v>
      </c>
      <c r="Z2729">
        <v>0.1228602</v>
      </c>
      <c r="AA2729">
        <v>0.99198450000000005</v>
      </c>
      <c r="AB2729">
        <v>31</v>
      </c>
      <c r="AC2729">
        <v>-0.10699999999996999</v>
      </c>
      <c r="AD2729">
        <v>-0.1131347</v>
      </c>
      <c r="AE2729">
        <v>-0.56520999999999999</v>
      </c>
      <c r="AF2729">
        <v>2.11699360929361E-2</v>
      </c>
      <c r="AG2729">
        <v>-0.1131347</v>
      </c>
      <c r="AH2729">
        <v>0.55342246652765603</v>
      </c>
      <c r="AI2729">
        <v>101.545419668584</v>
      </c>
      <c r="AJ2729">
        <v>87.809346461353101</v>
      </c>
      <c r="AK2729">
        <v>0.565264586716543</v>
      </c>
      <c r="AL2729">
        <v>83.484719193637005</v>
      </c>
      <c r="AM2729">
        <v>88.3053170120304</v>
      </c>
      <c r="AN2729">
        <v>1.0000000376001199</v>
      </c>
    </row>
    <row r="2730" spans="1:40" x14ac:dyDescent="0.3">
      <c r="A2730" t="str">
        <f>"20200111150901789"</f>
        <v>20200111150901789</v>
      </c>
      <c r="B2730" t="str">
        <f>"1578726541786804"</f>
        <v>1578726541786804</v>
      </c>
      <c r="C2730" t="s">
        <v>40</v>
      </c>
      <c r="D2730">
        <v>5.6592969999999996</v>
      </c>
      <c r="E2730">
        <v>0.49716189999999999</v>
      </c>
      <c r="F2730" t="s">
        <v>103</v>
      </c>
      <c r="G2730">
        <v>-308.17910000000001</v>
      </c>
      <c r="H2730">
        <v>11.99967</v>
      </c>
      <c r="I2730">
        <v>-80.916469999999904</v>
      </c>
      <c r="J2730">
        <v>-299.74110000000002</v>
      </c>
      <c r="K2730">
        <v>1.1016509999999999</v>
      </c>
      <c r="L2730">
        <v>-11.677429999999999</v>
      </c>
      <c r="M2730">
        <v>-0.1559065</v>
      </c>
      <c r="N2730">
        <v>0</v>
      </c>
      <c r="O2730">
        <v>-0.98768869999999997</v>
      </c>
      <c r="P2730">
        <v>-0.17797099999999999</v>
      </c>
      <c r="Q2730">
        <v>9.9734020000000007E-2</v>
      </c>
      <c r="R2730">
        <v>-0.97896870000000002</v>
      </c>
      <c r="S2730">
        <v>-0.36029050000000001</v>
      </c>
      <c r="T2730">
        <v>0.46257009999999998</v>
      </c>
      <c r="U2730">
        <v>-2.9509280000000002</v>
      </c>
      <c r="V2730">
        <v>2.5280730000000001E-2</v>
      </c>
      <c r="W2730">
        <v>0.11200889999999999</v>
      </c>
      <c r="X2730">
        <v>0.99338559999999998</v>
      </c>
      <c r="Y2730">
        <v>-3.6473119999999998E-2</v>
      </c>
      <c r="Z2730">
        <v>-0.15145040000000001</v>
      </c>
      <c r="AA2730">
        <v>0.98779170000000005</v>
      </c>
      <c r="AB2730">
        <v>31</v>
      </c>
      <c r="AC2730">
        <v>-8.4379999999999793</v>
      </c>
      <c r="AD2730">
        <v>10.898019</v>
      </c>
      <c r="AE2730">
        <v>-69.239039999999903</v>
      </c>
      <c r="AF2730">
        <v>-2.4022589786080299</v>
      </c>
      <c r="AG2730">
        <v>10.898019</v>
      </c>
      <c r="AH2730">
        <v>68.046771141130606</v>
      </c>
      <c r="AI2730">
        <v>80.906643719884002</v>
      </c>
      <c r="AJ2730">
        <v>92.021876438317193</v>
      </c>
      <c r="AK2730">
        <v>68.955788220120198</v>
      </c>
      <c r="AL2730">
        <v>83.568867349004805</v>
      </c>
      <c r="AM2730">
        <v>88.542190918902804</v>
      </c>
      <c r="AN2730">
        <v>1.0000000296379501</v>
      </c>
    </row>
    <row r="2731" spans="1:40" x14ac:dyDescent="0.3">
      <c r="A2731" t="str">
        <f>"20200111150901810"</f>
        <v>20200111150901810</v>
      </c>
      <c r="B2731" t="str">
        <f>"1578726541806324"</f>
        <v>1578726541806324</v>
      </c>
      <c r="C2731" t="s">
        <v>40</v>
      </c>
      <c r="D2731">
        <v>6.1736610000000001</v>
      </c>
      <c r="E2731">
        <v>0.49375160000000001</v>
      </c>
      <c r="F2731" t="s">
        <v>41</v>
      </c>
      <c r="G2731">
        <v>-299.88679999999999</v>
      </c>
      <c r="H2731">
        <v>0.98225960000000001</v>
      </c>
      <c r="I2731">
        <v>-12.512829999999999</v>
      </c>
      <c r="J2731">
        <v>-299.79450000000003</v>
      </c>
      <c r="K2731">
        <v>1.102266</v>
      </c>
      <c r="L2731">
        <v>-11.97049</v>
      </c>
      <c r="M2731">
        <v>-0.16295109999999999</v>
      </c>
      <c r="N2731">
        <v>0</v>
      </c>
      <c r="O2731">
        <v>-0.98655119999999996</v>
      </c>
      <c r="P2731">
        <v>-0.1817617</v>
      </c>
      <c r="Q2731">
        <v>0.10076549999999999</v>
      </c>
      <c r="R2731">
        <v>-0.97816630000000004</v>
      </c>
      <c r="S2731">
        <v>-0.52471919999999905</v>
      </c>
      <c r="T2731">
        <v>-0.43022290000000002</v>
      </c>
      <c r="U2731">
        <v>-3.0128780000000002</v>
      </c>
      <c r="V2731">
        <v>2.1919999999999999E-2</v>
      </c>
      <c r="W2731">
        <v>0.1131086</v>
      </c>
      <c r="X2731">
        <v>0.99334080000000002</v>
      </c>
      <c r="Y2731">
        <v>7.0817950000000001E-3</v>
      </c>
      <c r="Z2731">
        <v>0.13754189999999999</v>
      </c>
      <c r="AA2731">
        <v>0.99047059999999998</v>
      </c>
      <c r="AB2731">
        <v>31</v>
      </c>
      <c r="AC2731">
        <v>-9.2299999999966006E-2</v>
      </c>
      <c r="AD2731">
        <v>-0.1200064</v>
      </c>
      <c r="AE2731">
        <v>-0.54234000000000104</v>
      </c>
      <c r="AF2731">
        <v>2.5620805695785401E-3</v>
      </c>
      <c r="AG2731">
        <v>-0.1200064</v>
      </c>
      <c r="AH2731">
        <v>0.52514293309787696</v>
      </c>
      <c r="AI2731">
        <v>102.872129510625</v>
      </c>
      <c r="AJ2731">
        <v>89.720466125609704</v>
      </c>
      <c r="AK2731">
        <v>0.53868655123405995</v>
      </c>
      <c r="AL2731">
        <v>83.505455968970793</v>
      </c>
      <c r="AM2731">
        <v>88.735862164256403</v>
      </c>
      <c r="AN2731">
        <v>0.99999999336930001</v>
      </c>
    </row>
    <row r="2732" spans="1:40" x14ac:dyDescent="0.3">
      <c r="A2732" t="str">
        <f>"20200111150901834"</f>
        <v>20200111150901834</v>
      </c>
      <c r="B2732" t="str">
        <f>"1578726541826820"</f>
        <v>1578726541826820</v>
      </c>
      <c r="C2732" t="s">
        <v>40</v>
      </c>
      <c r="D2732">
        <v>5.1840729999999997</v>
      </c>
      <c r="E2732">
        <v>0.48847289999999999</v>
      </c>
      <c r="F2732" t="s">
        <v>41</v>
      </c>
      <c r="G2732">
        <v>-299.93450000000001</v>
      </c>
      <c r="H2732">
        <v>1.0008010000000001</v>
      </c>
      <c r="I2732">
        <v>-12.801360000000001</v>
      </c>
      <c r="J2732">
        <v>-299.85599999999999</v>
      </c>
      <c r="K2732">
        <v>1.1030420000000001</v>
      </c>
      <c r="L2732">
        <v>-12.29834</v>
      </c>
      <c r="M2732">
        <v>-0.1699312</v>
      </c>
      <c r="N2732">
        <v>0</v>
      </c>
      <c r="O2732">
        <v>-0.98537350000000001</v>
      </c>
      <c r="P2732">
        <v>-0.1862665</v>
      </c>
      <c r="Q2732">
        <v>0.10348590000000001</v>
      </c>
      <c r="R2732">
        <v>-0.97703419999999996</v>
      </c>
      <c r="S2732">
        <v>-0.50723269999999998</v>
      </c>
      <c r="T2732">
        <v>-0.36759819999999999</v>
      </c>
      <c r="U2732">
        <v>-3.0105900000000001</v>
      </c>
      <c r="V2732">
        <v>1.9355830000000001E-2</v>
      </c>
      <c r="W2732">
        <v>0.115867899999999</v>
      </c>
      <c r="X2732">
        <v>0.99307599999999996</v>
      </c>
      <c r="Y2732">
        <v>-5.0319149999999997E-3</v>
      </c>
      <c r="Z2732">
        <v>0.1177634</v>
      </c>
      <c r="AA2732">
        <v>0.99302889999999999</v>
      </c>
      <c r="AB2732">
        <v>31</v>
      </c>
      <c r="AC2732">
        <v>-7.8500000000019499E-2</v>
      </c>
      <c r="AD2732">
        <v>-0.102241</v>
      </c>
      <c r="AE2732">
        <v>-0.50302000000000102</v>
      </c>
      <c r="AF2732">
        <v>-7.8125514507562995E-3</v>
      </c>
      <c r="AG2732">
        <v>-0.102241</v>
      </c>
      <c r="AH2732">
        <v>0.48930960581188399</v>
      </c>
      <c r="AI2732">
        <v>101.800658373315</v>
      </c>
      <c r="AJ2732">
        <v>90.914734123968302</v>
      </c>
      <c r="AK2732">
        <v>0.49993814455485602</v>
      </c>
      <c r="AL2732">
        <v>83.346313155206303</v>
      </c>
      <c r="AM2732">
        <v>88.883401707297594</v>
      </c>
      <c r="AN2732">
        <v>0.99999998009069901</v>
      </c>
    </row>
    <row r="2733" spans="1:40" x14ac:dyDescent="0.3">
      <c r="A2733" t="str">
        <f>"20200111150901896"</f>
        <v>20200111150901896</v>
      </c>
      <c r="B2733" t="str">
        <f>"1578726541886357"</f>
        <v>1578726541886357</v>
      </c>
      <c r="C2733" t="s">
        <v>40</v>
      </c>
      <c r="D2733">
        <v>5.6908459999999996</v>
      </c>
      <c r="E2733">
        <v>0.4992895</v>
      </c>
      <c r="F2733" t="s">
        <v>103</v>
      </c>
      <c r="G2733">
        <v>-310.5591</v>
      </c>
      <c r="H2733">
        <v>8.2433679999999896</v>
      </c>
      <c r="I2733">
        <v>-79.671169999999904</v>
      </c>
      <c r="J2733">
        <v>-300.02179999999998</v>
      </c>
      <c r="K2733">
        <v>1.105345</v>
      </c>
      <c r="L2733">
        <v>-13.15207</v>
      </c>
      <c r="M2733">
        <v>-0.18314800000000001</v>
      </c>
      <c r="N2733">
        <v>0</v>
      </c>
      <c r="O2733">
        <v>-0.98300390000000004</v>
      </c>
      <c r="P2733">
        <v>-0.1897634</v>
      </c>
      <c r="Q2733">
        <v>0.1038336</v>
      </c>
      <c r="R2733">
        <v>-0.97632399999999997</v>
      </c>
      <c r="S2733">
        <v>-0.46835329999999997</v>
      </c>
      <c r="T2733">
        <v>0.31245230000000002</v>
      </c>
      <c r="U2733">
        <v>-2.9481510000000002</v>
      </c>
      <c r="V2733">
        <v>8.9583149999999997E-3</v>
      </c>
      <c r="W2733">
        <v>0.1163259</v>
      </c>
      <c r="X2733">
        <v>0.99317069999999996</v>
      </c>
      <c r="Y2733">
        <v>-2.7486279999999998E-2</v>
      </c>
      <c r="Z2733">
        <v>-0.1020866</v>
      </c>
      <c r="AA2733">
        <v>0.99439569999999999</v>
      </c>
      <c r="AB2733">
        <v>31</v>
      </c>
      <c r="AC2733">
        <v>-10.5373</v>
      </c>
      <c r="AD2733">
        <v>7.1380229999999898</v>
      </c>
      <c r="AE2733">
        <v>-66.519099999999895</v>
      </c>
      <c r="AF2733">
        <v>-1.80450902236891</v>
      </c>
      <c r="AG2733">
        <v>7.1380229999999898</v>
      </c>
      <c r="AH2733">
        <v>66.575956797699206</v>
      </c>
      <c r="AI2733">
        <v>83.882569947212104</v>
      </c>
      <c r="AJ2733">
        <v>91.552594185144798</v>
      </c>
      <c r="AK2733">
        <v>66.981830735576807</v>
      </c>
      <c r="AL2733">
        <v>83.319893184603501</v>
      </c>
      <c r="AM2733">
        <v>89.483210970740501</v>
      </c>
      <c r="AN2733">
        <v>1.0000000028784599</v>
      </c>
    </row>
    <row r="2734" spans="1:40" x14ac:dyDescent="0.3">
      <c r="A2734" t="str">
        <f>"20200111150901917"</f>
        <v>20200111150901917</v>
      </c>
      <c r="B2734" t="str">
        <f>"1578726541906852"</f>
        <v>1578726541906852</v>
      </c>
      <c r="C2734" t="s">
        <v>40</v>
      </c>
      <c r="D2734">
        <v>6.9345009999999903</v>
      </c>
      <c r="E2734">
        <v>0.49903150000000002</v>
      </c>
      <c r="F2734" t="s">
        <v>41</v>
      </c>
      <c r="G2734">
        <v>-300.16669999999999</v>
      </c>
      <c r="H2734">
        <v>1.0088429999999999</v>
      </c>
      <c r="I2734">
        <v>-13.91099</v>
      </c>
      <c r="J2734">
        <v>-300.08249999999998</v>
      </c>
      <c r="K2734">
        <v>1.106158</v>
      </c>
      <c r="L2734">
        <v>-13.45969</v>
      </c>
      <c r="M2734">
        <v>-0.1861941</v>
      </c>
      <c r="N2734">
        <v>0</v>
      </c>
      <c r="O2734">
        <v>-0.98243179999999997</v>
      </c>
      <c r="P2734">
        <v>-0.18837999999999999</v>
      </c>
      <c r="Q2734">
        <v>0.10527259999999999</v>
      </c>
      <c r="R2734">
        <v>-0.97643769999999996</v>
      </c>
      <c r="S2734">
        <v>-0.57250979999999996</v>
      </c>
      <c r="T2734">
        <v>-0.3816097</v>
      </c>
      <c r="U2734">
        <v>-3.0020449999999999</v>
      </c>
      <c r="V2734">
        <v>4.2898789999999999E-3</v>
      </c>
      <c r="W2734">
        <v>0.1177882</v>
      </c>
      <c r="X2734">
        <v>0.99302950000000001</v>
      </c>
      <c r="Y2734">
        <v>-2.7688689999999999E-4</v>
      </c>
      <c r="Z2734">
        <v>0.1217501</v>
      </c>
      <c r="AA2734">
        <v>0.99256069999999996</v>
      </c>
      <c r="AB2734">
        <v>31</v>
      </c>
      <c r="AC2734">
        <v>-8.4200000000009795E-2</v>
      </c>
      <c r="AD2734">
        <v>-9.7314999999999999E-2</v>
      </c>
      <c r="AE2734">
        <v>-0.45129999999999898</v>
      </c>
      <c r="AF2734">
        <v>-1.2524666541894301E-3</v>
      </c>
      <c r="AG2734">
        <v>-9.7314999999999999E-2</v>
      </c>
      <c r="AH2734">
        <v>0.43934442201704599</v>
      </c>
      <c r="AI2734">
        <v>102.489345719605</v>
      </c>
      <c r="AJ2734">
        <v>90.1633362238682</v>
      </c>
      <c r="AK2734">
        <v>0.44999477669769899</v>
      </c>
      <c r="AL2734">
        <v>83.235529728674294</v>
      </c>
      <c r="AM2734">
        <v>89.752484259206497</v>
      </c>
      <c r="AN2734">
        <v>1.00000002549566</v>
      </c>
    </row>
    <row r="2735" spans="1:40" x14ac:dyDescent="0.3">
      <c r="A2735" t="str">
        <f>"20200111150901942"</f>
        <v>20200111150901942</v>
      </c>
      <c r="B2735" t="str">
        <f>"1578726541937108"</f>
        <v>1578726541937108</v>
      </c>
      <c r="C2735" t="s">
        <v>40</v>
      </c>
      <c r="D2735">
        <v>5.672415</v>
      </c>
      <c r="E2735">
        <v>0.49731700000000001</v>
      </c>
      <c r="F2735" t="s">
        <v>41</v>
      </c>
      <c r="G2735">
        <v>-300.22000000000003</v>
      </c>
      <c r="H2735">
        <v>1.007919</v>
      </c>
      <c r="I2735">
        <v>-14.18712</v>
      </c>
      <c r="J2735">
        <v>-300.14859999999999</v>
      </c>
      <c r="K2735">
        <v>1.107024</v>
      </c>
      <c r="L2735">
        <v>-13.793729999999901</v>
      </c>
      <c r="M2735">
        <v>-0.1883773</v>
      </c>
      <c r="N2735">
        <v>0</v>
      </c>
      <c r="O2735">
        <v>-0.982016</v>
      </c>
      <c r="P2735">
        <v>-0.1866169</v>
      </c>
      <c r="Q2735">
        <v>0.1071044</v>
      </c>
      <c r="R2735">
        <v>-0.97657729999999998</v>
      </c>
      <c r="S2735">
        <v>-0.56753540000000002</v>
      </c>
      <c r="T2735">
        <v>-0.40600429999999998</v>
      </c>
      <c r="U2735">
        <v>-3.0066830000000002</v>
      </c>
      <c r="V2735" s="1">
        <v>9.764009E-5</v>
      </c>
      <c r="W2735">
        <v>0.11961910000000001</v>
      </c>
      <c r="X2735">
        <v>0.99281980000000003</v>
      </c>
      <c r="Y2735">
        <v>-4.5438049999999997E-3</v>
      </c>
      <c r="Z2735">
        <v>0.12914600000000001</v>
      </c>
      <c r="AA2735">
        <v>0.99161520000000003</v>
      </c>
      <c r="AB2735">
        <v>31</v>
      </c>
      <c r="AC2735">
        <v>-7.1400000000039598E-2</v>
      </c>
      <c r="AD2735">
        <v>-9.9104999999999999E-2</v>
      </c>
      <c r="AE2735">
        <v>-0.39339000000000302</v>
      </c>
      <c r="AF2735">
        <v>-3.7591486847654899E-3</v>
      </c>
      <c r="AG2735">
        <v>-9.9104999999999999E-2</v>
      </c>
      <c r="AH2735">
        <v>0.37665453270295801</v>
      </c>
      <c r="AI2735">
        <v>104.740781610605</v>
      </c>
      <c r="AJ2735">
        <v>90.571813650577198</v>
      </c>
      <c r="AK2735">
        <v>0.38949270754343801</v>
      </c>
      <c r="AL2735">
        <v>83.129879357833005</v>
      </c>
      <c r="AM2735">
        <v>89.994365175784907</v>
      </c>
      <c r="AN2735">
        <v>0.99999994694521699</v>
      </c>
    </row>
    <row r="2736" spans="1:40" x14ac:dyDescent="0.3">
      <c r="A2736" t="str">
        <f>"20200111150901967"</f>
        <v>20200111150901967</v>
      </c>
      <c r="B2736" t="str">
        <f>"1578726541956628"</f>
        <v>1578726541956628</v>
      </c>
      <c r="C2736" t="s">
        <v>40</v>
      </c>
      <c r="D2736">
        <v>5.6556980000000001</v>
      </c>
      <c r="E2736">
        <v>0.4964691</v>
      </c>
      <c r="F2736" t="s">
        <v>41</v>
      </c>
      <c r="G2736">
        <v>-300.31909999999999</v>
      </c>
      <c r="H2736">
        <v>0.98518260000000002</v>
      </c>
      <c r="I2736">
        <v>-14.729369999999999</v>
      </c>
      <c r="J2736">
        <v>-300.21719999999999</v>
      </c>
      <c r="K2736">
        <v>1.107925</v>
      </c>
      <c r="L2736">
        <v>-14.14246</v>
      </c>
      <c r="M2736">
        <v>-0.18943550000000001</v>
      </c>
      <c r="N2736">
        <v>0</v>
      </c>
      <c r="O2736">
        <v>-0.98181280000000004</v>
      </c>
      <c r="P2736">
        <v>-0.1852946</v>
      </c>
      <c r="Q2736">
        <v>0.1087916</v>
      </c>
      <c r="R2736">
        <v>-0.97664229999999996</v>
      </c>
      <c r="S2736">
        <v>-0.54827879999999996</v>
      </c>
      <c r="T2736">
        <v>-0.39199440000000002</v>
      </c>
      <c r="U2736">
        <v>-3.0101619999999998</v>
      </c>
      <c r="V2736">
        <v>-2.5292299999999999E-3</v>
      </c>
      <c r="W2736">
        <v>0.1212854</v>
      </c>
      <c r="X2736">
        <v>0.99261440000000001</v>
      </c>
      <c r="Y2736">
        <v>-1.185829E-2</v>
      </c>
      <c r="Z2736">
        <v>0.1246507</v>
      </c>
      <c r="AA2736">
        <v>0.99212979999999995</v>
      </c>
      <c r="AB2736">
        <v>31</v>
      </c>
      <c r="AC2736">
        <v>-0.1019</v>
      </c>
      <c r="AD2736">
        <v>-0.1227424</v>
      </c>
      <c r="AE2736">
        <v>-0.58691000000000104</v>
      </c>
      <c r="AF2736">
        <v>-1.06822103410618E-2</v>
      </c>
      <c r="AG2736">
        <v>-0.1227424</v>
      </c>
      <c r="AH2736">
        <v>0.57132936118490196</v>
      </c>
      <c r="AI2736">
        <v>102.122869781392</v>
      </c>
      <c r="AJ2736">
        <v>91.071140930068196</v>
      </c>
      <c r="AK2736">
        <v>0.58446304017232698</v>
      </c>
      <c r="AL2736">
        <v>83.033707160193003</v>
      </c>
      <c r="AM2736">
        <v>90.145992130275403</v>
      </c>
      <c r="AN2736">
        <v>0.99999994617245402</v>
      </c>
    </row>
    <row r="2737" spans="1:40" x14ac:dyDescent="0.3">
      <c r="A2737" t="str">
        <f>"20200111150901989"</f>
        <v>20200111150901989</v>
      </c>
      <c r="B2737" t="str">
        <f>"1578726541986886"</f>
        <v>1578726541986886</v>
      </c>
      <c r="C2737" t="s">
        <v>40</v>
      </c>
      <c r="D2737">
        <v>5.612622</v>
      </c>
      <c r="E2737">
        <v>0.4638369</v>
      </c>
      <c r="F2737" t="s">
        <v>41</v>
      </c>
      <c r="G2737">
        <v>-300.37180000000001</v>
      </c>
      <c r="H2737">
        <v>0.9963611</v>
      </c>
      <c r="I2737">
        <v>-15.01046</v>
      </c>
      <c r="J2737">
        <v>-300.27719999999999</v>
      </c>
      <c r="K2737">
        <v>1.108684</v>
      </c>
      <c r="L2737">
        <v>-14.45007</v>
      </c>
      <c r="M2737">
        <v>-0.18959000000000001</v>
      </c>
      <c r="N2737">
        <v>0</v>
      </c>
      <c r="O2737">
        <v>-0.98178350000000003</v>
      </c>
      <c r="P2737">
        <v>-0.1839211</v>
      </c>
      <c r="Q2737">
        <v>0.1115997</v>
      </c>
      <c r="R2737">
        <v>-0.9765855</v>
      </c>
      <c r="S2737">
        <v>-0.53604130000000005</v>
      </c>
      <c r="T2737">
        <v>-0.38733770000000001</v>
      </c>
      <c r="U2737">
        <v>-3.0131839999999999</v>
      </c>
      <c r="V2737">
        <v>-4.2274369999999997E-3</v>
      </c>
      <c r="W2737">
        <v>0.1240671</v>
      </c>
      <c r="X2737">
        <v>0.99226479999999995</v>
      </c>
      <c r="Y2737">
        <v>-1.6059380000000002E-2</v>
      </c>
      <c r="Z2737">
        <v>0.1231071</v>
      </c>
      <c r="AA2737">
        <v>0.99226340000000002</v>
      </c>
      <c r="AB2737">
        <v>31</v>
      </c>
      <c r="AC2737">
        <v>-9.4600000000014006E-2</v>
      </c>
      <c r="AD2737">
        <v>-0.1123229</v>
      </c>
      <c r="AE2737">
        <v>-0.56038999999999795</v>
      </c>
      <c r="AF2737">
        <v>-1.2866095634726399E-2</v>
      </c>
      <c r="AG2737">
        <v>-0.1123229</v>
      </c>
      <c r="AH2737">
        <v>0.54680230502738003</v>
      </c>
      <c r="AI2737">
        <v>101.604969497924</v>
      </c>
      <c r="AJ2737">
        <v>91.347903936334404</v>
      </c>
      <c r="AK2737">
        <v>0.55836791729517199</v>
      </c>
      <c r="AL2737">
        <v>82.873114634838402</v>
      </c>
      <c r="AM2737">
        <v>90.244101002878395</v>
      </c>
      <c r="AN2737">
        <v>0.99999997492251902</v>
      </c>
    </row>
    <row r="2738" spans="1:40" x14ac:dyDescent="0.3">
      <c r="A2738" t="str">
        <f>"20200111150902013"</f>
        <v>20200111150902013</v>
      </c>
      <c r="B2738" t="str">
        <f>"1578726542006405"</f>
        <v>1578726542006405</v>
      </c>
      <c r="C2738" t="s">
        <v>40</v>
      </c>
      <c r="D2738">
        <v>6.0962120000000004</v>
      </c>
      <c r="E2738">
        <v>0.50424720000000001</v>
      </c>
      <c r="F2738" t="s">
        <v>103</v>
      </c>
      <c r="G2738">
        <v>-306.25779999999997</v>
      </c>
      <c r="H2738">
        <v>9.8983460000000001</v>
      </c>
      <c r="I2738">
        <v>-80.916469999999904</v>
      </c>
      <c r="J2738">
        <v>-300.33780000000002</v>
      </c>
      <c r="K2738">
        <v>1.1094299999999999</v>
      </c>
      <c r="L2738">
        <v>-14.764279999999999</v>
      </c>
      <c r="M2738">
        <v>-0.18898190000000001</v>
      </c>
      <c r="N2738">
        <v>0</v>
      </c>
      <c r="O2738">
        <v>-0.98190080000000002</v>
      </c>
      <c r="P2738">
        <v>-0.18295929999999999</v>
      </c>
      <c r="Q2738">
        <v>0.11457639999999999</v>
      </c>
      <c r="R2738">
        <v>-0.97642139999999999</v>
      </c>
      <c r="S2738">
        <v>-0.26782230000000001</v>
      </c>
      <c r="T2738">
        <v>0.39361980000000002</v>
      </c>
      <c r="U2738">
        <v>-2.9765009999999998</v>
      </c>
      <c r="V2738">
        <v>-4.7347650000000002E-3</v>
      </c>
      <c r="W2738">
        <v>0.12701279999999901</v>
      </c>
      <c r="X2738">
        <v>0.99188980000000004</v>
      </c>
      <c r="Y2738">
        <v>-0.1009694</v>
      </c>
      <c r="Z2738">
        <v>-0.12699449999999901</v>
      </c>
      <c r="AA2738">
        <v>0.98675100000000004</v>
      </c>
      <c r="AB2738">
        <v>31</v>
      </c>
      <c r="AC2738">
        <v>-5.9199999999999502</v>
      </c>
      <c r="AD2738">
        <v>8.7889160000000004</v>
      </c>
      <c r="AE2738">
        <v>-66.152189999999905</v>
      </c>
      <c r="AF2738">
        <v>-6.5741165974046298</v>
      </c>
      <c r="AG2738">
        <v>8.7889160000000004</v>
      </c>
      <c r="AH2738">
        <v>64.941626151447593</v>
      </c>
      <c r="AI2738">
        <v>82.331389913591707</v>
      </c>
      <c r="AJ2738">
        <v>95.780426836638696</v>
      </c>
      <c r="AK2738">
        <v>65.862575569785605</v>
      </c>
      <c r="AL2738">
        <v>82.702992825462701</v>
      </c>
      <c r="AM2738">
        <v>90.273498115443601</v>
      </c>
      <c r="AN2738">
        <v>1.00000002235374</v>
      </c>
    </row>
    <row r="2739" spans="1:40" x14ac:dyDescent="0.3">
      <c r="A2739" t="str">
        <f>"20200111150902034"</f>
        <v>20200111150902034</v>
      </c>
      <c r="B2739" t="str">
        <f>"1578726542026901"</f>
        <v>1578726542026901</v>
      </c>
      <c r="C2739" t="s">
        <v>40</v>
      </c>
      <c r="D2739">
        <v>5.3634919999999999</v>
      </c>
      <c r="E2739">
        <v>0.49398570000000003</v>
      </c>
      <c r="F2739" t="s">
        <v>41</v>
      </c>
      <c r="G2739">
        <v>-300.4932</v>
      </c>
      <c r="H2739">
        <v>0.99608220000000003</v>
      </c>
      <c r="I2739">
        <v>-15.556889999999999</v>
      </c>
      <c r="J2739">
        <v>-300.3954</v>
      </c>
      <c r="K2739">
        <v>1.11012</v>
      </c>
      <c r="L2739">
        <v>-15.06784</v>
      </c>
      <c r="M2739">
        <v>-0.1876593</v>
      </c>
      <c r="N2739">
        <v>0</v>
      </c>
      <c r="O2739">
        <v>-0.98215469999999905</v>
      </c>
      <c r="P2739">
        <v>-0.18394869999999999</v>
      </c>
      <c r="Q2739">
        <v>0.11553570000000001</v>
      </c>
      <c r="R2739">
        <v>-0.97612220000000005</v>
      </c>
      <c r="S2739">
        <v>-0.5903931</v>
      </c>
      <c r="T2739">
        <v>-0.43079519999999999</v>
      </c>
      <c r="U2739">
        <v>-3.0123600000000001</v>
      </c>
      <c r="V2739">
        <v>-2.5753350000000002E-3</v>
      </c>
      <c r="W2739">
        <v>0.1279488</v>
      </c>
      <c r="X2739">
        <v>0.99177740000000003</v>
      </c>
      <c r="Y2739">
        <v>2.908613E-3</v>
      </c>
      <c r="Z2739">
        <v>0.13656949999999901</v>
      </c>
      <c r="AA2739">
        <v>0.99062620000000001</v>
      </c>
      <c r="AB2739">
        <v>31</v>
      </c>
      <c r="AC2739">
        <v>-9.7800000000006507E-2</v>
      </c>
      <c r="AD2739">
        <v>-0.114037799999999</v>
      </c>
      <c r="AE2739">
        <v>-0.48904999999999998</v>
      </c>
      <c r="AF2739">
        <v>4.06761565602213E-3</v>
      </c>
      <c r="AG2739">
        <v>-0.114037799999999</v>
      </c>
      <c r="AH2739">
        <v>0.47393593672062501</v>
      </c>
      <c r="AI2739">
        <v>103.528761272693</v>
      </c>
      <c r="AJ2739">
        <v>89.5082637345687</v>
      </c>
      <c r="AK2739">
        <v>0.48747967900336298</v>
      </c>
      <c r="AL2739">
        <v>82.6489224289097</v>
      </c>
      <c r="AM2739">
        <v>90.148778843607502</v>
      </c>
      <c r="AN2739">
        <v>0.99999996946128</v>
      </c>
    </row>
    <row r="2740" spans="1:40" x14ac:dyDescent="0.3">
      <c r="A2740" t="str">
        <f>"20200111150902057"</f>
        <v>20200111150902057</v>
      </c>
      <c r="B2740" t="str">
        <f>"1578726542046421"</f>
        <v>1578726542046421</v>
      </c>
      <c r="C2740" t="s">
        <v>40</v>
      </c>
      <c r="D2740">
        <v>5.6150849999999997</v>
      </c>
      <c r="E2740">
        <v>0.49634479999999997</v>
      </c>
      <c r="F2740" t="s">
        <v>41</v>
      </c>
      <c r="G2740">
        <v>-300.52620000000002</v>
      </c>
      <c r="H2740">
        <v>1.009142</v>
      </c>
      <c r="I2740">
        <v>-15.84226</v>
      </c>
      <c r="J2740">
        <v>-300.45319999999998</v>
      </c>
      <c r="K2740">
        <v>1.1108039999999999</v>
      </c>
      <c r="L2740">
        <v>-15.378909999999999</v>
      </c>
      <c r="M2740">
        <v>-0.1856122</v>
      </c>
      <c r="N2740">
        <v>0</v>
      </c>
      <c r="O2740">
        <v>-0.98254359999999996</v>
      </c>
      <c r="P2740">
        <v>-0.1850069</v>
      </c>
      <c r="Q2740">
        <v>0.1159158</v>
      </c>
      <c r="R2740">
        <v>-0.97587699999999999</v>
      </c>
      <c r="S2740">
        <v>-0.51037600000000005</v>
      </c>
      <c r="T2740">
        <v>-0.39439610000000003</v>
      </c>
      <c r="U2740">
        <v>-3.023895</v>
      </c>
      <c r="V2740">
        <v>3.7297980000000001E-4</v>
      </c>
      <c r="W2740">
        <v>0.12832150000000001</v>
      </c>
      <c r="X2740">
        <v>0.99173250000000002</v>
      </c>
      <c r="Y2740">
        <v>-2.083409E-2</v>
      </c>
      <c r="Z2740">
        <v>0.1251101</v>
      </c>
      <c r="AA2740">
        <v>0.99192409999999998</v>
      </c>
      <c r="AB2740">
        <v>31</v>
      </c>
      <c r="AC2740">
        <v>-7.3000000000035897E-2</v>
      </c>
      <c r="AD2740">
        <v>-0.101662</v>
      </c>
      <c r="AE2740">
        <v>-0.46334999999999998</v>
      </c>
      <c r="AF2740">
        <v>-1.3638213752710101E-2</v>
      </c>
      <c r="AG2740">
        <v>-0.101662</v>
      </c>
      <c r="AH2740">
        <v>0.44781265976419798</v>
      </c>
      <c r="AI2740">
        <v>102.78471127996499</v>
      </c>
      <c r="AJ2740">
        <v>91.744413906680705</v>
      </c>
      <c r="AK2740">
        <v>0.45940977499771302</v>
      </c>
      <c r="AL2740">
        <v>82.627390648180807</v>
      </c>
      <c r="AM2740">
        <v>89.978451681904005</v>
      </c>
      <c r="AN2740">
        <v>0.99999994901621403</v>
      </c>
    </row>
    <row r="2741" spans="1:40" x14ac:dyDescent="0.3">
      <c r="A2741" t="str">
        <f>"20200111150902080"</f>
        <v>20200111150902080</v>
      </c>
      <c r="B2741" t="str">
        <f>"1578726542076676"</f>
        <v>1578726542076676</v>
      </c>
      <c r="C2741" t="s">
        <v>40</v>
      </c>
      <c r="D2741">
        <v>5.672383</v>
      </c>
      <c r="E2741">
        <v>0.49484030000000001</v>
      </c>
      <c r="F2741" t="s">
        <v>41</v>
      </c>
      <c r="G2741">
        <v>-300.58350000000002</v>
      </c>
      <c r="H2741">
        <v>1.013838</v>
      </c>
      <c r="I2741">
        <v>-16.117809999999999</v>
      </c>
      <c r="J2741">
        <v>-300.50920000000002</v>
      </c>
      <c r="K2741">
        <v>1.1114360000000001</v>
      </c>
      <c r="L2741">
        <v>-15.687620000000001</v>
      </c>
      <c r="M2741">
        <v>-0.18295890000000001</v>
      </c>
      <c r="N2741">
        <v>0</v>
      </c>
      <c r="O2741">
        <v>-0.98304139999999995</v>
      </c>
      <c r="P2741">
        <v>-0.18507460000000001</v>
      </c>
      <c r="Q2741">
        <v>0.11694160000000001</v>
      </c>
      <c r="R2741">
        <v>-0.9757422</v>
      </c>
      <c r="S2741">
        <v>-0.53167719999999996</v>
      </c>
      <c r="T2741">
        <v>-0.39654220000000001</v>
      </c>
      <c r="U2741">
        <v>-3.0204770000000001</v>
      </c>
      <c r="V2741">
        <v>2.949059E-3</v>
      </c>
      <c r="W2741">
        <v>0.12935179999999999</v>
      </c>
      <c r="X2741">
        <v>0.99159439999999999</v>
      </c>
      <c r="Y2741">
        <v>-1.1174720000000001E-2</v>
      </c>
      <c r="Z2741">
        <v>0.12595049999999999</v>
      </c>
      <c r="AA2741">
        <v>0.99197360000000001</v>
      </c>
      <c r="AB2741">
        <v>31</v>
      </c>
      <c r="AC2741">
        <v>-7.4299999999993802E-2</v>
      </c>
      <c r="AD2741">
        <v>-9.7598000000000004E-2</v>
      </c>
      <c r="AE2741">
        <v>-0.43019000000000102</v>
      </c>
      <c r="AF2741">
        <v>-5.3977739404315996E-3</v>
      </c>
      <c r="AG2741">
        <v>-9.7598000000000004E-2</v>
      </c>
      <c r="AH2741">
        <v>0.41574356833931397</v>
      </c>
      <c r="AI2741">
        <v>103.210188817049</v>
      </c>
      <c r="AJ2741">
        <v>90.743853454575103</v>
      </c>
      <c r="AK2741">
        <v>0.427079875647423</v>
      </c>
      <c r="AL2741">
        <v>82.567863212144999</v>
      </c>
      <c r="AM2741">
        <v>89.829599545882104</v>
      </c>
      <c r="AN2741">
        <v>1.00000001961179</v>
      </c>
    </row>
    <row r="2742" spans="1:40" x14ac:dyDescent="0.3">
      <c r="A2742" t="str">
        <f>"20200111150902101"</f>
        <v>20200111150902101</v>
      </c>
      <c r="B2742" t="str">
        <f>"1578726542096196"</f>
        <v>1578726542096196</v>
      </c>
      <c r="C2742" t="s">
        <v>40</v>
      </c>
      <c r="D2742">
        <v>5.6965019999999997</v>
      </c>
      <c r="E2742">
        <v>0.49084929999999899</v>
      </c>
      <c r="F2742" t="s">
        <v>41</v>
      </c>
      <c r="G2742">
        <v>-300.67610000000002</v>
      </c>
      <c r="H2742">
        <v>0.9884619</v>
      </c>
      <c r="I2742">
        <v>-16.655639999999998</v>
      </c>
      <c r="J2742">
        <v>-300.55889999999999</v>
      </c>
      <c r="K2742">
        <v>1.111942</v>
      </c>
      <c r="L2742">
        <v>-15.968870000000001</v>
      </c>
      <c r="M2742">
        <v>-0.18004629999999999</v>
      </c>
      <c r="N2742">
        <v>0</v>
      </c>
      <c r="O2742">
        <v>-0.98357879999999998</v>
      </c>
      <c r="P2742">
        <v>-0.18378420000000001</v>
      </c>
      <c r="Q2742">
        <v>0.1186569</v>
      </c>
      <c r="R2742">
        <v>-0.97577849999999999</v>
      </c>
      <c r="S2742">
        <v>-0.52035520000000002</v>
      </c>
      <c r="T2742">
        <v>-0.38396750000000002</v>
      </c>
      <c r="U2742">
        <v>-3.0219119999999999</v>
      </c>
      <c r="V2742">
        <v>4.4480279999999997E-3</v>
      </c>
      <c r="W2742">
        <v>0.1310742</v>
      </c>
      <c r="X2742">
        <v>0.99136259999999998</v>
      </c>
      <c r="Y2742">
        <v>-1.1816719999999999E-2</v>
      </c>
      <c r="Z2742">
        <v>0.1220999</v>
      </c>
      <c r="AA2742">
        <v>0.99244750000000004</v>
      </c>
      <c r="AB2742">
        <v>31</v>
      </c>
      <c r="AC2742">
        <v>-0.11720000000002501</v>
      </c>
      <c r="AD2742">
        <v>-0.123480099999999</v>
      </c>
      <c r="AE2742">
        <v>-0.68676999999999699</v>
      </c>
      <c r="AF2742">
        <v>-8.1205286622807599E-3</v>
      </c>
      <c r="AG2742">
        <v>-0.123480099999999</v>
      </c>
      <c r="AH2742">
        <v>0.67543114497579704</v>
      </c>
      <c r="AI2742">
        <v>100.359484952407</v>
      </c>
      <c r="AJ2742">
        <v>90.6888187010819</v>
      </c>
      <c r="AK2742">
        <v>0.68667351025438705</v>
      </c>
      <c r="AL2742">
        <v>82.468329510993399</v>
      </c>
      <c r="AM2742">
        <v>89.74292804529</v>
      </c>
      <c r="AN2742">
        <v>1.00000001776874</v>
      </c>
    </row>
    <row r="2743" spans="1:40" x14ac:dyDescent="0.3">
      <c r="A2743" t="str">
        <f>"20200111150902125"</f>
        <v>20200111150902125</v>
      </c>
      <c r="B2743" t="str">
        <f>"1578726542116693"</f>
        <v>1578726542116693</v>
      </c>
      <c r="C2743" t="s">
        <v>40</v>
      </c>
      <c r="D2743">
        <v>5.117737</v>
      </c>
      <c r="E2743">
        <v>0.48823309999999998</v>
      </c>
      <c r="F2743" t="s">
        <v>41</v>
      </c>
      <c r="G2743">
        <v>-300.71429999999998</v>
      </c>
      <c r="H2743">
        <v>0.99389649999999996</v>
      </c>
      <c r="I2743">
        <v>-16.93488</v>
      </c>
      <c r="J2743">
        <v>-300.61700000000002</v>
      </c>
      <c r="K2743">
        <v>1.112449</v>
      </c>
      <c r="L2743">
        <v>-16.308260000000001</v>
      </c>
      <c r="M2743">
        <v>-0.17606429999999901</v>
      </c>
      <c r="N2743">
        <v>0</v>
      </c>
      <c r="O2743">
        <v>-0.98429940000000005</v>
      </c>
      <c r="P2743">
        <v>-0.1825319</v>
      </c>
      <c r="Q2743">
        <v>0.1204119</v>
      </c>
      <c r="R2743">
        <v>-0.97579850000000001</v>
      </c>
      <c r="S2743">
        <v>-0.48651119999999998</v>
      </c>
      <c r="T2743">
        <v>-0.37006260000000002</v>
      </c>
      <c r="U2743">
        <v>-3.0278320000000001</v>
      </c>
      <c r="V2743">
        <v>7.0636040000000002E-3</v>
      </c>
      <c r="W2743">
        <v>0.1328452</v>
      </c>
      <c r="X2743">
        <v>0.99111159999999998</v>
      </c>
      <c r="Y2743">
        <v>-1.88031E-2</v>
      </c>
      <c r="Z2743">
        <v>0.11774569999999999</v>
      </c>
      <c r="AA2743">
        <v>0.99286569999999996</v>
      </c>
      <c r="AB2743">
        <v>31</v>
      </c>
      <c r="AC2743">
        <v>-9.7299999999961501E-2</v>
      </c>
      <c r="AD2743">
        <v>-0.11855250000000001</v>
      </c>
      <c r="AE2743">
        <v>-0.62661999999999896</v>
      </c>
      <c r="AF2743">
        <v>-1.40627031030906E-2</v>
      </c>
      <c r="AG2743">
        <v>-0.11855250000000001</v>
      </c>
      <c r="AH2743">
        <v>0.61255258116773004</v>
      </c>
      <c r="AI2743">
        <v>100.950700297061</v>
      </c>
      <c r="AJ2743">
        <v>91.315139389209193</v>
      </c>
      <c r="AK2743">
        <v>0.62407781531637896</v>
      </c>
      <c r="AL2743">
        <v>82.365963144224907</v>
      </c>
      <c r="AM2743">
        <v>89.591662689370594</v>
      </c>
      <c r="AN2743">
        <v>0.999999972659534</v>
      </c>
    </row>
    <row r="2744" spans="1:40" x14ac:dyDescent="0.3">
      <c r="A2744" t="str">
        <f>"20200111150902165"</f>
        <v>20200111150902165</v>
      </c>
      <c r="B2744" t="str">
        <f>"1578726542156708"</f>
        <v>1578726542156708</v>
      </c>
      <c r="C2744" t="s">
        <v>40</v>
      </c>
      <c r="D2744">
        <v>5.6585400000000003</v>
      </c>
      <c r="E2744">
        <v>0.48580430000000002</v>
      </c>
      <c r="F2744" t="s">
        <v>41</v>
      </c>
      <c r="G2744">
        <v>-300.75510000000003</v>
      </c>
      <c r="H2744">
        <v>1.003377</v>
      </c>
      <c r="I2744">
        <v>-17.215309999999999</v>
      </c>
      <c r="J2744">
        <v>-300.70639999999997</v>
      </c>
      <c r="K2744">
        <v>1.113035</v>
      </c>
      <c r="L2744">
        <v>-16.85202</v>
      </c>
      <c r="M2744">
        <v>-0.16896620000000001</v>
      </c>
      <c r="N2744">
        <v>0</v>
      </c>
      <c r="O2744">
        <v>-0.9855429</v>
      </c>
      <c r="P2744">
        <v>-0.17930670000000001</v>
      </c>
      <c r="Q2744">
        <v>0.1249412</v>
      </c>
      <c r="R2744">
        <v>-0.97582729999999995</v>
      </c>
      <c r="S2744">
        <v>-0.4618835</v>
      </c>
      <c r="T2744">
        <v>-0.3647031</v>
      </c>
      <c r="U2744">
        <v>-3.03302</v>
      </c>
      <c r="V2744">
        <v>1.0821610000000001E-2</v>
      </c>
      <c r="W2744">
        <v>0.1373955</v>
      </c>
      <c r="X2744">
        <v>0.99045720000000004</v>
      </c>
      <c r="Y2744">
        <v>-1.970299E-2</v>
      </c>
      <c r="Z2744">
        <v>0.1161596</v>
      </c>
      <c r="AA2744">
        <v>0.99303509999999995</v>
      </c>
      <c r="AB2744">
        <v>31</v>
      </c>
      <c r="AC2744">
        <v>-4.8700000000053402E-2</v>
      </c>
      <c r="AD2744">
        <v>-0.10965800000000001</v>
      </c>
      <c r="AE2744">
        <v>-0.363290000000002</v>
      </c>
      <c r="AF2744">
        <v>-1.22889340376276E-2</v>
      </c>
      <c r="AG2744">
        <v>-0.10965800000000001</v>
      </c>
      <c r="AH2744">
        <v>0.33620371624907303</v>
      </c>
      <c r="AI2744">
        <v>108.053258289388</v>
      </c>
      <c r="AJ2744">
        <v>92.093346084362295</v>
      </c>
      <c r="AK2744">
        <v>0.35384860277167701</v>
      </c>
      <c r="AL2744">
        <v>82.102837426641202</v>
      </c>
      <c r="AM2744">
        <v>89.374018473252804</v>
      </c>
      <c r="AN2744">
        <v>1.0000000478475399</v>
      </c>
    </row>
    <row r="2745" spans="1:40" x14ac:dyDescent="0.3">
      <c r="A2745" t="str">
        <f>"20200111150902188"</f>
        <v>20200111150902188</v>
      </c>
      <c r="B2745" t="str">
        <f>"1578726542176228"</f>
        <v>1578726542176228</v>
      </c>
      <c r="C2745" t="s">
        <v>40</v>
      </c>
      <c r="D2745">
        <v>5.2819739999999999</v>
      </c>
      <c r="E2745">
        <v>0.48506379999999999</v>
      </c>
      <c r="F2745" t="s">
        <v>41</v>
      </c>
      <c r="G2745">
        <v>-300.8372</v>
      </c>
      <c r="H2745">
        <v>1.0062390000000001</v>
      </c>
      <c r="I2745">
        <v>-17.767749999999999</v>
      </c>
      <c r="J2745">
        <v>-300.75799999999998</v>
      </c>
      <c r="K2745">
        <v>1.113253</v>
      </c>
      <c r="L2745">
        <v>-17.179779999999901</v>
      </c>
      <c r="M2745">
        <v>-0.16440949999999999</v>
      </c>
      <c r="N2745">
        <v>0</v>
      </c>
      <c r="O2745">
        <v>-0.98631349999999995</v>
      </c>
      <c r="P2745">
        <v>-0.17503949999999999</v>
      </c>
      <c r="Q2745">
        <v>0.12557189999999999</v>
      </c>
      <c r="R2745">
        <v>-0.97652090000000003</v>
      </c>
      <c r="S2745">
        <v>-0.43396000000000001</v>
      </c>
      <c r="T2745">
        <v>-0.354693599999999</v>
      </c>
      <c r="U2745">
        <v>-3.0399780000000001</v>
      </c>
      <c r="V2745">
        <v>1.100744E-2</v>
      </c>
      <c r="W2745">
        <v>0.13802700000000001</v>
      </c>
      <c r="X2745">
        <v>0.99036729999999995</v>
      </c>
      <c r="Y2745">
        <v>-2.4294050000000001E-2</v>
      </c>
      <c r="Z2745">
        <v>0.11296109999999999</v>
      </c>
      <c r="AA2745">
        <v>0.99330229999999997</v>
      </c>
      <c r="AB2745">
        <v>31</v>
      </c>
      <c r="AC2745">
        <v>-7.9200000000014301E-2</v>
      </c>
      <c r="AD2745">
        <v>-0.107014</v>
      </c>
      <c r="AE2745">
        <v>-0.58797000000000199</v>
      </c>
      <c r="AF2745">
        <v>-1.79686401328823E-2</v>
      </c>
      <c r="AG2745">
        <v>-0.107014</v>
      </c>
      <c r="AH2745">
        <v>0.57430453834075701</v>
      </c>
      <c r="AI2745">
        <v>100.550205374206</v>
      </c>
      <c r="AJ2745">
        <v>91.792065761378296</v>
      </c>
      <c r="AK2745">
        <v>0.58446605631380799</v>
      </c>
      <c r="AL2745">
        <v>82.0663067367027</v>
      </c>
      <c r="AM2745">
        <v>89.3632121260285</v>
      </c>
      <c r="AN2745">
        <v>1.0000000026868201</v>
      </c>
    </row>
    <row r="2746" spans="1:40" x14ac:dyDescent="0.3">
      <c r="A2746" t="str">
        <f>"20200111150902210"</f>
        <v>20200111150902210</v>
      </c>
      <c r="B2746" t="str">
        <f>"1578726542206484"</f>
        <v>1578726542206484</v>
      </c>
      <c r="C2746" t="s">
        <v>40</v>
      </c>
      <c r="D2746">
        <v>5.6071739999999997</v>
      </c>
      <c r="E2746">
        <v>0.4837708</v>
      </c>
      <c r="F2746" t="s">
        <v>41</v>
      </c>
      <c r="G2746">
        <v>-300.87610000000001</v>
      </c>
      <c r="H2746">
        <v>1.0114479999999999</v>
      </c>
      <c r="I2746">
        <v>-18.04608</v>
      </c>
      <c r="J2746">
        <v>-300.80360000000002</v>
      </c>
      <c r="K2746">
        <v>1.1133869999999999</v>
      </c>
      <c r="L2746">
        <v>-17.479029999999899</v>
      </c>
      <c r="M2746">
        <v>-0.1601776</v>
      </c>
      <c r="N2746">
        <v>0</v>
      </c>
      <c r="O2746">
        <v>-0.98700960000000004</v>
      </c>
      <c r="P2746">
        <v>-0.17086189999999901</v>
      </c>
      <c r="Q2746">
        <v>0.12512010000000001</v>
      </c>
      <c r="R2746">
        <v>-0.97731849999999998</v>
      </c>
      <c r="S2746">
        <v>-0.41384890000000002</v>
      </c>
      <c r="T2746">
        <v>-0.35799439999999999</v>
      </c>
      <c r="U2746">
        <v>-3.0439759999999998</v>
      </c>
      <c r="V2746">
        <v>1.096982E-2</v>
      </c>
      <c r="W2746">
        <v>0.1375741</v>
      </c>
      <c r="X2746">
        <v>0.9904307</v>
      </c>
      <c r="Y2746">
        <v>-2.664213E-2</v>
      </c>
      <c r="Z2746">
        <v>0.1140193</v>
      </c>
      <c r="AA2746">
        <v>0.99312129999999998</v>
      </c>
      <c r="AB2746">
        <v>31</v>
      </c>
      <c r="AC2746">
        <v>-7.2499999999990905E-2</v>
      </c>
      <c r="AD2746">
        <v>-0.101939</v>
      </c>
      <c r="AE2746">
        <v>-0.56705000000000105</v>
      </c>
      <c r="AF2746">
        <v>-1.8678086780402298E-2</v>
      </c>
      <c r="AG2746">
        <v>-0.101939</v>
      </c>
      <c r="AH2746">
        <v>0.55373353491251698</v>
      </c>
      <c r="AI2746">
        <v>100.425216661384</v>
      </c>
      <c r="AJ2746">
        <v>91.931921893864498</v>
      </c>
      <c r="AK2746">
        <v>0.563348256705822</v>
      </c>
      <c r="AL2746">
        <v>82.092505681435696</v>
      </c>
      <c r="AM2746">
        <v>89.365428910058299</v>
      </c>
      <c r="AN2746">
        <v>0.99999997072206503</v>
      </c>
    </row>
    <row r="2747" spans="1:40" x14ac:dyDescent="0.3">
      <c r="A2747" t="str">
        <f>"20200111150902233"</f>
        <v>20200111150902233</v>
      </c>
      <c r="B2747" t="str">
        <f>"1578726542226980"</f>
        <v>1578726542226980</v>
      </c>
      <c r="C2747" t="s">
        <v>40</v>
      </c>
      <c r="D2747">
        <v>5.6837650000000002</v>
      </c>
      <c r="E2747">
        <v>0.47980800000000001</v>
      </c>
      <c r="F2747" t="s">
        <v>41</v>
      </c>
      <c r="G2747">
        <v>-300.91149999999999</v>
      </c>
      <c r="H2747">
        <v>1.013018</v>
      </c>
      <c r="I2747">
        <v>-18.323180000000001</v>
      </c>
      <c r="J2747">
        <v>-300.85149999999999</v>
      </c>
      <c r="K2747">
        <v>1.113469</v>
      </c>
      <c r="L2747">
        <v>-17.802669999999999</v>
      </c>
      <c r="M2747">
        <v>-0.1555986</v>
      </c>
      <c r="N2747">
        <v>0</v>
      </c>
      <c r="O2747">
        <v>-0.9877418</v>
      </c>
      <c r="P2747">
        <v>-0.16562579999999999</v>
      </c>
      <c r="Q2747">
        <v>0.12525849999999999</v>
      </c>
      <c r="R2747">
        <v>-0.97820169999999995</v>
      </c>
      <c r="S2747">
        <v>-0.38879390000000003</v>
      </c>
      <c r="T2747">
        <v>-0.36262450000000002</v>
      </c>
      <c r="U2747">
        <v>-3.0480649999999998</v>
      </c>
      <c r="V2747">
        <v>1.0231550000000001E-2</v>
      </c>
      <c r="W2747">
        <v>0.13770299999999999</v>
      </c>
      <c r="X2747">
        <v>0.99042070000000004</v>
      </c>
      <c r="Y2747">
        <v>-3.0229260000000001E-2</v>
      </c>
      <c r="Z2747">
        <v>0.1155047</v>
      </c>
      <c r="AA2747">
        <v>0.99284680000000003</v>
      </c>
      <c r="AB2747">
        <v>31</v>
      </c>
      <c r="AC2747">
        <v>-6.0000000000002197E-2</v>
      </c>
      <c r="AD2747">
        <v>-0.100451</v>
      </c>
      <c r="AE2747">
        <v>-0.52050999999999403</v>
      </c>
      <c r="AF2747">
        <v>-2.0957510066308201E-2</v>
      </c>
      <c r="AG2747">
        <v>-0.100451</v>
      </c>
      <c r="AH2747">
        <v>0.50494666130270605</v>
      </c>
      <c r="AI2747">
        <v>101.24175417711</v>
      </c>
      <c r="AJ2747">
        <v>92.376663096004407</v>
      </c>
      <c r="AK2747">
        <v>0.51526765024589805</v>
      </c>
      <c r="AL2747">
        <v>82.085049378284594</v>
      </c>
      <c r="AM2747">
        <v>89.408126485682402</v>
      </c>
      <c r="AN2747">
        <v>0.99999998190644601</v>
      </c>
    </row>
    <row r="2748" spans="1:40" x14ac:dyDescent="0.3">
      <c r="A2748" t="str">
        <f>"20200111150902256"</f>
        <v>20200111150902256</v>
      </c>
      <c r="B2748" t="str">
        <f>"1578726542246500"</f>
        <v>1578726542246500</v>
      </c>
      <c r="C2748" t="s">
        <v>40</v>
      </c>
      <c r="D2748">
        <v>5.732024</v>
      </c>
      <c r="E2748">
        <v>0.47618339999999998</v>
      </c>
      <c r="F2748" t="s">
        <v>41</v>
      </c>
      <c r="G2748">
        <v>-300.94099999999997</v>
      </c>
      <c r="H2748">
        <v>1.019072</v>
      </c>
      <c r="I2748">
        <v>-18.604880000000001</v>
      </c>
      <c r="J2748">
        <v>-300.89699999999999</v>
      </c>
      <c r="K2748">
        <v>1.113486</v>
      </c>
      <c r="L2748">
        <v>-18.120480000000001</v>
      </c>
      <c r="M2748">
        <v>-0.15115909999999999</v>
      </c>
      <c r="N2748">
        <v>0</v>
      </c>
      <c r="O2748">
        <v>-0.98843099999999995</v>
      </c>
      <c r="P2748">
        <v>-0.16023809999999999</v>
      </c>
      <c r="Q2748">
        <v>0.12527639999999901</v>
      </c>
      <c r="R2748">
        <v>-0.97909610000000002</v>
      </c>
      <c r="S2748">
        <v>-0.3399353</v>
      </c>
      <c r="T2748">
        <v>-0.35972330000000002</v>
      </c>
      <c r="U2748">
        <v>-3.0553590000000002</v>
      </c>
      <c r="V2748">
        <v>9.2184429999999998E-3</v>
      </c>
      <c r="W2748">
        <v>0.13770679999999999</v>
      </c>
      <c r="X2748">
        <v>0.99043009999999998</v>
      </c>
      <c r="Y2748">
        <v>-4.1673809999999999E-2</v>
      </c>
      <c r="Z2748">
        <v>0.11452610000000001</v>
      </c>
      <c r="AA2748">
        <v>0.99254569999999998</v>
      </c>
      <c r="AB2748">
        <v>31</v>
      </c>
      <c r="AC2748">
        <v>-4.3999999999982699E-2</v>
      </c>
      <c r="AD2748">
        <v>-9.4413999999999998E-2</v>
      </c>
      <c r="AE2748">
        <v>-0.484399999999997</v>
      </c>
      <c r="AF2748">
        <v>-2.86531944823307E-2</v>
      </c>
      <c r="AG2748">
        <v>-9.4413999999999998E-2</v>
      </c>
      <c r="AH2748">
        <v>0.46785640157286501</v>
      </c>
      <c r="AI2748">
        <v>101.388353371169</v>
      </c>
      <c r="AJ2748">
        <v>93.504620556848195</v>
      </c>
      <c r="AK2748">
        <v>0.47814707093398801</v>
      </c>
      <c r="AL2748">
        <v>82.084829407354306</v>
      </c>
      <c r="AM2748">
        <v>89.466734072008506</v>
      </c>
      <c r="AN2748">
        <v>0.99999996272179603</v>
      </c>
    </row>
    <row r="2749" spans="1:40" x14ac:dyDescent="0.3">
      <c r="A2749" t="str">
        <f>"20200111150902280"</f>
        <v>20200111150902280</v>
      </c>
      <c r="B2749" t="str">
        <f>"1578726542276756"</f>
        <v>1578726542276756</v>
      </c>
      <c r="C2749" t="s">
        <v>40</v>
      </c>
      <c r="D2749">
        <v>5.6774019999999998</v>
      </c>
      <c r="E2749">
        <v>0.47221780000000002</v>
      </c>
      <c r="F2749" t="s">
        <v>43</v>
      </c>
      <c r="G2749">
        <v>-301.81720000000001</v>
      </c>
      <c r="H2749" s="1">
        <v>-1.644741E-6</v>
      </c>
      <c r="I2749">
        <v>-27.70402</v>
      </c>
      <c r="J2749">
        <v>-300.94170000000003</v>
      </c>
      <c r="K2749">
        <v>1.113459</v>
      </c>
      <c r="L2749">
        <v>-18.44238</v>
      </c>
      <c r="M2749">
        <v>-0.14677079999999901</v>
      </c>
      <c r="N2749">
        <v>0</v>
      </c>
      <c r="O2749">
        <v>-0.98909239999999998</v>
      </c>
      <c r="P2749">
        <v>-0.1549499</v>
      </c>
      <c r="Q2749">
        <v>0.12455140000000001</v>
      </c>
      <c r="R2749">
        <v>-0.98003980000000002</v>
      </c>
      <c r="S2749">
        <v>-0.29394530000000002</v>
      </c>
      <c r="T2749">
        <v>-0.35570380000000001</v>
      </c>
      <c r="U2749">
        <v>-3.0614620000000001</v>
      </c>
      <c r="V2749">
        <v>8.2655669999999997E-3</v>
      </c>
      <c r="W2749">
        <v>0.13696759999999999</v>
      </c>
      <c r="X2749">
        <v>0.990541</v>
      </c>
      <c r="Y2749">
        <v>-5.2190889999999997E-2</v>
      </c>
      <c r="Z2749">
        <v>0.1132118</v>
      </c>
      <c r="AA2749">
        <v>0.99219919999999995</v>
      </c>
      <c r="AB2749">
        <v>31</v>
      </c>
      <c r="AC2749">
        <v>-0.87549999999998795</v>
      </c>
      <c r="AD2749">
        <v>-1.113460644741</v>
      </c>
      <c r="AE2749">
        <v>-9.2616399999999999</v>
      </c>
      <c r="AF2749">
        <v>-0.48645729484802203</v>
      </c>
      <c r="AG2749">
        <v>-1.113460644741</v>
      </c>
      <c r="AH2749">
        <v>9.1586313455111501</v>
      </c>
      <c r="AI2749">
        <v>96.922054456796005</v>
      </c>
      <c r="AJ2749">
        <v>93.040387006587295</v>
      </c>
      <c r="AK2749">
        <v>9.2388832350061207</v>
      </c>
      <c r="AL2749">
        <v>82.127587573397193</v>
      </c>
      <c r="AM2749">
        <v>89.521906601644801</v>
      </c>
      <c r="AN2749">
        <v>0.99999995786429396</v>
      </c>
    </row>
    <row r="2750" spans="1:40" x14ac:dyDescent="0.3">
      <c r="A2750" t="str">
        <f>"20200111150902301"</f>
        <v>20200111150902301</v>
      </c>
      <c r="B2750" t="str">
        <f>"1578726542296276"</f>
        <v>1578726542296276</v>
      </c>
      <c r="C2750" t="s">
        <v>40</v>
      </c>
      <c r="D2750">
        <v>5.7135629999999997</v>
      </c>
      <c r="E2750">
        <v>0.46994789999999997</v>
      </c>
      <c r="F2750" t="s">
        <v>41</v>
      </c>
      <c r="G2750">
        <v>-301.02089999999998</v>
      </c>
      <c r="H2750">
        <v>0.99924230000000003</v>
      </c>
      <c r="I2750">
        <v>-19.428989999999999</v>
      </c>
      <c r="J2750">
        <v>-300.98079999999999</v>
      </c>
      <c r="K2750">
        <v>1.1133999999999999</v>
      </c>
      <c r="L2750">
        <v>-18.73199</v>
      </c>
      <c r="M2750">
        <v>-0.14296329999999999</v>
      </c>
      <c r="N2750">
        <v>0</v>
      </c>
      <c r="O2750">
        <v>-0.98964989999999997</v>
      </c>
      <c r="P2750">
        <v>-0.15005879999999999</v>
      </c>
      <c r="Q2750">
        <v>0.123789</v>
      </c>
      <c r="R2750">
        <v>-0.98089680000000001</v>
      </c>
      <c r="S2750">
        <v>-0.24575810000000001</v>
      </c>
      <c r="T2750">
        <v>-0.35520309999999999</v>
      </c>
      <c r="U2750">
        <v>-3.067383</v>
      </c>
      <c r="V2750">
        <v>7.1466969999999996E-3</v>
      </c>
      <c r="W2750">
        <v>0.1361887</v>
      </c>
      <c r="X2750">
        <v>0.99065720000000002</v>
      </c>
      <c r="Y2750">
        <v>-6.3989999999999894E-2</v>
      </c>
      <c r="Z2750">
        <v>0.11297160000000001</v>
      </c>
      <c r="AA2750">
        <v>0.99153550000000001</v>
      </c>
      <c r="AB2750">
        <v>31</v>
      </c>
      <c r="AC2750">
        <v>-4.0099999999995299E-2</v>
      </c>
      <c r="AD2750">
        <v>-0.114157699999999</v>
      </c>
      <c r="AE2750">
        <v>-0.69699999999999895</v>
      </c>
      <c r="AF2750">
        <v>-5.8403568060246498E-2</v>
      </c>
      <c r="AG2750">
        <v>-0.114157699999999</v>
      </c>
      <c r="AH2750">
        <v>0.67745945711456501</v>
      </c>
      <c r="AI2750">
        <v>99.530272958615399</v>
      </c>
      <c r="AJ2750">
        <v>94.927268674900006</v>
      </c>
      <c r="AK2750">
        <v>0.68948841416329798</v>
      </c>
      <c r="AL2750">
        <v>82.172638232631002</v>
      </c>
      <c r="AM2750">
        <v>89.586669866924296</v>
      </c>
      <c r="AN2750">
        <v>1.00000006259876</v>
      </c>
    </row>
    <row r="2751" spans="1:40" x14ac:dyDescent="0.3">
      <c r="A2751" t="str">
        <f>"20200111150902323"</f>
        <v>20200111150902323</v>
      </c>
      <c r="B2751" t="str">
        <f>"1578726542316772"</f>
        <v>1578726542316772</v>
      </c>
      <c r="C2751" t="s">
        <v>40</v>
      </c>
      <c r="D2751">
        <v>5.7628719999999998</v>
      </c>
      <c r="E2751">
        <v>0.46830729999999998</v>
      </c>
      <c r="F2751" t="s">
        <v>41</v>
      </c>
      <c r="G2751">
        <v>-301.0487</v>
      </c>
      <c r="H2751">
        <v>1.0005010000000001</v>
      </c>
      <c r="I2751">
        <v>-19.709810000000001</v>
      </c>
      <c r="J2751">
        <v>-301.02199999999999</v>
      </c>
      <c r="K2751">
        <v>1.113318</v>
      </c>
      <c r="L2751">
        <v>-19.046420000000001</v>
      </c>
      <c r="M2751">
        <v>-0.13896410000000001</v>
      </c>
      <c r="N2751">
        <v>0</v>
      </c>
      <c r="O2751">
        <v>-0.99021930000000002</v>
      </c>
      <c r="P2751">
        <v>-0.14523629999999901</v>
      </c>
      <c r="Q2751">
        <v>0.1228096</v>
      </c>
      <c r="R2751">
        <v>-0.9817458</v>
      </c>
      <c r="S2751">
        <v>-0.21279909999999999</v>
      </c>
      <c r="T2751">
        <v>-0.35464289999999998</v>
      </c>
      <c r="U2751">
        <v>-3.0706180000000001</v>
      </c>
      <c r="V2751">
        <v>6.2960830000000001E-3</v>
      </c>
      <c r="W2751">
        <v>0.1351956</v>
      </c>
      <c r="X2751">
        <v>0.99079899999999999</v>
      </c>
      <c r="Y2751">
        <v>-7.0621799999999998E-2</v>
      </c>
      <c r="Z2751">
        <v>0.1127942</v>
      </c>
      <c r="AA2751">
        <v>0.99110540000000003</v>
      </c>
      <c r="AB2751">
        <v>31</v>
      </c>
      <c r="AC2751">
        <v>-2.6700000000005199E-2</v>
      </c>
      <c r="AD2751">
        <v>-0.112816999999999</v>
      </c>
      <c r="AE2751">
        <v>-0.66338999999999904</v>
      </c>
      <c r="AF2751">
        <v>-6.3908330851112E-2</v>
      </c>
      <c r="AG2751">
        <v>-0.112816999999999</v>
      </c>
      <c r="AH2751">
        <v>0.64212233430399801</v>
      </c>
      <c r="AI2751">
        <v>99.916804010306905</v>
      </c>
      <c r="AJ2751">
        <v>95.683743514735795</v>
      </c>
      <c r="AK2751">
        <v>0.65508246996328001</v>
      </c>
      <c r="AL2751">
        <v>82.230069946708895</v>
      </c>
      <c r="AM2751">
        <v>89.635915934617998</v>
      </c>
      <c r="AN2751">
        <v>1.00000007466074</v>
      </c>
    </row>
    <row r="2752" spans="1:40" x14ac:dyDescent="0.3">
      <c r="A2752" t="str">
        <f>"20200111150902346"</f>
        <v>20200111150902346</v>
      </c>
      <c r="B2752" t="str">
        <f>"1578726542336292"</f>
        <v>1578726542336292</v>
      </c>
      <c r="C2752" t="s">
        <v>40</v>
      </c>
      <c r="D2752">
        <v>5.7763479999999996</v>
      </c>
      <c r="E2752">
        <v>0.46676210000000001</v>
      </c>
      <c r="F2752" t="s">
        <v>43</v>
      </c>
      <c r="G2752">
        <v>-301.59930000000003</v>
      </c>
      <c r="H2752" s="1">
        <v>-1.1879389999999999E-6</v>
      </c>
      <c r="I2752">
        <v>-28.633700000000001</v>
      </c>
      <c r="J2752">
        <v>-301.0609</v>
      </c>
      <c r="K2752">
        <v>1.113229</v>
      </c>
      <c r="L2752">
        <v>-19.352080000000001</v>
      </c>
      <c r="M2752">
        <v>-0.13522529999999999</v>
      </c>
      <c r="N2752">
        <v>0</v>
      </c>
      <c r="O2752">
        <v>-0.99073699999999998</v>
      </c>
      <c r="P2752">
        <v>-0.14196779999999901</v>
      </c>
      <c r="Q2752">
        <v>0.1219792</v>
      </c>
      <c r="R2752">
        <v>-0.98232680000000006</v>
      </c>
      <c r="S2752">
        <v>-0.18505859999999999</v>
      </c>
      <c r="T2752">
        <v>-0.3568577</v>
      </c>
      <c r="U2752">
        <v>-3.0730590000000002</v>
      </c>
      <c r="V2752">
        <v>6.7604709999999997E-3</v>
      </c>
      <c r="W2752">
        <v>0.13436210000000001</v>
      </c>
      <c r="X2752">
        <v>0.99090919999999905</v>
      </c>
      <c r="Y2752">
        <v>-7.5823399999999999E-2</v>
      </c>
      <c r="Z2752">
        <v>0.1134997</v>
      </c>
      <c r="AA2752">
        <v>0.99064050000000003</v>
      </c>
      <c r="AB2752">
        <v>31</v>
      </c>
      <c r="AC2752">
        <v>-0.53840000000002397</v>
      </c>
      <c r="AD2752">
        <v>-1.1132301879390001</v>
      </c>
      <c r="AE2752">
        <v>-9.2816200000000002</v>
      </c>
      <c r="AF2752">
        <v>-0.71155110804089095</v>
      </c>
      <c r="AG2752">
        <v>-1.1132301879390001</v>
      </c>
      <c r="AH2752">
        <v>9.1381496415159198</v>
      </c>
      <c r="AI2752">
        <v>96.924920591408494</v>
      </c>
      <c r="AJ2752">
        <v>94.452408858752506</v>
      </c>
      <c r="AK2752">
        <v>9.2331665912313401</v>
      </c>
      <c r="AL2752">
        <v>82.278264840630797</v>
      </c>
      <c r="AM2752">
        <v>89.6091060148335</v>
      </c>
      <c r="AN2752">
        <v>0.99999996026459403</v>
      </c>
    </row>
    <row r="2753" spans="1:40" x14ac:dyDescent="0.3">
      <c r="A2753" t="str">
        <f>"20200111150902502"</f>
        <v>20200111150902502</v>
      </c>
      <c r="B2753" t="str">
        <f>"1578726542496653"</f>
        <v>1578726542496653</v>
      </c>
      <c r="C2753" t="s">
        <v>40</v>
      </c>
      <c r="D2753">
        <v>9.1036699999999993</v>
      </c>
      <c r="E2753">
        <v>0.46584039999999999</v>
      </c>
      <c r="F2753" t="s">
        <v>43</v>
      </c>
      <c r="G2753">
        <v>-301.57389999999998</v>
      </c>
      <c r="H2753" s="1">
        <v>-1.010336E-6</v>
      </c>
      <c r="I2753">
        <v>-29.03191</v>
      </c>
      <c r="J2753">
        <v>-301.31049999999999</v>
      </c>
      <c r="K2753">
        <v>1.1124529999999999</v>
      </c>
      <c r="L2753">
        <v>-21.515689999999999</v>
      </c>
      <c r="M2753">
        <v>-0.1131605</v>
      </c>
      <c r="N2753">
        <v>0</v>
      </c>
      <c r="O2753">
        <v>-0.99349969999999999</v>
      </c>
      <c r="P2753">
        <v>-0.1187585</v>
      </c>
      <c r="Q2753">
        <v>0.12403790000000001</v>
      </c>
      <c r="R2753">
        <v>-0.98514559999999995</v>
      </c>
      <c r="S2753">
        <v>-0.16290279999999999</v>
      </c>
      <c r="T2753">
        <v>-0.35356470000000001</v>
      </c>
      <c r="U2753">
        <v>-3.074341</v>
      </c>
      <c r="V2753">
        <v>5.6977679999999998E-3</v>
      </c>
      <c r="W2753">
        <v>0.136354</v>
      </c>
      <c r="X2753">
        <v>0.99064379999999996</v>
      </c>
      <c r="Y2753">
        <v>-6.0777150000000002E-2</v>
      </c>
      <c r="Z2753">
        <v>0.1129718</v>
      </c>
      <c r="AA2753">
        <v>0.9917376</v>
      </c>
      <c r="AB2753">
        <v>31</v>
      </c>
      <c r="AC2753">
        <v>-0.26339999999998998</v>
      </c>
      <c r="AD2753">
        <v>-1.1124540103360001</v>
      </c>
      <c r="AE2753">
        <v>-7.5162199999999899</v>
      </c>
      <c r="AF2753">
        <v>-0.57628772392501304</v>
      </c>
      <c r="AG2753">
        <v>-1.1124540103360001</v>
      </c>
      <c r="AH2753">
        <v>7.3372100238323297</v>
      </c>
      <c r="AI2753">
        <v>98.595340999108004</v>
      </c>
      <c r="AJ2753">
        <v>94.490972233645195</v>
      </c>
      <c r="AK2753">
        <v>7.4434073111502403</v>
      </c>
      <c r="AL2753">
        <v>82.163077630090299</v>
      </c>
      <c r="AM2753">
        <v>89.670462320263198</v>
      </c>
      <c r="AN2753">
        <v>1.0000000081773099</v>
      </c>
    </row>
    <row r="2754" spans="1:40" x14ac:dyDescent="0.3">
      <c r="A2754" t="str">
        <f>"20200111150902531"</f>
        <v>20200111150902531</v>
      </c>
      <c r="B2754" t="str">
        <f>"1578726542526910"</f>
        <v>1578726542526910</v>
      </c>
      <c r="C2754" t="s">
        <v>40</v>
      </c>
      <c r="D2754">
        <v>6.9135039999999996</v>
      </c>
      <c r="E2754">
        <v>0.52938039999999997</v>
      </c>
      <c r="F2754" t="s">
        <v>43</v>
      </c>
      <c r="G2754">
        <v>-301.5804</v>
      </c>
      <c r="H2754" s="1">
        <v>-4.2117230000000003E-6</v>
      </c>
      <c r="I2754">
        <v>-31.460629999999998</v>
      </c>
      <c r="J2754">
        <v>-301.35219999999998</v>
      </c>
      <c r="K2754">
        <v>1.1123430000000001</v>
      </c>
      <c r="L2754">
        <v>-21.91553</v>
      </c>
      <c r="M2754">
        <v>-0.10978350000000001</v>
      </c>
      <c r="N2754">
        <v>0</v>
      </c>
      <c r="O2754">
        <v>-0.9938787</v>
      </c>
      <c r="P2754">
        <v>-0.1157127</v>
      </c>
      <c r="Q2754">
        <v>0.1237646</v>
      </c>
      <c r="R2754">
        <v>-0.98554219999999904</v>
      </c>
      <c r="S2754">
        <v>-8.3526610000000001E-2</v>
      </c>
      <c r="T2754">
        <v>-0.34436820000000001</v>
      </c>
      <c r="U2754">
        <v>-3.078522</v>
      </c>
      <c r="V2754">
        <v>6.038196E-3</v>
      </c>
      <c r="W2754">
        <v>0.1360748</v>
      </c>
      <c r="X2754">
        <v>0.99068020000000001</v>
      </c>
      <c r="Y2754">
        <v>-8.2957680000000006E-2</v>
      </c>
      <c r="Z2754">
        <v>0.1099516</v>
      </c>
      <c r="AA2754">
        <v>0.99046889999999999</v>
      </c>
      <c r="AB2754">
        <v>31</v>
      </c>
      <c r="AC2754">
        <v>-0.228200000000015</v>
      </c>
      <c r="AD2754">
        <v>-1.112347211723</v>
      </c>
      <c r="AE2754">
        <v>-9.5450999999999908</v>
      </c>
      <c r="AF2754">
        <v>-0.81015790322852699</v>
      </c>
      <c r="AG2754">
        <v>-1.112347211723</v>
      </c>
      <c r="AH2754">
        <v>9.3850682485028099</v>
      </c>
      <c r="AI2754">
        <v>96.734524495253694</v>
      </c>
      <c r="AJ2754">
        <v>94.933777625864906</v>
      </c>
      <c r="AK2754">
        <v>9.4854192409533091</v>
      </c>
      <c r="AL2754">
        <v>82.179225326028202</v>
      </c>
      <c r="AM2754">
        <v>89.650786537670299</v>
      </c>
      <c r="AN2754">
        <v>1.0000000348389999</v>
      </c>
    </row>
    <row r="2755" spans="1:40" x14ac:dyDescent="0.3">
      <c r="A2755" t="str">
        <f>"20200111150902553"</f>
        <v>20200111150902553</v>
      </c>
      <c r="B2755" t="str">
        <f>"1578726542546428"</f>
        <v>1578726542546428</v>
      </c>
      <c r="C2755" t="s">
        <v>40</v>
      </c>
      <c r="D2755">
        <v>5.152914</v>
      </c>
      <c r="E2755">
        <v>0.52282470000000003</v>
      </c>
      <c r="F2755" t="s">
        <v>103</v>
      </c>
      <c r="G2755">
        <v>-312.78399999999999</v>
      </c>
      <c r="H2755">
        <v>8.3587889999999998</v>
      </c>
      <c r="I2755">
        <v>-79.671169999999904</v>
      </c>
      <c r="J2755">
        <v>-301.38299999999998</v>
      </c>
      <c r="K2755">
        <v>1.112277</v>
      </c>
      <c r="L2755">
        <v>-22.21753</v>
      </c>
      <c r="M2755">
        <v>-0.1073027</v>
      </c>
      <c r="N2755">
        <v>0</v>
      </c>
      <c r="O2755">
        <v>-0.99414959999999997</v>
      </c>
      <c r="P2755">
        <v>-0.1145577</v>
      </c>
      <c r="Q2755">
        <v>0.12317110000000001</v>
      </c>
      <c r="R2755">
        <v>-0.9857513</v>
      </c>
      <c r="S2755">
        <v>-0.57989499999999905</v>
      </c>
      <c r="T2755">
        <v>0.36758839999999998</v>
      </c>
      <c r="U2755">
        <v>-2.9297490000000002</v>
      </c>
      <c r="V2755">
        <v>7.3689080000000004E-3</v>
      </c>
      <c r="W2755">
        <v>0.13548379999999999</v>
      </c>
      <c r="X2755">
        <v>0.99075219999999997</v>
      </c>
      <c r="Y2755">
        <v>8.6318580000000006E-2</v>
      </c>
      <c r="Z2755">
        <v>-0.1220268</v>
      </c>
      <c r="AA2755">
        <v>0.98876620000000004</v>
      </c>
      <c r="AB2755">
        <v>31</v>
      </c>
      <c r="AC2755">
        <v>-11.401</v>
      </c>
      <c r="AD2755">
        <v>7.2465119999999903</v>
      </c>
      <c r="AE2755">
        <v>-57.453639999999901</v>
      </c>
      <c r="AF2755">
        <v>5.0918302610313697</v>
      </c>
      <c r="AG2755">
        <v>7.2465119999999903</v>
      </c>
      <c r="AH2755">
        <v>57.465779699437498</v>
      </c>
      <c r="AI2755">
        <v>82.840617324916096</v>
      </c>
      <c r="AJ2755">
        <v>84.9364566197101</v>
      </c>
      <c r="AK2755">
        <v>58.144256019297202</v>
      </c>
      <c r="AL2755">
        <v>82.213403703719706</v>
      </c>
      <c r="AM2755">
        <v>89.573859595887896</v>
      </c>
      <c r="AN2755">
        <v>1.00000004133619</v>
      </c>
    </row>
    <row r="2756" spans="1:40" x14ac:dyDescent="0.3">
      <c r="A2756" t="str">
        <f>"20200111150902599"</f>
        <v>20200111150902599</v>
      </c>
      <c r="B2756" t="str">
        <f>"1578726542596288"</f>
        <v>1578726542596288</v>
      </c>
      <c r="C2756" t="s">
        <v>40</v>
      </c>
      <c r="D2756">
        <v>6.1210069999999996</v>
      </c>
      <c r="E2756">
        <v>0.52960450000000003</v>
      </c>
      <c r="F2756" t="s">
        <v>103</v>
      </c>
      <c r="G2756">
        <v>-311.6191</v>
      </c>
      <c r="H2756">
        <v>6.674086</v>
      </c>
      <c r="I2756">
        <v>-79.785579999999996</v>
      </c>
      <c r="J2756">
        <v>-301.44619999999998</v>
      </c>
      <c r="K2756">
        <v>1.1121840000000001</v>
      </c>
      <c r="L2756">
        <v>-22.862919999999999</v>
      </c>
      <c r="M2756">
        <v>-0.1021193</v>
      </c>
      <c r="N2756">
        <v>0</v>
      </c>
      <c r="O2756">
        <v>-0.99469529999999995</v>
      </c>
      <c r="P2756">
        <v>-0.11268839999999999</v>
      </c>
      <c r="Q2756">
        <v>0.1213943</v>
      </c>
      <c r="R2756">
        <v>-0.98618689999999998</v>
      </c>
      <c r="S2756">
        <v>-0.52398679999999997</v>
      </c>
      <c r="T2756">
        <v>0.28470889999999999</v>
      </c>
      <c r="U2756">
        <v>-2.9468990000000002</v>
      </c>
      <c r="V2756">
        <v>1.0675550000000001E-2</v>
      </c>
      <c r="W2756">
        <v>0.13371759999999999</v>
      </c>
      <c r="X2756">
        <v>0.99096200000000001</v>
      </c>
      <c r="Y2756">
        <v>7.2810479999999997E-2</v>
      </c>
      <c r="Z2756">
        <v>-9.4554040000000006E-2</v>
      </c>
      <c r="AA2756">
        <v>0.99285350000000006</v>
      </c>
      <c r="AB2756">
        <v>31</v>
      </c>
      <c r="AC2756">
        <v>-10.1729</v>
      </c>
      <c r="AD2756">
        <v>5.5619019999999999</v>
      </c>
      <c r="AE2756">
        <v>-56.92266</v>
      </c>
      <c r="AF2756">
        <v>4.2668868479717998</v>
      </c>
      <c r="AG2756">
        <v>5.5619019999999999</v>
      </c>
      <c r="AH2756">
        <v>57.135360446363499</v>
      </c>
      <c r="AI2756">
        <v>84.455343906548705</v>
      </c>
      <c r="AJ2756">
        <v>85.729061119707893</v>
      </c>
      <c r="AK2756">
        <v>57.563794963213397</v>
      </c>
      <c r="AL2756">
        <v>82.315528737758001</v>
      </c>
      <c r="AM2756">
        <v>89.382781278935695</v>
      </c>
      <c r="AN2756">
        <v>1.0000000246807801</v>
      </c>
    </row>
    <row r="2757" spans="1:40" x14ac:dyDescent="0.3">
      <c r="A2757" t="str">
        <f>"20200111150903380"</f>
        <v>20200111150903380</v>
      </c>
      <c r="B2757" t="str">
        <f>"1578726543376800"</f>
        <v>1578726543376800</v>
      </c>
      <c r="C2757" t="s">
        <v>40</v>
      </c>
      <c r="D2757">
        <v>6.4198760000000004</v>
      </c>
      <c r="E2757">
        <v>0.39122050000000003</v>
      </c>
      <c r="F2757" t="s">
        <v>103</v>
      </c>
      <c r="G2757">
        <v>-312.54880000000003</v>
      </c>
      <c r="H2757">
        <v>8.3494050000000009</v>
      </c>
      <c r="I2757">
        <v>-79.671169999999904</v>
      </c>
      <c r="J2757">
        <v>-302.06900000000002</v>
      </c>
      <c r="K2757">
        <v>1.111408</v>
      </c>
      <c r="L2757">
        <v>-33.70364</v>
      </c>
      <c r="M2757">
        <v>-3.1739049999999998E-2</v>
      </c>
      <c r="N2757">
        <v>0</v>
      </c>
      <c r="O2757">
        <v>-0.99941849999999999</v>
      </c>
      <c r="P2757">
        <v>-9.6747719999999999E-3</v>
      </c>
      <c r="Q2757">
        <v>0.119223</v>
      </c>
      <c r="R2757">
        <v>-0.9928207</v>
      </c>
      <c r="S2757">
        <v>-0.57275390000000004</v>
      </c>
      <c r="T2757">
        <v>0.37335170000000001</v>
      </c>
      <c r="U2757">
        <v>-2.9306030000000001</v>
      </c>
      <c r="V2757">
        <v>-2.2290709999999998E-2</v>
      </c>
      <c r="W2757">
        <v>0.13152320000000001</v>
      </c>
      <c r="X2757">
        <v>0.99106249999999996</v>
      </c>
      <c r="Y2757">
        <v>0.15907399999999999</v>
      </c>
      <c r="Z2757">
        <v>-0.1243205</v>
      </c>
      <c r="AA2757">
        <v>0.9794079</v>
      </c>
      <c r="AB2757">
        <v>31</v>
      </c>
      <c r="AC2757">
        <v>-10.479799999999999</v>
      </c>
      <c r="AD2757">
        <v>7.237997</v>
      </c>
      <c r="AE2757">
        <v>-45.967529999999897</v>
      </c>
      <c r="AF2757">
        <v>8.8078540104026004</v>
      </c>
      <c r="AG2757">
        <v>7.237997</v>
      </c>
      <c r="AH2757">
        <v>45.211454268489597</v>
      </c>
      <c r="AI2757">
        <v>81.069683336716395</v>
      </c>
      <c r="AJ2757">
        <v>78.976021648312596</v>
      </c>
      <c r="AK2757">
        <v>46.626628549706403</v>
      </c>
      <c r="AL2757">
        <v>82.442379320100997</v>
      </c>
      <c r="AM2757">
        <v>91.288463954334503</v>
      </c>
      <c r="AN2757">
        <v>1.0000000533983899</v>
      </c>
    </row>
    <row r="2758" spans="1:40" x14ac:dyDescent="0.3">
      <c r="A2758" t="str">
        <f>"20200111150903928"</f>
        <v>20200111150903928</v>
      </c>
      <c r="B2758" t="str">
        <f>"1578726543917034"</f>
        <v>1578726543917034</v>
      </c>
      <c r="C2758" t="s">
        <v>40</v>
      </c>
      <c r="D2758">
        <v>5.7816479999999997</v>
      </c>
      <c r="E2758">
        <v>0.39631939999999999</v>
      </c>
      <c r="F2758" t="s">
        <v>103</v>
      </c>
      <c r="G2758">
        <v>-285.96370000000002</v>
      </c>
      <c r="H2758">
        <v>0.39911079999999999</v>
      </c>
      <c r="I2758">
        <v>-91.564989999999995</v>
      </c>
      <c r="J2758">
        <v>-301.91609999999997</v>
      </c>
      <c r="K2758">
        <v>1.114752</v>
      </c>
      <c r="L2758">
        <v>-41.249630000000003</v>
      </c>
      <c r="M2758">
        <v>6.6452839999999999E-2</v>
      </c>
      <c r="N2758">
        <v>0</v>
      </c>
      <c r="O2758">
        <v>-0.9977087</v>
      </c>
      <c r="P2758">
        <v>0.2307546</v>
      </c>
      <c r="Q2758">
        <v>0.13325379999999901</v>
      </c>
      <c r="R2758">
        <v>-0.96384420000000004</v>
      </c>
      <c r="S2758">
        <v>0.84460449999999998</v>
      </c>
      <c r="T2758">
        <v>-3.7353869999999997E-2</v>
      </c>
      <c r="U2758">
        <v>-3.0343930000000001</v>
      </c>
      <c r="V2758">
        <v>-0.1678355</v>
      </c>
      <c r="W2758">
        <v>0.14376129999999901</v>
      </c>
      <c r="X2758">
        <v>0.97527640000000004</v>
      </c>
      <c r="Y2758">
        <v>-0.2035139</v>
      </c>
      <c r="Z2758">
        <v>1.191332E-2</v>
      </c>
      <c r="AA2758">
        <v>0.97899959999999997</v>
      </c>
      <c r="AB2758">
        <v>31</v>
      </c>
      <c r="AC2758">
        <v>15.9523999999999</v>
      </c>
      <c r="AD2758">
        <v>-0.71564119999999998</v>
      </c>
      <c r="AE2758">
        <v>-50.315359999999998</v>
      </c>
      <c r="AF2758">
        <v>-12.570953425963699</v>
      </c>
      <c r="AG2758">
        <v>-0.71564119999999998</v>
      </c>
      <c r="AH2758">
        <v>51.254869479432799</v>
      </c>
      <c r="AI2758">
        <v>90.776911754477396</v>
      </c>
      <c r="AJ2758">
        <v>103.78054735156</v>
      </c>
      <c r="AK2758">
        <v>52.778808794047002</v>
      </c>
      <c r="AL2758">
        <v>81.734445115285197</v>
      </c>
      <c r="AM2758">
        <v>99.764400159765401</v>
      </c>
      <c r="AN2758">
        <v>1.00000006141744</v>
      </c>
    </row>
    <row r="2759" spans="1:40" x14ac:dyDescent="0.3">
      <c r="A2759" t="str">
        <f>"20200111150903956"</f>
        <v>20200111150903956</v>
      </c>
      <c r="B2759" t="str">
        <f>"1578726543946315"</f>
        <v>1578726543946315</v>
      </c>
      <c r="C2759" t="s">
        <v>40</v>
      </c>
      <c r="D2759">
        <v>5.7671919999999997</v>
      </c>
      <c r="E2759">
        <v>0.30836730000000001</v>
      </c>
      <c r="F2759" t="s">
        <v>41</v>
      </c>
      <c r="G2759">
        <v>-301.41090000000003</v>
      </c>
      <c r="H2759">
        <v>1.0724990000000001</v>
      </c>
      <c r="I2759">
        <v>-42.180860000000003</v>
      </c>
      <c r="J2759">
        <v>-301.88240000000002</v>
      </c>
      <c r="K2759">
        <v>1.114933</v>
      </c>
      <c r="L2759">
        <v>-41.635530000000003</v>
      </c>
      <c r="M2759">
        <v>7.3999019999999999E-2</v>
      </c>
      <c r="N2759">
        <v>0</v>
      </c>
      <c r="O2759">
        <v>-0.99717719999999999</v>
      </c>
      <c r="P2759">
        <v>0.2425156</v>
      </c>
      <c r="Q2759">
        <v>0.1341657</v>
      </c>
      <c r="R2759">
        <v>-0.96082579999999995</v>
      </c>
      <c r="S2759">
        <v>1.5026550000000001</v>
      </c>
      <c r="T2759">
        <v>-0.12569369999999999</v>
      </c>
      <c r="U2759">
        <v>-2.7701720000000001</v>
      </c>
      <c r="V2759">
        <v>-0.17246539999999999</v>
      </c>
      <c r="W2759">
        <v>0.14455170000000001</v>
      </c>
      <c r="X2759">
        <v>0.97435130000000003</v>
      </c>
      <c r="Y2759">
        <v>-0.41006350000000003</v>
      </c>
      <c r="Z2759">
        <v>4.0375960000000002E-2</v>
      </c>
      <c r="AA2759">
        <v>0.91116280000000005</v>
      </c>
      <c r="AB2759">
        <v>31</v>
      </c>
      <c r="AC2759">
        <v>0.47149999999999098</v>
      </c>
      <c r="AD2759">
        <v>-4.2433999999999999E-2</v>
      </c>
      <c r="AE2759">
        <v>-0.54532999999999898</v>
      </c>
      <c r="AF2759">
        <v>-0.42836573557088198</v>
      </c>
      <c r="AG2759">
        <v>-4.2433999999999999E-2</v>
      </c>
      <c r="AH2759">
        <v>0.57672974371096297</v>
      </c>
      <c r="AI2759">
        <v>93.380331679544895</v>
      </c>
      <c r="AJ2759">
        <v>126.603100732082</v>
      </c>
      <c r="AK2759">
        <v>0.71966314692924005</v>
      </c>
      <c r="AL2759">
        <v>81.688679852181494</v>
      </c>
      <c r="AM2759">
        <v>100.03769172093899</v>
      </c>
      <c r="AN2759">
        <v>0.99999998199086904</v>
      </c>
    </row>
    <row r="2760" spans="1:40" x14ac:dyDescent="0.3">
      <c r="A2760" t="str">
        <f>"20200111150903984"</f>
        <v>20200111150903984</v>
      </c>
      <c r="B2760" t="str">
        <f>"1578726543976570"</f>
        <v>1578726543976570</v>
      </c>
      <c r="C2760" t="s">
        <v>40</v>
      </c>
      <c r="D2760">
        <v>4.4764489999999997</v>
      </c>
      <c r="E2760">
        <v>0.40417809999999998</v>
      </c>
      <c r="F2760" t="s">
        <v>68</v>
      </c>
      <c r="G2760">
        <v>-268.42500000000001</v>
      </c>
      <c r="H2760">
        <v>6.7364579999999998</v>
      </c>
      <c r="I2760">
        <v>-79.671169999999904</v>
      </c>
      <c r="J2760">
        <v>-301.84640000000002</v>
      </c>
      <c r="K2760">
        <v>1.1151279999999999</v>
      </c>
      <c r="L2760">
        <v>-42.01144</v>
      </c>
      <c r="M2760">
        <v>8.1668240000000003E-2</v>
      </c>
      <c r="N2760">
        <v>0</v>
      </c>
      <c r="O2760">
        <v>-0.99657819999999997</v>
      </c>
      <c r="P2760">
        <v>0.25341599999999997</v>
      </c>
      <c r="Q2760">
        <v>0.13466420000000001</v>
      </c>
      <c r="R2760">
        <v>-0.95793850000000003</v>
      </c>
      <c r="S2760">
        <v>2.210175</v>
      </c>
      <c r="T2760">
        <v>0.37135430000000003</v>
      </c>
      <c r="U2760">
        <v>-2.5126040000000001</v>
      </c>
      <c r="V2760">
        <v>-0.1761231</v>
      </c>
      <c r="W2760">
        <v>0.1449358</v>
      </c>
      <c r="X2760">
        <v>0.9736397</v>
      </c>
      <c r="Y2760">
        <v>-0.59274839999999995</v>
      </c>
      <c r="Z2760">
        <v>-0.112901</v>
      </c>
      <c r="AA2760">
        <v>0.79743509999999995</v>
      </c>
      <c r="AB2760">
        <v>31</v>
      </c>
      <c r="AC2760">
        <v>33.421399999999998</v>
      </c>
      <c r="AD2760">
        <v>5.6213300000000004</v>
      </c>
      <c r="AE2760">
        <v>-37.659729999999897</v>
      </c>
      <c r="AF2760">
        <v>-29.861689956920799</v>
      </c>
      <c r="AG2760">
        <v>5.6213300000000004</v>
      </c>
      <c r="AH2760">
        <v>39.767929829514102</v>
      </c>
      <c r="AI2760">
        <v>83.551007459558704</v>
      </c>
      <c r="AJ2760">
        <v>126.902841029985</v>
      </c>
      <c r="AK2760">
        <v>50.048058113949999</v>
      </c>
      <c r="AL2760">
        <v>81.666438463329001</v>
      </c>
      <c r="AM2760">
        <v>100.253439570845</v>
      </c>
      <c r="AN2760">
        <v>0.99999999894567004</v>
      </c>
    </row>
    <row r="2761" spans="1:40" x14ac:dyDescent="0.3">
      <c r="A2761" t="str">
        <f>"20200111150904007"</f>
        <v>20200111150904007</v>
      </c>
      <c r="B2761" t="str">
        <f>"1578726543997067"</f>
        <v>1578726543997067</v>
      </c>
      <c r="C2761" t="s">
        <v>40</v>
      </c>
      <c r="D2761">
        <v>6.5265040000000001</v>
      </c>
      <c r="E2761">
        <v>0.33831999999999901</v>
      </c>
      <c r="F2761" t="s">
        <v>41</v>
      </c>
      <c r="G2761">
        <v>-301.32389999999998</v>
      </c>
      <c r="H2761">
        <v>1.009501</v>
      </c>
      <c r="I2761">
        <v>-42.973120000000002</v>
      </c>
      <c r="J2761">
        <v>-301.81220000000002</v>
      </c>
      <c r="K2761">
        <v>1.1153139999999999</v>
      </c>
      <c r="L2761">
        <v>-42.338900000000002</v>
      </c>
      <c r="M2761">
        <v>8.8648039999999997E-2</v>
      </c>
      <c r="N2761">
        <v>0</v>
      </c>
      <c r="O2761">
        <v>-0.99598140000000002</v>
      </c>
      <c r="P2761">
        <v>0.2638568</v>
      </c>
      <c r="Q2761">
        <v>0.1351996</v>
      </c>
      <c r="R2761">
        <v>-0.95503959999999999</v>
      </c>
      <c r="S2761">
        <v>1.5085139999999999</v>
      </c>
      <c r="T2761">
        <v>-0.30487399999999998</v>
      </c>
      <c r="U2761">
        <v>-2.7755130000000001</v>
      </c>
      <c r="V2761">
        <v>-0.1800137</v>
      </c>
      <c r="W2761">
        <v>0.14535279999999901</v>
      </c>
      <c r="X2761">
        <v>0.97286570000000006</v>
      </c>
      <c r="Y2761">
        <v>-0.39549420000000002</v>
      </c>
      <c r="Z2761">
        <v>9.7448380000000001E-2</v>
      </c>
      <c r="AA2761">
        <v>0.91328419999999999</v>
      </c>
      <c r="AB2761">
        <v>31</v>
      </c>
      <c r="AC2761">
        <v>0.48830000000003698</v>
      </c>
      <c r="AD2761">
        <v>-0.10581299999999901</v>
      </c>
      <c r="AE2761">
        <v>-0.63421999999999901</v>
      </c>
      <c r="AF2761">
        <v>-0.42276212833214699</v>
      </c>
      <c r="AG2761">
        <v>-0.10581299999999901</v>
      </c>
      <c r="AH2761">
        <v>0.66341911248462504</v>
      </c>
      <c r="AI2761">
        <v>97.660713151586606</v>
      </c>
      <c r="AJ2761">
        <v>122.507220191556</v>
      </c>
      <c r="AK2761">
        <v>0.79375633977362003</v>
      </c>
      <c r="AL2761">
        <v>81.642290579713602</v>
      </c>
      <c r="AM2761">
        <v>100.483128376937</v>
      </c>
      <c r="AN2761">
        <v>1.0000000194460099</v>
      </c>
    </row>
    <row r="2762" spans="1:40" x14ac:dyDescent="0.3">
      <c r="A2762" t="str">
        <f>"20200111150904054"</f>
        <v>20200111150904054</v>
      </c>
      <c r="B2762" t="str">
        <f>"1578726544046843"</f>
        <v>1578726544046843</v>
      </c>
      <c r="C2762" t="s">
        <v>40</v>
      </c>
      <c r="D2762">
        <v>5.1594939999999996</v>
      </c>
      <c r="E2762">
        <v>0.35755870000000001</v>
      </c>
      <c r="F2762" t="s">
        <v>68</v>
      </c>
      <c r="G2762">
        <v>-270.48</v>
      </c>
      <c r="H2762">
        <v>9.4795149999999992</v>
      </c>
      <c r="I2762">
        <v>-80.916469999999904</v>
      </c>
      <c r="J2762">
        <v>-301.73829999999998</v>
      </c>
      <c r="K2762">
        <v>1.1156820000000001</v>
      </c>
      <c r="L2762">
        <v>-42.97824</v>
      </c>
      <c r="M2762">
        <v>0.1030114</v>
      </c>
      <c r="N2762">
        <v>0</v>
      </c>
      <c r="O2762">
        <v>-0.99459779999999998</v>
      </c>
      <c r="P2762">
        <v>0.28222029999999998</v>
      </c>
      <c r="Q2762">
        <v>0.13397409999999901</v>
      </c>
      <c r="R2762">
        <v>-0.94994880000000004</v>
      </c>
      <c r="S2762">
        <v>2.0327449999999998</v>
      </c>
      <c r="T2762">
        <v>0.54264749999999995</v>
      </c>
      <c r="U2762">
        <v>-2.5028079999999999</v>
      </c>
      <c r="V2762">
        <v>-0.18483620000000001</v>
      </c>
      <c r="W2762">
        <v>0.1439203</v>
      </c>
      <c r="X2762">
        <v>0.97217410000000004</v>
      </c>
      <c r="Y2762">
        <v>-0.53798999999999997</v>
      </c>
      <c r="Z2762">
        <v>-0.1701358</v>
      </c>
      <c r="AA2762">
        <v>0.82560309999999903</v>
      </c>
      <c r="AB2762">
        <v>31</v>
      </c>
      <c r="AC2762">
        <v>31.258299999999899</v>
      </c>
      <c r="AD2762">
        <v>8.3638329999999996</v>
      </c>
      <c r="AE2762">
        <v>-37.938229999999898</v>
      </c>
      <c r="AF2762">
        <v>-26.418778739536702</v>
      </c>
      <c r="AG2762">
        <v>8.3638329999999996</v>
      </c>
      <c r="AH2762">
        <v>39.804276672355101</v>
      </c>
      <c r="AI2762">
        <v>80.069769303348906</v>
      </c>
      <c r="AJ2762">
        <v>123.57290943440699</v>
      </c>
      <c r="AK2762">
        <v>48.5003712764127</v>
      </c>
      <c r="AL2762">
        <v>81.725238652525206</v>
      </c>
      <c r="AM2762">
        <v>100.76497032755501</v>
      </c>
      <c r="AN2762">
        <v>0.99999997714666899</v>
      </c>
    </row>
    <row r="2763" spans="1:40" x14ac:dyDescent="0.3">
      <c r="A2763" t="str">
        <f>"20200111150904077"</f>
        <v>20200111150904077</v>
      </c>
      <c r="B2763" t="str">
        <f>"1578726544066362"</f>
        <v>1578726544066362</v>
      </c>
      <c r="C2763" t="s">
        <v>40</v>
      </c>
      <c r="D2763">
        <v>5.6006929999999997</v>
      </c>
      <c r="E2763">
        <v>0.35755870000000001</v>
      </c>
      <c r="F2763" t="s">
        <v>68</v>
      </c>
      <c r="G2763">
        <v>-273.52530000000002</v>
      </c>
      <c r="H2763">
        <v>8.0671029999999995</v>
      </c>
      <c r="I2763">
        <v>-79.671169999999904</v>
      </c>
      <c r="J2763">
        <v>-301.7013</v>
      </c>
      <c r="K2763">
        <v>1.115861</v>
      </c>
      <c r="L2763">
        <v>-43.268099999999997</v>
      </c>
      <c r="M2763">
        <v>0.1098894</v>
      </c>
      <c r="N2763">
        <v>0</v>
      </c>
      <c r="O2763">
        <v>-0.99386149999999995</v>
      </c>
      <c r="P2763">
        <v>0.29016550000000002</v>
      </c>
      <c r="Q2763">
        <v>0.1326204</v>
      </c>
      <c r="R2763">
        <v>-0.94774250000000004</v>
      </c>
      <c r="S2763">
        <v>1.934601</v>
      </c>
      <c r="T2763">
        <v>0.47666910000000001</v>
      </c>
      <c r="U2763">
        <v>-2.5160830000000001</v>
      </c>
      <c r="V2763">
        <v>-0.1862791</v>
      </c>
      <c r="W2763">
        <v>0.14247479999999901</v>
      </c>
      <c r="X2763">
        <v>0.97211159999999996</v>
      </c>
      <c r="Y2763">
        <v>-0.51166990000000001</v>
      </c>
      <c r="Z2763">
        <v>-0.15215789999999901</v>
      </c>
      <c r="AA2763">
        <v>0.84560149999999901</v>
      </c>
      <c r="AB2763">
        <v>31</v>
      </c>
      <c r="AC2763">
        <v>28.175999999999899</v>
      </c>
      <c r="AD2763">
        <v>6.9512419999999997</v>
      </c>
      <c r="AE2763">
        <v>-36.4030699999999</v>
      </c>
      <c r="AF2763">
        <v>-23.469533941296199</v>
      </c>
      <c r="AG2763">
        <v>6.9512419999999997</v>
      </c>
      <c r="AH2763">
        <v>38.403380472217599</v>
      </c>
      <c r="AI2763">
        <v>81.220172130027905</v>
      </c>
      <c r="AJ2763">
        <v>121.43043617744399</v>
      </c>
      <c r="AK2763">
        <v>45.540733639875903</v>
      </c>
      <c r="AL2763">
        <v>81.808922061870405</v>
      </c>
      <c r="AM2763">
        <v>100.84770038071601</v>
      </c>
      <c r="AN2763">
        <v>0.99999996729320395</v>
      </c>
    </row>
    <row r="2764" spans="1:40" x14ac:dyDescent="0.3">
      <c r="A2764" t="str">
        <f>"20200111150904107"</f>
        <v>20200111150904107</v>
      </c>
      <c r="B2764" t="str">
        <f>"1578726544096618"</f>
        <v>1578726544096618</v>
      </c>
      <c r="C2764" t="s">
        <v>40</v>
      </c>
      <c r="D2764">
        <v>7.7427910000000004</v>
      </c>
      <c r="E2764">
        <v>0.4131899</v>
      </c>
      <c r="F2764" t="s">
        <v>68</v>
      </c>
      <c r="G2764">
        <v>-273.23</v>
      </c>
      <c r="H2764">
        <v>7.9791530000000002</v>
      </c>
      <c r="I2764">
        <v>-79.671169999999904</v>
      </c>
      <c r="J2764">
        <v>-301.64499999999998</v>
      </c>
      <c r="K2764">
        <v>1.116133</v>
      </c>
      <c r="L2764">
        <v>-43.678130000000003</v>
      </c>
      <c r="M2764">
        <v>0.12005730000000001</v>
      </c>
      <c r="N2764">
        <v>0</v>
      </c>
      <c r="O2764">
        <v>-0.99268420000000002</v>
      </c>
      <c r="P2764">
        <v>0.30276029999999998</v>
      </c>
      <c r="Q2764">
        <v>0.13275789999999901</v>
      </c>
      <c r="R2764">
        <v>-0.94377520000000004</v>
      </c>
      <c r="S2764">
        <v>1.9557800000000001</v>
      </c>
      <c r="T2764">
        <v>0.47146189999999999</v>
      </c>
      <c r="U2764">
        <v>-2.5006409999999999</v>
      </c>
      <c r="V2764">
        <v>-0.18937789999999999</v>
      </c>
      <c r="W2764">
        <v>0.142456</v>
      </c>
      <c r="X2764">
        <v>0.97151549999999998</v>
      </c>
      <c r="Y2764">
        <v>-0.51003039999999999</v>
      </c>
      <c r="Z2764">
        <v>-0.15071999999999999</v>
      </c>
      <c r="AA2764">
        <v>0.8468485</v>
      </c>
      <c r="AB2764">
        <v>31</v>
      </c>
      <c r="AC2764">
        <v>28.4149999999999</v>
      </c>
      <c r="AD2764">
        <v>6.8630199999999997</v>
      </c>
      <c r="AE2764">
        <v>-35.993039999999901</v>
      </c>
      <c r="AF2764">
        <v>-23.364537738810601</v>
      </c>
      <c r="AG2764">
        <v>6.8630199999999997</v>
      </c>
      <c r="AH2764">
        <v>38.286817741839997</v>
      </c>
      <c r="AI2764">
        <v>81.300545639363605</v>
      </c>
      <c r="AJ2764">
        <v>121.393637192163</v>
      </c>
      <c r="AK2764">
        <v>45.374916860150599</v>
      </c>
      <c r="AL2764">
        <v>81.8100108718413</v>
      </c>
      <c r="AM2764">
        <v>101.030366962331</v>
      </c>
      <c r="AN2764">
        <v>1.0000000338423201</v>
      </c>
    </row>
    <row r="2765" spans="1:40" x14ac:dyDescent="0.3">
      <c r="A2765" t="str">
        <f>"20200111150904162"</f>
        <v>20200111150904162</v>
      </c>
      <c r="B2765" t="str">
        <f>"1578726544157130"</f>
        <v>1578726544157130</v>
      </c>
      <c r="C2765" t="s">
        <v>40</v>
      </c>
      <c r="D2765">
        <v>5.7534229999999997</v>
      </c>
      <c r="E2765">
        <v>0.41949550000000002</v>
      </c>
      <c r="F2765" t="s">
        <v>89</v>
      </c>
      <c r="G2765">
        <v>-295.74889999999999</v>
      </c>
      <c r="H2765" s="1">
        <v>-8.3791749999999993E-6</v>
      </c>
      <c r="I2765">
        <v>-53.807429999999997</v>
      </c>
      <c r="J2765">
        <v>-301.53370000000001</v>
      </c>
      <c r="K2765">
        <v>1.1165929999999999</v>
      </c>
      <c r="L2765">
        <v>-44.403750000000002</v>
      </c>
      <c r="M2765">
        <v>0.1391502</v>
      </c>
      <c r="N2765">
        <v>0</v>
      </c>
      <c r="O2765">
        <v>-0.9901877</v>
      </c>
      <c r="P2765">
        <v>0.32231120000000002</v>
      </c>
      <c r="Q2765">
        <v>0.13092039999999999</v>
      </c>
      <c r="R2765">
        <v>-0.9375367</v>
      </c>
      <c r="S2765">
        <v>1.5797730000000001</v>
      </c>
      <c r="T2765">
        <v>-0.29905599999999999</v>
      </c>
      <c r="U2765">
        <v>-2.7140200000000001</v>
      </c>
      <c r="V2765">
        <v>-0.19096669999999999</v>
      </c>
      <c r="W2765">
        <v>0.14041770000000001</v>
      </c>
      <c r="X2765">
        <v>0.97150119999999895</v>
      </c>
      <c r="Y2765">
        <v>-0.37554969999999999</v>
      </c>
      <c r="Z2765">
        <v>9.6462489999999998E-2</v>
      </c>
      <c r="AA2765">
        <v>0.9217687</v>
      </c>
      <c r="AB2765">
        <v>31</v>
      </c>
      <c r="AC2765">
        <v>5.7848000000000104</v>
      </c>
      <c r="AD2765">
        <v>-1.116601379175</v>
      </c>
      <c r="AE2765">
        <v>-9.4036799999999996</v>
      </c>
      <c r="AF2765">
        <v>-4.37512816804891</v>
      </c>
      <c r="AG2765">
        <v>-1.116601379175</v>
      </c>
      <c r="AH2765">
        <v>10.014764536499399</v>
      </c>
      <c r="AI2765">
        <v>95.833732162932293</v>
      </c>
      <c r="AJ2765">
        <v>113.598967700939</v>
      </c>
      <c r="AK2765">
        <v>10.9856294243141</v>
      </c>
      <c r="AL2765">
        <v>81.927982510858399</v>
      </c>
      <c r="AM2765">
        <v>101.120769245628</v>
      </c>
      <c r="AN2765">
        <v>0.99999999629180902</v>
      </c>
    </row>
    <row r="2766" spans="1:40" x14ac:dyDescent="0.3">
      <c r="A2766" t="str">
        <f>"20200111150904184"</f>
        <v>20200111150904184</v>
      </c>
      <c r="B2766" t="str">
        <f>"1578726544176651"</f>
        <v>1578726544176651</v>
      </c>
      <c r="C2766" t="s">
        <v>40</v>
      </c>
      <c r="D2766">
        <v>5.7489759999999999</v>
      </c>
      <c r="E2766">
        <v>0.41946349999999999</v>
      </c>
      <c r="F2766" t="s">
        <v>89</v>
      </c>
      <c r="G2766">
        <v>-294.66950000000003</v>
      </c>
      <c r="H2766" s="1">
        <v>-8.5192039999999905E-6</v>
      </c>
      <c r="I2766">
        <v>-56.036110000000001</v>
      </c>
      <c r="J2766">
        <v>-301.48149999999998</v>
      </c>
      <c r="K2766">
        <v>1.116781</v>
      </c>
      <c r="L2766">
        <v>-44.711939999999998</v>
      </c>
      <c r="M2766">
        <v>0.14772959999999999</v>
      </c>
      <c r="N2766">
        <v>0</v>
      </c>
      <c r="O2766">
        <v>-0.98894380000000004</v>
      </c>
      <c r="P2766">
        <v>0.33062459999999999</v>
      </c>
      <c r="Q2766">
        <v>0.12828999999999999</v>
      </c>
      <c r="R2766">
        <v>-0.93500229999999995</v>
      </c>
      <c r="S2766">
        <v>1.5874629999999901</v>
      </c>
      <c r="T2766">
        <v>-0.25823370000000001</v>
      </c>
      <c r="U2766">
        <v>-2.6901860000000002</v>
      </c>
      <c r="V2766">
        <v>-0.1911437</v>
      </c>
      <c r="W2766">
        <v>0.1377158</v>
      </c>
      <c r="X2766">
        <v>0.97185310000000003</v>
      </c>
      <c r="Y2766">
        <v>-0.37359999999999999</v>
      </c>
      <c r="Z2766">
        <v>8.3852739999999995E-2</v>
      </c>
      <c r="AA2766">
        <v>0.9237921</v>
      </c>
      <c r="AB2766">
        <v>31</v>
      </c>
      <c r="AC2766">
        <v>6.8119999999999497</v>
      </c>
      <c r="AD2766">
        <v>-1.116789519204</v>
      </c>
      <c r="AE2766">
        <v>-11.324169999999899</v>
      </c>
      <c r="AF2766">
        <v>-5.0282805093846603</v>
      </c>
      <c r="AG2766">
        <v>-1.116789519204</v>
      </c>
      <c r="AH2766">
        <v>12.119760601978999</v>
      </c>
      <c r="AI2766">
        <v>94.864822994248399</v>
      </c>
      <c r="AJ2766">
        <v>112.532722516795</v>
      </c>
      <c r="AK2766">
        <v>13.1688807709897</v>
      </c>
      <c r="AL2766">
        <v>82.084309096353905</v>
      </c>
      <c r="AM2766">
        <v>101.12688961501</v>
      </c>
      <c r="AN2766">
        <v>1.0000000017994699</v>
      </c>
    </row>
    <row r="2767" spans="1:40" x14ac:dyDescent="0.3">
      <c r="A2767" t="str">
        <f>"20200111150904208"</f>
        <v>20200111150904208</v>
      </c>
      <c r="B2767" t="str">
        <f>"1578726544197146"</f>
        <v>1578726544197146</v>
      </c>
      <c r="C2767" t="s">
        <v>40</v>
      </c>
      <c r="D2767">
        <v>5.7474999999999996</v>
      </c>
      <c r="E2767">
        <v>0.42079040000000001</v>
      </c>
      <c r="F2767" t="s">
        <v>89</v>
      </c>
      <c r="G2767">
        <v>-294.10270000000003</v>
      </c>
      <c r="H2767" s="1">
        <v>-8.63353E-6</v>
      </c>
      <c r="I2767">
        <v>-56.95496</v>
      </c>
      <c r="J2767">
        <v>-301.42129999999997</v>
      </c>
      <c r="K2767">
        <v>1.116978</v>
      </c>
      <c r="L2767">
        <v>-45.047609999999999</v>
      </c>
      <c r="M2767">
        <v>0.15734409999999999</v>
      </c>
      <c r="N2767">
        <v>0</v>
      </c>
      <c r="O2767">
        <v>-0.98745930000000004</v>
      </c>
      <c r="P2767">
        <v>0.34029310000000002</v>
      </c>
      <c r="Q2767">
        <v>0.1270029</v>
      </c>
      <c r="R2767">
        <v>-0.93170339999999996</v>
      </c>
      <c r="S2767">
        <v>1.610687</v>
      </c>
      <c r="T2767">
        <v>-0.2437773</v>
      </c>
      <c r="U2767">
        <v>-2.6724549999999998</v>
      </c>
      <c r="V2767">
        <v>-0.19177900000000001</v>
      </c>
      <c r="W2767">
        <v>0.13634689999999999</v>
      </c>
      <c r="X2767">
        <v>0.97192100000000003</v>
      </c>
      <c r="Y2767">
        <v>-0.3733629</v>
      </c>
      <c r="Z2767">
        <v>7.9299599999999998E-2</v>
      </c>
      <c r="AA2767">
        <v>0.9242899</v>
      </c>
      <c r="AB2767">
        <v>31</v>
      </c>
      <c r="AC2767">
        <v>7.3185999999999396</v>
      </c>
      <c r="AD2767">
        <v>-1.1169866335299901</v>
      </c>
      <c r="AE2767">
        <v>-11.907349999999999</v>
      </c>
      <c r="AF2767">
        <v>-5.3197387368790103</v>
      </c>
      <c r="AG2767">
        <v>-1.1169866335299901</v>
      </c>
      <c r="AH2767">
        <v>12.828704357563799</v>
      </c>
      <c r="AI2767">
        <v>94.5983126626667</v>
      </c>
      <c r="AJ2767">
        <v>112.522546760019</v>
      </c>
      <c r="AK2767">
        <v>13.932800682630599</v>
      </c>
      <c r="AL2767">
        <v>82.163488564313596</v>
      </c>
      <c r="AM2767">
        <v>101.162184219354</v>
      </c>
      <c r="AN2767">
        <v>1.0000000461108001</v>
      </c>
    </row>
    <row r="2768" spans="1:40" x14ac:dyDescent="0.3">
      <c r="A2768" t="str">
        <f>"20200111150904232"</f>
        <v>20200111150904232</v>
      </c>
      <c r="B2768" t="str">
        <f>"1578726544226427"</f>
        <v>1578726544226427</v>
      </c>
      <c r="C2768" t="s">
        <v>40</v>
      </c>
      <c r="D2768">
        <v>5.7270979999999998</v>
      </c>
      <c r="E2768">
        <v>0.422211</v>
      </c>
      <c r="F2768" t="s">
        <v>89</v>
      </c>
      <c r="G2768">
        <v>-294.29910000000001</v>
      </c>
      <c r="H2768" s="1">
        <v>-8.5888559999999997E-6</v>
      </c>
      <c r="I2768">
        <v>-56.687240000000003</v>
      </c>
      <c r="J2768">
        <v>-301.36219999999997</v>
      </c>
      <c r="K2768">
        <v>1.1171599999999999</v>
      </c>
      <c r="L2768">
        <v>-45.358460000000001</v>
      </c>
      <c r="M2768">
        <v>0.16648550000000001</v>
      </c>
      <c r="N2768">
        <v>0</v>
      </c>
      <c r="O2768">
        <v>-0.98595889999999997</v>
      </c>
      <c r="P2768">
        <v>0.34883170000000002</v>
      </c>
      <c r="Q2768">
        <v>0.12692010000000001</v>
      </c>
      <c r="R2768">
        <v>-0.92855129999999997</v>
      </c>
      <c r="S2768">
        <v>1.6277469999999901</v>
      </c>
      <c r="T2768">
        <v>-0.25528240000000002</v>
      </c>
      <c r="U2768">
        <v>-2.6601870000000001</v>
      </c>
      <c r="V2768">
        <v>-0.19175510000000001</v>
      </c>
      <c r="W2768">
        <v>0.1362014</v>
      </c>
      <c r="X2768">
        <v>0.97194610000000004</v>
      </c>
      <c r="Y2768">
        <v>-0.37081799999999998</v>
      </c>
      <c r="Z2768">
        <v>8.3065130000000001E-2</v>
      </c>
      <c r="AA2768">
        <v>0.92498329999999995</v>
      </c>
      <c r="AB2768">
        <v>31</v>
      </c>
      <c r="AC2768">
        <v>7.0630999999999604</v>
      </c>
      <c r="AD2768">
        <v>-1.1171685888559999</v>
      </c>
      <c r="AE2768">
        <v>-11.32878</v>
      </c>
      <c r="AF2768">
        <v>-5.0429604608930898</v>
      </c>
      <c r="AG2768">
        <v>-1.1171685888559999</v>
      </c>
      <c r="AH2768">
        <v>12.260792504951599</v>
      </c>
      <c r="AI2768">
        <v>94.816797307993198</v>
      </c>
      <c r="AJ2768">
        <v>112.357751296529</v>
      </c>
      <c r="AK2768">
        <v>13.304380809174599</v>
      </c>
      <c r="AL2768">
        <v>82.171903479556306</v>
      </c>
      <c r="AM2768">
        <v>101.160547096434</v>
      </c>
      <c r="AN2768">
        <v>1.0000000305215799</v>
      </c>
    </row>
    <row r="2769" spans="1:40" x14ac:dyDescent="0.3">
      <c r="A2769" t="str">
        <f>"20200111150904255"</f>
        <v>20200111150904255</v>
      </c>
      <c r="B2769" t="str">
        <f>"1578726544246924"</f>
        <v>1578726544246924</v>
      </c>
      <c r="C2769" t="s">
        <v>40</v>
      </c>
      <c r="D2769">
        <v>5.7299170000000004</v>
      </c>
      <c r="E2769">
        <v>0.42296460000000002</v>
      </c>
      <c r="F2769" t="s">
        <v>89</v>
      </c>
      <c r="G2769">
        <v>-294.43740000000003</v>
      </c>
      <c r="H2769" s="1">
        <v>-8.5535229999999999E-6</v>
      </c>
      <c r="I2769">
        <v>-56.537529999999997</v>
      </c>
      <c r="J2769">
        <v>-301.30090000000001</v>
      </c>
      <c r="K2769">
        <v>1.1173360000000001</v>
      </c>
      <c r="L2769">
        <v>-45.665370000000003</v>
      </c>
      <c r="M2769">
        <v>0.1757398</v>
      </c>
      <c r="N2769">
        <v>0</v>
      </c>
      <c r="O2769">
        <v>-0.98435139999999999</v>
      </c>
      <c r="P2769">
        <v>0.35705550000000003</v>
      </c>
      <c r="Q2769">
        <v>0.12743309999999999</v>
      </c>
      <c r="R2769">
        <v>-0.92535000000000001</v>
      </c>
      <c r="S2769">
        <v>1.641724</v>
      </c>
      <c r="T2769">
        <v>-0.2648548</v>
      </c>
      <c r="U2769">
        <v>-2.650299</v>
      </c>
      <c r="V2769">
        <v>-0.19132850000000001</v>
      </c>
      <c r="W2769">
        <v>0.13666199999999901</v>
      </c>
      <c r="X2769">
        <v>0.97196550000000004</v>
      </c>
      <c r="Y2769">
        <v>-0.36702469999999998</v>
      </c>
      <c r="Z2769">
        <v>8.6172479999999996E-2</v>
      </c>
      <c r="AA2769">
        <v>0.92621120000000001</v>
      </c>
      <c r="AB2769">
        <v>31</v>
      </c>
      <c r="AC2769">
        <v>6.8634999999999797</v>
      </c>
      <c r="AD2769">
        <v>-1.117344553523</v>
      </c>
      <c r="AE2769">
        <v>-10.872159999999999</v>
      </c>
      <c r="AF2769">
        <v>-4.8095091168392603</v>
      </c>
      <c r="AG2769">
        <v>-1.117344553523</v>
      </c>
      <c r="AH2769">
        <v>11.8199493734722</v>
      </c>
      <c r="AI2769">
        <v>95.0040261106153</v>
      </c>
      <c r="AJ2769">
        <v>112.14129000236299</v>
      </c>
      <c r="AK2769">
        <v>12.809802496045499</v>
      </c>
      <c r="AL2769">
        <v>82.145263829302607</v>
      </c>
      <c r="AM2769">
        <v>101.136122649813</v>
      </c>
      <c r="AN2769">
        <v>1.00000001517325</v>
      </c>
    </row>
    <row r="2770" spans="1:40" x14ac:dyDescent="0.3">
      <c r="A2770" t="str">
        <f>"20200111150904278"</f>
        <v>20200111150904278</v>
      </c>
      <c r="B2770" t="str">
        <f>"1578726544266442"</f>
        <v>1578726544266442</v>
      </c>
      <c r="C2770" t="s">
        <v>40</v>
      </c>
      <c r="D2770">
        <v>5.7453570000000003</v>
      </c>
      <c r="E2770">
        <v>0.4238229</v>
      </c>
      <c r="F2770" t="s">
        <v>89</v>
      </c>
      <c r="G2770">
        <v>-294.3614</v>
      </c>
      <c r="H2770" s="1">
        <v>-8.5645060000000005E-6</v>
      </c>
      <c r="I2770">
        <v>-56.704270000000001</v>
      </c>
      <c r="J2770">
        <v>-301.23719999999997</v>
      </c>
      <c r="K2770">
        <v>1.117502</v>
      </c>
      <c r="L2770">
        <v>-45.968780000000002</v>
      </c>
      <c r="M2770">
        <v>0.18510380000000001</v>
      </c>
      <c r="N2770">
        <v>0</v>
      </c>
      <c r="O2770">
        <v>-0.98263310000000004</v>
      </c>
      <c r="P2770">
        <v>0.36587120000000001</v>
      </c>
      <c r="Q2770">
        <v>0.12808269999999999</v>
      </c>
      <c r="R2770">
        <v>-0.92180989999999996</v>
      </c>
      <c r="S2770">
        <v>1.6588130000000001</v>
      </c>
      <c r="T2770">
        <v>-0.2670864</v>
      </c>
      <c r="U2770">
        <v>-2.6387019999999999</v>
      </c>
      <c r="V2770">
        <v>-0.19143740000000001</v>
      </c>
      <c r="W2770">
        <v>0.13725290000000001</v>
      </c>
      <c r="X2770">
        <v>0.97186079999999997</v>
      </c>
      <c r="Y2770">
        <v>-0.36426960000000003</v>
      </c>
      <c r="Z2770">
        <v>8.6897310000000005E-2</v>
      </c>
      <c r="AA2770">
        <v>0.92723049999999996</v>
      </c>
      <c r="AB2770">
        <v>31</v>
      </c>
      <c r="AC2770">
        <v>6.8757999999999697</v>
      </c>
      <c r="AD2770">
        <v>-1.1175105645059999</v>
      </c>
      <c r="AE2770">
        <v>-10.73549</v>
      </c>
      <c r="AF2770">
        <v>-4.7332418420216804</v>
      </c>
      <c r="AG2770">
        <v>-1.1175105645059999</v>
      </c>
      <c r="AH2770">
        <v>11.732630920796501</v>
      </c>
      <c r="AI2770">
        <v>95.047886619893205</v>
      </c>
      <c r="AJ2770">
        <v>111.97040205732</v>
      </c>
      <c r="AK2770">
        <v>12.7006707114419</v>
      </c>
      <c r="AL2770">
        <v>82.111085773222797</v>
      </c>
      <c r="AM2770">
        <v>101.14347286396099</v>
      </c>
      <c r="AN2770">
        <v>1.0000000256268999</v>
      </c>
    </row>
    <row r="2771" spans="1:40" x14ac:dyDescent="0.3">
      <c r="A2771" t="str">
        <f>"20200111150904304"</f>
        <v>20200111150904304</v>
      </c>
      <c r="B2771" t="str">
        <f>"1578726544296699"</f>
        <v>1578726544296699</v>
      </c>
      <c r="C2771" t="s">
        <v>40</v>
      </c>
      <c r="D2771">
        <v>5.7332549999999998</v>
      </c>
      <c r="E2771">
        <v>0.42478169999999998</v>
      </c>
      <c r="F2771" t="s">
        <v>89</v>
      </c>
      <c r="G2771">
        <v>-294.1952</v>
      </c>
      <c r="H2771" s="1">
        <v>-8.5957740000000005E-6</v>
      </c>
      <c r="I2771">
        <v>-56.996090000000002</v>
      </c>
      <c r="J2771">
        <v>-301.1619</v>
      </c>
      <c r="K2771">
        <v>1.117677</v>
      </c>
      <c r="L2771">
        <v>-46.308010000000003</v>
      </c>
      <c r="M2771">
        <v>0.1958211</v>
      </c>
      <c r="N2771">
        <v>0</v>
      </c>
      <c r="O2771">
        <v>-0.98055320000000001</v>
      </c>
      <c r="P2771">
        <v>0.3766718</v>
      </c>
      <c r="Q2771">
        <v>0.12833539999999999</v>
      </c>
      <c r="R2771">
        <v>-0.91741379999999995</v>
      </c>
      <c r="S2771">
        <v>1.6768799999999999</v>
      </c>
      <c r="T2771">
        <v>-0.26610800000000001</v>
      </c>
      <c r="U2771">
        <v>-2.6258849999999998</v>
      </c>
      <c r="V2771">
        <v>-0.19231390000000001</v>
      </c>
      <c r="W2771">
        <v>0.137431</v>
      </c>
      <c r="X2771">
        <v>0.97166249999999998</v>
      </c>
      <c r="Y2771">
        <v>-0.36070150000000001</v>
      </c>
      <c r="Z2771">
        <v>8.6576130000000001E-2</v>
      </c>
      <c r="AA2771">
        <v>0.92865439999999999</v>
      </c>
      <c r="AB2771">
        <v>31</v>
      </c>
      <c r="AC2771">
        <v>6.9667000000000003</v>
      </c>
      <c r="AD2771">
        <v>-1.117685595774</v>
      </c>
      <c r="AE2771">
        <v>-10.688079999999999</v>
      </c>
      <c r="AF2771">
        <v>-4.70257887553809</v>
      </c>
      <c r="AG2771">
        <v>-1.117685595774</v>
      </c>
      <c r="AH2771">
        <v>11.7552432393859</v>
      </c>
      <c r="AI2771">
        <v>95.044883862604394</v>
      </c>
      <c r="AJ2771">
        <v>111.80343294873499</v>
      </c>
      <c r="AK2771">
        <v>12.7102011309336</v>
      </c>
      <c r="AL2771">
        <v>82.100783287456906</v>
      </c>
      <c r="AM2771">
        <v>101.195434689579</v>
      </c>
      <c r="AN2771">
        <v>0.99999996490022902</v>
      </c>
    </row>
    <row r="2772" spans="1:40" x14ac:dyDescent="0.3">
      <c r="A2772" t="str">
        <f>"20200111150904331"</f>
        <v>20200111150904331</v>
      </c>
      <c r="B2772" t="str">
        <f>"1578726544326955"</f>
        <v>1578726544326955</v>
      </c>
      <c r="C2772" t="s">
        <v>40</v>
      </c>
      <c r="D2772">
        <v>5.6554089999999997</v>
      </c>
      <c r="E2772">
        <v>0.4259443</v>
      </c>
      <c r="F2772" t="s">
        <v>89</v>
      </c>
      <c r="G2772">
        <v>-294.10070000000002</v>
      </c>
      <c r="H2772" s="1">
        <v>-8.6141859999999997E-6</v>
      </c>
      <c r="I2772">
        <v>-57.155830000000002</v>
      </c>
      <c r="J2772">
        <v>-301.07639999999998</v>
      </c>
      <c r="K2772">
        <v>1.117834</v>
      </c>
      <c r="L2772">
        <v>-46.671939999999999</v>
      </c>
      <c r="M2772">
        <v>0.2075438</v>
      </c>
      <c r="N2772">
        <v>0</v>
      </c>
      <c r="O2772">
        <v>-0.97813870000000003</v>
      </c>
      <c r="P2772">
        <v>0.39033709999999999</v>
      </c>
      <c r="Q2772">
        <v>0.12703900000000001</v>
      </c>
      <c r="R2772">
        <v>-0.91186540000000005</v>
      </c>
      <c r="S2772">
        <v>1.6990050000000001</v>
      </c>
      <c r="T2772">
        <v>-0.26892779999999999</v>
      </c>
      <c r="U2772">
        <v>-2.6101070000000002</v>
      </c>
      <c r="V2772">
        <v>-0.19519900000000001</v>
      </c>
      <c r="W2772">
        <v>0.13602429999999999</v>
      </c>
      <c r="X2772">
        <v>0.97128510000000001</v>
      </c>
      <c r="Y2772">
        <v>-0.35759049999999998</v>
      </c>
      <c r="Z2772">
        <v>8.7473369999999995E-2</v>
      </c>
      <c r="AA2772">
        <v>0.92977279999999995</v>
      </c>
      <c r="AB2772">
        <v>31</v>
      </c>
      <c r="AC2772">
        <v>6.9756999999999598</v>
      </c>
      <c r="AD2772">
        <v>-1.1178426141859901</v>
      </c>
      <c r="AE2772">
        <v>-10.483890000000001</v>
      </c>
      <c r="AF2772">
        <v>-4.6113930072502498</v>
      </c>
      <c r="AG2772">
        <v>-1.1178426141859901</v>
      </c>
      <c r="AH2772">
        <v>11.6119543313336</v>
      </c>
      <c r="AI2772">
        <v>95.112621561748</v>
      </c>
      <c r="AJ2772">
        <v>111.659245663928</v>
      </c>
      <c r="AK2772">
        <v>12.5440025896993</v>
      </c>
      <c r="AL2772">
        <v>82.182145665033204</v>
      </c>
      <c r="AM2772">
        <v>101.363352381563</v>
      </c>
      <c r="AN2772">
        <v>1.0000000026367499</v>
      </c>
    </row>
    <row r="2773" spans="1:40" x14ac:dyDescent="0.3">
      <c r="A2773" t="str">
        <f>"20200111150904375"</f>
        <v>20200111150904375</v>
      </c>
      <c r="B2773" t="str">
        <f>"1578726544366970"</f>
        <v>1578726544366970</v>
      </c>
      <c r="C2773" t="s">
        <v>40</v>
      </c>
      <c r="D2773">
        <v>5.592517</v>
      </c>
      <c r="E2773">
        <v>0.43443589999999999</v>
      </c>
      <c r="F2773" t="s">
        <v>89</v>
      </c>
      <c r="G2773">
        <v>-294.01900000000001</v>
      </c>
      <c r="H2773" s="1">
        <v>-8.6350049999999998E-6</v>
      </c>
      <c r="I2773">
        <v>-57.244549999999997</v>
      </c>
      <c r="J2773">
        <v>-300.92970000000003</v>
      </c>
      <c r="K2773">
        <v>1.118018</v>
      </c>
      <c r="L2773">
        <v>-47.255740000000003</v>
      </c>
      <c r="M2773">
        <v>0.22669420000000001</v>
      </c>
      <c r="N2773">
        <v>0</v>
      </c>
      <c r="O2773">
        <v>-0.97387829999999997</v>
      </c>
      <c r="P2773">
        <v>0.41186139999999999</v>
      </c>
      <c r="Q2773">
        <v>0.128306</v>
      </c>
      <c r="R2773">
        <v>-0.90216830000000003</v>
      </c>
      <c r="S2773">
        <v>1.7278439999999999</v>
      </c>
      <c r="T2773">
        <v>-0.2736789</v>
      </c>
      <c r="U2773">
        <v>-2.58847</v>
      </c>
      <c r="V2773">
        <v>-0.19932240000000001</v>
      </c>
      <c r="W2773">
        <v>0.13714279999999901</v>
      </c>
      <c r="X2773">
        <v>0.97028990000000004</v>
      </c>
      <c r="Y2773">
        <v>-0.34993869999999999</v>
      </c>
      <c r="Z2773">
        <v>8.8924760000000005E-2</v>
      </c>
      <c r="AA2773">
        <v>0.93254239999999999</v>
      </c>
      <c r="AB2773">
        <v>31</v>
      </c>
      <c r="AC2773">
        <v>6.9107000000000101</v>
      </c>
      <c r="AD2773">
        <v>-1.1180266350050001</v>
      </c>
      <c r="AE2773">
        <v>-9.9888099999999902</v>
      </c>
      <c r="AF2773">
        <v>-4.4286352550046102</v>
      </c>
      <c r="AG2773">
        <v>-1.1180266350050001</v>
      </c>
      <c r="AH2773">
        <v>11.2005686776019</v>
      </c>
      <c r="AI2773">
        <v>95.303345000677396</v>
      </c>
      <c r="AJ2773">
        <v>111.573534412523</v>
      </c>
      <c r="AK2773">
        <v>12.096095753594501</v>
      </c>
      <c r="AL2773">
        <v>82.117454282847902</v>
      </c>
      <c r="AM2773">
        <v>101.608526751171</v>
      </c>
      <c r="AN2773">
        <v>1.0000000283878001</v>
      </c>
    </row>
    <row r="2774" spans="1:40" x14ac:dyDescent="0.3">
      <c r="A2774" t="str">
        <f>"20200111150904406"</f>
        <v>20200111150904406</v>
      </c>
      <c r="B2774" t="str">
        <f>"1578726544397227"</f>
        <v>1578726544397227</v>
      </c>
      <c r="C2774" t="s">
        <v>40</v>
      </c>
      <c r="D2774">
        <v>5.6580729999999999</v>
      </c>
      <c r="E2774">
        <v>0.43098740000000002</v>
      </c>
      <c r="F2774" t="s">
        <v>89</v>
      </c>
      <c r="G2774">
        <v>-294.92930000000001</v>
      </c>
      <c r="H2774" s="1">
        <v>-8.4062689999999997E-6</v>
      </c>
      <c r="I2774">
        <v>-56.221220000000002</v>
      </c>
      <c r="J2774">
        <v>-300.82650000000001</v>
      </c>
      <c r="K2774">
        <v>1.118093</v>
      </c>
      <c r="L2774">
        <v>-47.6387</v>
      </c>
      <c r="M2774">
        <v>0.23941309999999999</v>
      </c>
      <c r="N2774">
        <v>0</v>
      </c>
      <c r="O2774">
        <v>-0.97082950000000001</v>
      </c>
      <c r="P2774">
        <v>0.42476039999999998</v>
      </c>
      <c r="Q2774">
        <v>0.13052239999999901</v>
      </c>
      <c r="R2774">
        <v>-0.89584750000000002</v>
      </c>
      <c r="S2774">
        <v>1.7281799999999901</v>
      </c>
      <c r="T2774">
        <v>-0.3220034</v>
      </c>
      <c r="U2774">
        <v>-2.5821529999999999</v>
      </c>
      <c r="V2774">
        <v>-0.20069809999999999</v>
      </c>
      <c r="W2774">
        <v>0.13930479999999901</v>
      </c>
      <c r="X2774">
        <v>0.96969810000000001</v>
      </c>
      <c r="Y2774">
        <v>-0.33794970000000002</v>
      </c>
      <c r="Z2774">
        <v>0.1044108</v>
      </c>
      <c r="AA2774">
        <v>0.93535469999999998</v>
      </c>
      <c r="AB2774">
        <v>31</v>
      </c>
      <c r="AC2774">
        <v>5.89719999999999</v>
      </c>
      <c r="AD2774">
        <v>-1.118101406269</v>
      </c>
      <c r="AE2774">
        <v>-8.5825199999999899</v>
      </c>
      <c r="AF2774">
        <v>-3.6288857717821998</v>
      </c>
      <c r="AG2774">
        <v>-1.118101406269</v>
      </c>
      <c r="AH2774">
        <v>9.6337992077724994</v>
      </c>
      <c r="AI2774">
        <v>96.198621417256405</v>
      </c>
      <c r="AJ2774">
        <v>110.640525100988</v>
      </c>
      <c r="AK2774">
        <v>10.355146057638301</v>
      </c>
      <c r="AL2774">
        <v>81.992379810672702</v>
      </c>
      <c r="AM2774">
        <v>101.69338675666999</v>
      </c>
      <c r="AN2774">
        <v>0.99999997989512901</v>
      </c>
    </row>
    <row r="2775" spans="1:40" x14ac:dyDescent="0.3">
      <c r="A2775" t="str">
        <f>"20200111150904429"</f>
        <v>20200111150904429</v>
      </c>
      <c r="B2775" t="str">
        <f>"1578726544426507"</f>
        <v>1578726544426507</v>
      </c>
      <c r="C2775" t="s">
        <v>40</v>
      </c>
      <c r="D2775">
        <v>5.6436840000000004</v>
      </c>
      <c r="E2775">
        <v>0.4310349</v>
      </c>
      <c r="F2775" t="s">
        <v>89</v>
      </c>
      <c r="G2775">
        <v>-294.262</v>
      </c>
      <c r="H2775" s="1">
        <v>-8.5749380000000005E-6</v>
      </c>
      <c r="I2775">
        <v>-56.961689999999997</v>
      </c>
      <c r="J2775">
        <v>-300.73809999999997</v>
      </c>
      <c r="K2775">
        <v>1.118155</v>
      </c>
      <c r="L2775">
        <v>-47.95129</v>
      </c>
      <c r="M2775">
        <v>0.2498445</v>
      </c>
      <c r="N2775">
        <v>0</v>
      </c>
      <c r="O2775">
        <v>-0.96819739999999999</v>
      </c>
      <c r="P2775">
        <v>0.43352649999999998</v>
      </c>
      <c r="Q2775">
        <v>0.13228960000000001</v>
      </c>
      <c r="R2775">
        <v>-0.891378</v>
      </c>
      <c r="S2775">
        <v>1.791229</v>
      </c>
      <c r="T2775">
        <v>-0.30509059999999999</v>
      </c>
      <c r="U2775">
        <v>-2.5439150000000001</v>
      </c>
      <c r="V2775">
        <v>-0.19988939999999999</v>
      </c>
      <c r="W2775">
        <v>0.14107910000000001</v>
      </c>
      <c r="X2775">
        <v>0.96960869999999999</v>
      </c>
      <c r="Y2775">
        <v>-0.35028039999999999</v>
      </c>
      <c r="Z2775">
        <v>9.8934389999999997E-2</v>
      </c>
      <c r="AA2775">
        <v>0.93140520000000004</v>
      </c>
      <c r="AB2775">
        <v>31</v>
      </c>
      <c r="AC2775">
        <v>6.4760999999999704</v>
      </c>
      <c r="AD2775">
        <v>-1.1181635749379999</v>
      </c>
      <c r="AE2775">
        <v>-9.0104000000000006</v>
      </c>
      <c r="AF2775">
        <v>-3.9788855824412201</v>
      </c>
      <c r="AG2775">
        <v>-1.1181635749379999</v>
      </c>
      <c r="AH2775">
        <v>10.238781575892601</v>
      </c>
      <c r="AI2775">
        <v>95.812265858028397</v>
      </c>
      <c r="AJ2775">
        <v>111.236588565834</v>
      </c>
      <c r="AK2775">
        <v>11.0414885055102</v>
      </c>
      <c r="AL2775">
        <v>81.889706557510195</v>
      </c>
      <c r="AM2775">
        <v>101.648603526305</v>
      </c>
      <c r="AN2775">
        <v>1.00000005790242</v>
      </c>
    </row>
    <row r="2776" spans="1:40" x14ac:dyDescent="0.3">
      <c r="A2776" t="str">
        <f>"20200111150904451"</f>
        <v>20200111150904451</v>
      </c>
      <c r="B2776" t="str">
        <f>"1578726544447003"</f>
        <v>1578726544447003</v>
      </c>
      <c r="C2776" t="s">
        <v>40</v>
      </c>
      <c r="D2776">
        <v>5.5921719999999997</v>
      </c>
      <c r="E2776">
        <v>0.43134420000000001</v>
      </c>
      <c r="F2776" t="s">
        <v>89</v>
      </c>
      <c r="G2776">
        <v>-293.92439999999999</v>
      </c>
      <c r="H2776" s="1">
        <v>-8.652894E-6</v>
      </c>
      <c r="I2776">
        <v>-57.409730000000003</v>
      </c>
      <c r="J2776">
        <v>-300.65300000000002</v>
      </c>
      <c r="K2776">
        <v>1.11819</v>
      </c>
      <c r="L2776">
        <v>-48.241579999999999</v>
      </c>
      <c r="M2776">
        <v>0.25955250000000002</v>
      </c>
      <c r="N2776">
        <v>0</v>
      </c>
      <c r="O2776">
        <v>-0.9656401</v>
      </c>
      <c r="P2776">
        <v>0.44066739999999999</v>
      </c>
      <c r="Q2776">
        <v>0.13341229999999901</v>
      </c>
      <c r="R2776">
        <v>-0.88770149999999903</v>
      </c>
      <c r="S2776">
        <v>1.8190919999999999</v>
      </c>
      <c r="T2776">
        <v>-0.29852279999999998</v>
      </c>
      <c r="U2776">
        <v>-2.5251769999999998</v>
      </c>
      <c r="V2776">
        <v>-0.1980093</v>
      </c>
      <c r="W2776">
        <v>0.1422379</v>
      </c>
      <c r="X2776">
        <v>0.9698251</v>
      </c>
      <c r="Y2776">
        <v>-0.35105760000000003</v>
      </c>
      <c r="Z2776">
        <v>9.6730990000000003E-2</v>
      </c>
      <c r="AA2776">
        <v>0.93134399999999995</v>
      </c>
      <c r="AB2776">
        <v>31</v>
      </c>
      <c r="AC2776">
        <v>6.7286000000000197</v>
      </c>
      <c r="AD2776">
        <v>-1.118198652894</v>
      </c>
      <c r="AE2776">
        <v>-9.1681500000000007</v>
      </c>
      <c r="AF2776">
        <v>-4.0787098314183696</v>
      </c>
      <c r="AG2776">
        <v>-1.118198652894</v>
      </c>
      <c r="AH2776">
        <v>10.498963103233301</v>
      </c>
      <c r="AI2776">
        <v>95.669587803354801</v>
      </c>
      <c r="AJ2776">
        <v>111.23049716950599</v>
      </c>
      <c r="AK2776">
        <v>11.3187662030496</v>
      </c>
      <c r="AL2776">
        <v>81.822635476476506</v>
      </c>
      <c r="AM2776">
        <v>101.539487404189</v>
      </c>
      <c r="AN2776">
        <v>1.00000001383645</v>
      </c>
    </row>
    <row r="2777" spans="1:40" x14ac:dyDescent="0.3">
      <c r="A2777" t="str">
        <f>"20200111150904471"</f>
        <v>20200111150904471</v>
      </c>
      <c r="B2777" t="str">
        <f>"1578726544466523"</f>
        <v>1578726544466523</v>
      </c>
      <c r="C2777" t="s">
        <v>40</v>
      </c>
      <c r="D2777">
        <v>5.5301179999999999</v>
      </c>
      <c r="E2777">
        <v>0.4318476</v>
      </c>
      <c r="F2777" t="s">
        <v>89</v>
      </c>
      <c r="G2777">
        <v>-293.68389999999999</v>
      </c>
      <c r="H2777" s="1">
        <v>-8.7048390000000001E-6</v>
      </c>
      <c r="I2777">
        <v>-57.765189999999997</v>
      </c>
      <c r="J2777">
        <v>-300.5752</v>
      </c>
      <c r="K2777">
        <v>1.118209</v>
      </c>
      <c r="L2777">
        <v>-48.497439999999997</v>
      </c>
      <c r="M2777">
        <v>0.26811869999999999</v>
      </c>
      <c r="N2777">
        <v>0</v>
      </c>
      <c r="O2777">
        <v>-0.9632965</v>
      </c>
      <c r="P2777">
        <v>0.44798660000000001</v>
      </c>
      <c r="Q2777">
        <v>0.1340191</v>
      </c>
      <c r="R2777">
        <v>-0.88393860000000002</v>
      </c>
      <c r="S2777">
        <v>1.8378300000000001</v>
      </c>
      <c r="T2777">
        <v>-0.29488409999999998</v>
      </c>
      <c r="U2777">
        <v>-2.5115050000000001</v>
      </c>
      <c r="V2777">
        <v>-0.1974514</v>
      </c>
      <c r="W2777">
        <v>0.14285429999999999</v>
      </c>
      <c r="X2777">
        <v>0.96984820000000005</v>
      </c>
      <c r="Y2777">
        <v>-0.3497595</v>
      </c>
      <c r="Z2777">
        <v>9.5472139999999997E-2</v>
      </c>
      <c r="AA2777">
        <v>0.93196210000000002</v>
      </c>
      <c r="AB2777">
        <v>31</v>
      </c>
      <c r="AC2777">
        <v>6.8913000000000002</v>
      </c>
      <c r="AD2777">
        <v>-1.1182177048389901</v>
      </c>
      <c r="AE2777">
        <v>-9.2677499999999995</v>
      </c>
      <c r="AF2777">
        <v>-4.1152861484043104</v>
      </c>
      <c r="AG2777">
        <v>-1.1182177048389901</v>
      </c>
      <c r="AH2777">
        <v>10.6761199065116</v>
      </c>
      <c r="AI2777">
        <v>95.581836284196498</v>
      </c>
      <c r="AJ2777">
        <v>111.079978047312</v>
      </c>
      <c r="AK2777">
        <v>11.4963266818962</v>
      </c>
      <c r="AL2777">
        <v>81.786953611198598</v>
      </c>
      <c r="AM2777">
        <v>101.507576144569</v>
      </c>
      <c r="AN2777">
        <v>0.99999996871684405</v>
      </c>
    </row>
    <row r="2778" spans="1:40" x14ac:dyDescent="0.3">
      <c r="A2778" t="str">
        <f>"20200111150904494"</f>
        <v>20200111150904494</v>
      </c>
      <c r="B2778" t="str">
        <f>"1578726544487019"</f>
        <v>1578726544487019</v>
      </c>
      <c r="C2778" t="s">
        <v>40</v>
      </c>
      <c r="D2778">
        <v>5.4888570000000003</v>
      </c>
      <c r="E2778">
        <v>0.43240590000000001</v>
      </c>
      <c r="F2778" t="s">
        <v>89</v>
      </c>
      <c r="G2778">
        <v>-293.49310000000003</v>
      </c>
      <c r="H2778" s="1">
        <v>-8.747027E-6</v>
      </c>
      <c r="I2778">
        <v>-58.03725</v>
      </c>
      <c r="J2778">
        <v>-300.47910000000002</v>
      </c>
      <c r="K2778">
        <v>1.118223</v>
      </c>
      <c r="L2778">
        <v>-48.803069999999998</v>
      </c>
      <c r="M2778">
        <v>0.27835379999999998</v>
      </c>
      <c r="N2778">
        <v>0</v>
      </c>
      <c r="O2778">
        <v>-0.96038889999999999</v>
      </c>
      <c r="P2778">
        <v>0.45652769999999998</v>
      </c>
      <c r="Q2778">
        <v>0.13492989999999999</v>
      </c>
      <c r="R2778">
        <v>-0.87941840000000004</v>
      </c>
      <c r="S2778">
        <v>1.8546750000000001</v>
      </c>
      <c r="T2778">
        <v>-0.29284310000000002</v>
      </c>
      <c r="U2778">
        <v>-2.4983219999999999</v>
      </c>
      <c r="V2778">
        <v>-0.19658709999999999</v>
      </c>
      <c r="W2778">
        <v>0.1437821</v>
      </c>
      <c r="X2778">
        <v>0.96988669999999999</v>
      </c>
      <c r="Y2778">
        <v>-0.34624129999999997</v>
      </c>
      <c r="Z2778">
        <v>9.4687110000000005E-2</v>
      </c>
      <c r="AA2778">
        <v>0.93335489999999999</v>
      </c>
      <c r="AB2778">
        <v>31</v>
      </c>
      <c r="AC2778">
        <v>6.98599999999999</v>
      </c>
      <c r="AD2778">
        <v>-1.118231747027</v>
      </c>
      <c r="AE2778">
        <v>-9.2341800000000003</v>
      </c>
      <c r="AF2778">
        <v>-4.1010163395797399</v>
      </c>
      <c r="AG2778">
        <v>-1.118231747027</v>
      </c>
      <c r="AH2778">
        <v>10.7139914796795</v>
      </c>
      <c r="AI2778">
        <v>95.567286505488397</v>
      </c>
      <c r="AJ2778">
        <v>110.945448504674</v>
      </c>
      <c r="AK2778">
        <v>11.526421417083601</v>
      </c>
      <c r="AL2778">
        <v>81.733240303190797</v>
      </c>
      <c r="AM2778">
        <v>101.458096653369</v>
      </c>
      <c r="AN2778">
        <v>0.99999999550185403</v>
      </c>
    </row>
    <row r="2779" spans="1:40" x14ac:dyDescent="0.3">
      <c r="A2779" t="str">
        <f>"20200111150904517"</f>
        <v>20200111150904517</v>
      </c>
      <c r="B2779" t="str">
        <f>"1578726544506540"</f>
        <v>1578726544506540</v>
      </c>
      <c r="C2779" t="s">
        <v>40</v>
      </c>
      <c r="D2779">
        <v>5.4960809999999896</v>
      </c>
      <c r="E2779">
        <v>0.43287490000000001</v>
      </c>
      <c r="F2779" t="s">
        <v>89</v>
      </c>
      <c r="G2779">
        <v>-293.2876</v>
      </c>
      <c r="H2779" s="1">
        <v>-8.7931539999999999E-6</v>
      </c>
      <c r="I2779">
        <v>-58.323459999999997</v>
      </c>
      <c r="J2779">
        <v>-300.38760000000002</v>
      </c>
      <c r="K2779">
        <v>1.118234</v>
      </c>
      <c r="L2779">
        <v>-49.083889999999997</v>
      </c>
      <c r="M2779">
        <v>0.28776160000000001</v>
      </c>
      <c r="N2779">
        <v>0</v>
      </c>
      <c r="O2779">
        <v>-0.95761189999999996</v>
      </c>
      <c r="P2779">
        <v>0.46435789999999999</v>
      </c>
      <c r="Q2779">
        <v>0.13555349999999999</v>
      </c>
      <c r="R2779">
        <v>-0.87521260000000001</v>
      </c>
      <c r="S2779">
        <v>1.875305</v>
      </c>
      <c r="T2779">
        <v>-0.29159829999999998</v>
      </c>
      <c r="U2779">
        <v>-2.482605</v>
      </c>
      <c r="V2779">
        <v>-0.19577169999999999</v>
      </c>
      <c r="W2779">
        <v>0.14442289999999999</v>
      </c>
      <c r="X2779">
        <v>0.96995640000000005</v>
      </c>
      <c r="Y2779">
        <v>-0.34485070000000001</v>
      </c>
      <c r="Z2779">
        <v>9.4172909999999999E-2</v>
      </c>
      <c r="AA2779">
        <v>0.93392149999999996</v>
      </c>
      <c r="AB2779">
        <v>31</v>
      </c>
      <c r="AC2779">
        <v>7.1000000000000201</v>
      </c>
      <c r="AD2779">
        <v>-1.118242793154</v>
      </c>
      <c r="AE2779">
        <v>-9.2395699999999898</v>
      </c>
      <c r="AF2779">
        <v>-4.1028235413052201</v>
      </c>
      <c r="AG2779">
        <v>-1.118242793154</v>
      </c>
      <c r="AH2779">
        <v>10.7925756018761</v>
      </c>
      <c r="AI2779">
        <v>95.531849258546202</v>
      </c>
      <c r="AJ2779">
        <v>110.814420829792</v>
      </c>
      <c r="AK2779">
        <v>11.600142933504699</v>
      </c>
      <c r="AL2779">
        <v>81.696137751112502</v>
      </c>
      <c r="AM2779">
        <v>101.41102192026899</v>
      </c>
      <c r="AN2779">
        <v>0.999999975233129</v>
      </c>
    </row>
    <row r="2780" spans="1:40" x14ac:dyDescent="0.3">
      <c r="A2780" t="str">
        <f>"20200111150904543"</f>
        <v>20200111150904543</v>
      </c>
      <c r="B2780" t="str">
        <f>"1578726544536795"</f>
        <v>1578726544536795</v>
      </c>
      <c r="C2780" t="s">
        <v>40</v>
      </c>
      <c r="D2780">
        <v>5.4072329999999997</v>
      </c>
      <c r="E2780">
        <v>0.43340010000000001</v>
      </c>
      <c r="F2780" t="s">
        <v>89</v>
      </c>
      <c r="G2780">
        <v>-293.18810000000002</v>
      </c>
      <c r="H2780" s="1">
        <v>-8.8158230000000008E-6</v>
      </c>
      <c r="I2780">
        <v>-58.458770000000001</v>
      </c>
      <c r="J2780">
        <v>-300.27379999999999</v>
      </c>
      <c r="K2780">
        <v>1.1182379999999901</v>
      </c>
      <c r="L2780">
        <v>-49.420650000000002</v>
      </c>
      <c r="M2780">
        <v>0.29904609999999998</v>
      </c>
      <c r="N2780">
        <v>0</v>
      </c>
      <c r="O2780">
        <v>-0.9541482</v>
      </c>
      <c r="P2780">
        <v>0.47491509999999998</v>
      </c>
      <c r="Q2780">
        <v>0.13587349999999901</v>
      </c>
      <c r="R2780">
        <v>-0.86947940000000001</v>
      </c>
      <c r="S2780">
        <v>1.8951720000000001</v>
      </c>
      <c r="T2780">
        <v>-0.2943615</v>
      </c>
      <c r="U2780">
        <v>-2.4678040000000001</v>
      </c>
      <c r="V2780">
        <v>-0.19608500000000001</v>
      </c>
      <c r="W2780">
        <v>0.14473620000000001</v>
      </c>
      <c r="X2780">
        <v>0.9698464</v>
      </c>
      <c r="Y2780">
        <v>-0.341165</v>
      </c>
      <c r="Z2780">
        <v>9.4857549999999999E-2</v>
      </c>
      <c r="AA2780">
        <v>0.93520499999999995</v>
      </c>
      <c r="AB2780">
        <v>31</v>
      </c>
      <c r="AC2780">
        <v>7.0856999999999699</v>
      </c>
      <c r="AD2780">
        <v>-1.1182468158229999</v>
      </c>
      <c r="AE2780">
        <v>-9.0381199999999904</v>
      </c>
      <c r="AF2780">
        <v>-4.0202284701797</v>
      </c>
      <c r="AG2780">
        <v>-1.1182468158229999</v>
      </c>
      <c r="AH2780">
        <v>10.6426825199873</v>
      </c>
      <c r="AI2780">
        <v>95.6137336463228</v>
      </c>
      <c r="AJ2780">
        <v>110.693846633048</v>
      </c>
      <c r="AK2780">
        <v>11.431509266706</v>
      </c>
      <c r="AL2780">
        <v>81.677996307394096</v>
      </c>
      <c r="AM2780">
        <v>101.43006531105701</v>
      </c>
      <c r="AN2780">
        <v>0.99999996720419904</v>
      </c>
    </row>
    <row r="2781" spans="1:40" x14ac:dyDescent="0.3">
      <c r="A2781" t="str">
        <f>"20200111150904567"</f>
        <v>20200111150904567</v>
      </c>
      <c r="B2781" t="str">
        <f>"1578726544557291"</f>
        <v>1578726544557291</v>
      </c>
      <c r="C2781" t="s">
        <v>40</v>
      </c>
      <c r="D2781">
        <v>5.3701999999999996</v>
      </c>
      <c r="E2781">
        <v>0.43354110000000001</v>
      </c>
      <c r="F2781" t="s">
        <v>89</v>
      </c>
      <c r="G2781">
        <v>-293.06119999999999</v>
      </c>
      <c r="H2781" s="1">
        <v>-8.8472019999999994E-6</v>
      </c>
      <c r="I2781">
        <v>-58.606740000000002</v>
      </c>
      <c r="J2781">
        <v>-300.16550000000001</v>
      </c>
      <c r="K2781">
        <v>1.118234</v>
      </c>
      <c r="L2781">
        <v>-49.729030000000002</v>
      </c>
      <c r="M2781">
        <v>0.3093843</v>
      </c>
      <c r="N2781">
        <v>0</v>
      </c>
      <c r="O2781">
        <v>-0.95084630000000003</v>
      </c>
      <c r="P2781">
        <v>0.48561589999999999</v>
      </c>
      <c r="Q2781">
        <v>0.13555980000000001</v>
      </c>
      <c r="R2781">
        <v>-0.86359779999999997</v>
      </c>
      <c r="S2781">
        <v>1.92157</v>
      </c>
      <c r="T2781">
        <v>-0.29791960000000001</v>
      </c>
      <c r="U2781">
        <v>-2.447327</v>
      </c>
      <c r="V2781">
        <v>-0.19751830000000001</v>
      </c>
      <c r="W2781">
        <v>0.14439170000000001</v>
      </c>
      <c r="X2781">
        <v>0.96960690000000005</v>
      </c>
      <c r="Y2781">
        <v>-0.34094609999999997</v>
      </c>
      <c r="Z2781">
        <v>9.5850909999999998E-2</v>
      </c>
      <c r="AA2781">
        <v>0.9351836</v>
      </c>
      <c r="AB2781">
        <v>31</v>
      </c>
      <c r="AC2781">
        <v>7.1043000000000198</v>
      </c>
      <c r="AD2781">
        <v>-1.1182428472019901</v>
      </c>
      <c r="AE2781">
        <v>-8.8777100000000004</v>
      </c>
      <c r="AF2781">
        <v>-3.9704167700476498</v>
      </c>
      <c r="AG2781">
        <v>-1.1182428472019901</v>
      </c>
      <c r="AH2781">
        <v>10.5382869478905</v>
      </c>
      <c r="AI2781">
        <v>95.670796354242398</v>
      </c>
      <c r="AJ2781">
        <v>110.644458279662</v>
      </c>
      <c r="AK2781">
        <v>11.3168090992679</v>
      </c>
      <c r="AL2781">
        <v>81.697944448739804</v>
      </c>
      <c r="AM2781">
        <v>101.51415931557599</v>
      </c>
      <c r="AN2781">
        <v>0.99999999119569505</v>
      </c>
    </row>
    <row r="2782" spans="1:40" x14ac:dyDescent="0.3">
      <c r="A2782" t="str">
        <f>"20200111150904593"</f>
        <v>20200111150904593</v>
      </c>
      <c r="B2782" t="str">
        <f>"1578726544586570"</f>
        <v>1578726544586570</v>
      </c>
      <c r="C2782" t="s">
        <v>40</v>
      </c>
      <c r="D2782">
        <v>5.4653970000000003</v>
      </c>
      <c r="E2782">
        <v>0.43736789999999998</v>
      </c>
      <c r="F2782" t="s">
        <v>89</v>
      </c>
      <c r="G2782">
        <v>-292.90820000000002</v>
      </c>
      <c r="H2782" s="1">
        <v>-8.8881700000000003E-6</v>
      </c>
      <c r="I2782">
        <v>-58.753489999999999</v>
      </c>
      <c r="J2782">
        <v>-300.04790000000003</v>
      </c>
      <c r="K2782">
        <v>1.118231</v>
      </c>
      <c r="L2782">
        <v>-50.05283</v>
      </c>
      <c r="M2782">
        <v>0.3202392</v>
      </c>
      <c r="N2782">
        <v>0</v>
      </c>
      <c r="O2782">
        <v>-0.94724549999999996</v>
      </c>
      <c r="P2782">
        <v>0.49671110000000002</v>
      </c>
      <c r="Q2782">
        <v>0.13399430000000001</v>
      </c>
      <c r="R2782">
        <v>-0.85751049999999995</v>
      </c>
      <c r="S2782">
        <v>1.949829</v>
      </c>
      <c r="T2782">
        <v>-0.30043730000000002</v>
      </c>
      <c r="U2782">
        <v>-2.4245909999999999</v>
      </c>
      <c r="V2782">
        <v>-0.1988248</v>
      </c>
      <c r="W2782">
        <v>0.14280100000000001</v>
      </c>
      <c r="X2782">
        <v>0.96957550000000003</v>
      </c>
      <c r="Y2782">
        <v>-0.3410569</v>
      </c>
      <c r="Z2782">
        <v>9.6501970000000006E-2</v>
      </c>
      <c r="AA2782">
        <v>0.93507620000000002</v>
      </c>
      <c r="AB2782">
        <v>31</v>
      </c>
      <c r="AC2782">
        <v>7.1397000000000004</v>
      </c>
      <c r="AD2782">
        <v>-1.11823988817</v>
      </c>
      <c r="AE2782">
        <v>-8.7006599999999992</v>
      </c>
      <c r="AF2782">
        <v>-3.9382247043033098</v>
      </c>
      <c r="AG2782">
        <v>-1.11823988817</v>
      </c>
      <c r="AH2782">
        <v>10.426064226171</v>
      </c>
      <c r="AI2782">
        <v>95.729596516461896</v>
      </c>
      <c r="AJ2782">
        <v>110.692994830491</v>
      </c>
      <c r="AK2782">
        <v>11.2010218068407</v>
      </c>
      <c r="AL2782">
        <v>81.790039686633094</v>
      </c>
      <c r="AM2782">
        <v>101.58863216079</v>
      </c>
      <c r="AN2782">
        <v>1.00000003844814</v>
      </c>
    </row>
    <row r="2783" spans="1:40" x14ac:dyDescent="0.3">
      <c r="A2783" t="str">
        <f>"20200111150904621"</f>
        <v>20200111150904621</v>
      </c>
      <c r="B2783" t="str">
        <f>"1578726544616826"</f>
        <v>1578726544616826</v>
      </c>
      <c r="C2783" t="s">
        <v>40</v>
      </c>
      <c r="D2783">
        <v>5.4074730000000004</v>
      </c>
      <c r="E2783">
        <v>0.43753890000000001</v>
      </c>
      <c r="F2783" t="s">
        <v>89</v>
      </c>
      <c r="G2783">
        <v>-293.71929999999998</v>
      </c>
      <c r="H2783" s="1">
        <v>-8.6802810000000002E-6</v>
      </c>
      <c r="I2783">
        <v>-57.882159999999999</v>
      </c>
      <c r="J2783">
        <v>-299.91379999999998</v>
      </c>
      <c r="K2783">
        <v>1.118228</v>
      </c>
      <c r="L2783">
        <v>-50.409210000000002</v>
      </c>
      <c r="M2783">
        <v>0.3321906</v>
      </c>
      <c r="N2783">
        <v>0</v>
      </c>
      <c r="O2783">
        <v>-0.94312050000000003</v>
      </c>
      <c r="P2783">
        <v>0.50857129999999995</v>
      </c>
      <c r="Q2783">
        <v>0.13329530000000001</v>
      </c>
      <c r="R2783">
        <v>-0.85063960000000005</v>
      </c>
      <c r="S2783">
        <v>1.955811</v>
      </c>
      <c r="T2783">
        <v>-0.34558680000000003</v>
      </c>
      <c r="U2783">
        <v>-2.4196170000000001</v>
      </c>
      <c r="V2783">
        <v>-0.1999821</v>
      </c>
      <c r="W2783">
        <v>0.14207979999999901</v>
      </c>
      <c r="X2783">
        <v>0.96944339999999996</v>
      </c>
      <c r="Y2783">
        <v>-0.33053939999999998</v>
      </c>
      <c r="Z2783">
        <v>0.1104252</v>
      </c>
      <c r="AA2783">
        <v>0.93730999999999998</v>
      </c>
      <c r="AB2783">
        <v>31</v>
      </c>
      <c r="AC2783">
        <v>6.1944999999999997</v>
      </c>
      <c r="AD2783">
        <v>-1.118236680281</v>
      </c>
      <c r="AE2783">
        <v>-7.47295</v>
      </c>
      <c r="AF2783">
        <v>-3.3159968776586699</v>
      </c>
      <c r="AG2783">
        <v>-1.118236680281</v>
      </c>
      <c r="AH2783">
        <v>8.98715704752804</v>
      </c>
      <c r="AI2783">
        <v>96.658204405360095</v>
      </c>
      <c r="AJ2783">
        <v>110.25257902161501</v>
      </c>
      <c r="AK2783">
        <v>9.6444429783529202</v>
      </c>
      <c r="AL2783">
        <v>81.831786832817698</v>
      </c>
      <c r="AM2783">
        <v>101.65579064348201</v>
      </c>
      <c r="AN2783">
        <v>1.0000000078460001</v>
      </c>
    </row>
    <row r="2784" spans="1:40" x14ac:dyDescent="0.3">
      <c r="A2784" t="str">
        <f>"20200111150904649"</f>
        <v>20200111150904649</v>
      </c>
      <c r="B2784" t="str">
        <f>"1578726544636346"</f>
        <v>1578726544636346</v>
      </c>
      <c r="C2784" t="s">
        <v>40</v>
      </c>
      <c r="D2784">
        <v>5.3648290000000003</v>
      </c>
      <c r="E2784">
        <v>0.43793480000000001</v>
      </c>
      <c r="F2784" t="s">
        <v>89</v>
      </c>
      <c r="G2784">
        <v>-293.52800000000002</v>
      </c>
      <c r="H2784" s="1">
        <v>-8.7281929999999997E-6</v>
      </c>
      <c r="I2784">
        <v>-58.098849999999999</v>
      </c>
      <c r="J2784">
        <v>-299.77600000000001</v>
      </c>
      <c r="K2784">
        <v>1.1182289999999999</v>
      </c>
      <c r="L2784">
        <v>-50.760530000000003</v>
      </c>
      <c r="M2784">
        <v>0.34398220000000002</v>
      </c>
      <c r="N2784">
        <v>0</v>
      </c>
      <c r="O2784">
        <v>-0.9388841</v>
      </c>
      <c r="P2784">
        <v>0.51944990000000002</v>
      </c>
      <c r="Q2784">
        <v>0.13413159999999999</v>
      </c>
      <c r="R2784">
        <v>-0.84390829999999994</v>
      </c>
      <c r="S2784">
        <v>1.9873350000000001</v>
      </c>
      <c r="T2784">
        <v>-0.34801140000000003</v>
      </c>
      <c r="U2784">
        <v>-2.3931269999999998</v>
      </c>
      <c r="V2784">
        <v>-0.20034289999999999</v>
      </c>
      <c r="W2784">
        <v>0.14290999999999901</v>
      </c>
      <c r="X2784">
        <v>0.96924690000000002</v>
      </c>
      <c r="Y2784">
        <v>-0.33107950000000003</v>
      </c>
      <c r="Z2784">
        <v>0.11097600000000001</v>
      </c>
      <c r="AA2784">
        <v>0.93705430000000001</v>
      </c>
      <c r="AB2784">
        <v>31</v>
      </c>
      <c r="AC2784">
        <v>6.2479999999999896</v>
      </c>
      <c r="AD2784">
        <v>-1.118237728193</v>
      </c>
      <c r="AE2784">
        <v>-7.3383200000000004</v>
      </c>
      <c r="AF2784">
        <v>-3.2977907780121201</v>
      </c>
      <c r="AG2784">
        <v>-1.118237728193</v>
      </c>
      <c r="AH2784">
        <v>8.9197375685156093</v>
      </c>
      <c r="AI2784">
        <v>96.706464297820702</v>
      </c>
      <c r="AJ2784">
        <v>110.290278923171</v>
      </c>
      <c r="AK2784">
        <v>9.5753641144076003</v>
      </c>
      <c r="AL2784">
        <v>81.783729819951901</v>
      </c>
      <c r="AM2784">
        <v>101.678544830102</v>
      </c>
      <c r="AN2784">
        <v>1.0000000494200001</v>
      </c>
    </row>
    <row r="2785" spans="1:40" x14ac:dyDescent="0.3">
      <c r="A2785" t="str">
        <f>"20200111150904672"</f>
        <v>20200111150904672</v>
      </c>
      <c r="B2785" t="str">
        <f>"1578726544666602"</f>
        <v>1578726544666602</v>
      </c>
      <c r="C2785" t="s">
        <v>40</v>
      </c>
      <c r="D2785">
        <v>5.2815539999999999</v>
      </c>
      <c r="E2785">
        <v>0.4325425</v>
      </c>
      <c r="F2785" t="s">
        <v>89</v>
      </c>
      <c r="G2785">
        <v>-293.31540000000001</v>
      </c>
      <c r="H2785" s="1">
        <v>-8.7797399999999994E-6</v>
      </c>
      <c r="I2785">
        <v>-58.356639999999999</v>
      </c>
      <c r="J2785">
        <v>-299.65940000000001</v>
      </c>
      <c r="K2785">
        <v>1.1182289999999999</v>
      </c>
      <c r="L2785">
        <v>-51.04871</v>
      </c>
      <c r="M2785">
        <v>0.35365639999999998</v>
      </c>
      <c r="N2785">
        <v>0</v>
      </c>
      <c r="O2785">
        <v>-0.93528270000000002</v>
      </c>
      <c r="P2785">
        <v>0.52735540000000003</v>
      </c>
      <c r="Q2785">
        <v>0.13491510000000001</v>
      </c>
      <c r="R2785">
        <v>-0.83886469999999902</v>
      </c>
      <c r="S2785">
        <v>2.0155029999999998</v>
      </c>
      <c r="T2785">
        <v>-0.34885569999999999</v>
      </c>
      <c r="U2785">
        <v>-2.3697509999999999</v>
      </c>
      <c r="V2785">
        <v>-0.19950090000000001</v>
      </c>
      <c r="W2785">
        <v>0.14371510000000001</v>
      </c>
      <c r="X2785">
        <v>0.96930150000000004</v>
      </c>
      <c r="Y2785">
        <v>-0.33236009999999999</v>
      </c>
      <c r="Z2785">
        <v>0.1110471</v>
      </c>
      <c r="AA2785">
        <v>0.93659230000000004</v>
      </c>
      <c r="AB2785">
        <v>31</v>
      </c>
      <c r="AC2785">
        <v>6.3439999999999896</v>
      </c>
      <c r="AD2785">
        <v>-1.1182377797399901</v>
      </c>
      <c r="AE2785">
        <v>-7.3079299999999998</v>
      </c>
      <c r="AF2785">
        <v>-3.30509757906735</v>
      </c>
      <c r="AG2785">
        <v>-1.1182377797399901</v>
      </c>
      <c r="AH2785">
        <v>8.9597325334258198</v>
      </c>
      <c r="AI2785">
        <v>96.678594154869401</v>
      </c>
      <c r="AJ2785">
        <v>110.24818605183</v>
      </c>
      <c r="AK2785">
        <v>9.61514081070702</v>
      </c>
      <c r="AL2785">
        <v>81.737119599133905</v>
      </c>
      <c r="AM2785">
        <v>101.630165005443</v>
      </c>
      <c r="AN2785">
        <v>1.00000001848553</v>
      </c>
    </row>
    <row r="2786" spans="1:40" x14ac:dyDescent="0.3">
      <c r="A2786" t="str">
        <f>"20200111150904694"</f>
        <v>20200111150904694</v>
      </c>
      <c r="B2786" t="str">
        <f>"1578726544687099"</f>
        <v>1578726544687099</v>
      </c>
      <c r="C2786" t="s">
        <v>40</v>
      </c>
      <c r="D2786">
        <v>5.4310359999999998</v>
      </c>
      <c r="E2786">
        <v>0.42653089999999999</v>
      </c>
      <c r="F2786" t="s">
        <v>89</v>
      </c>
      <c r="G2786">
        <v>-292.76299999999998</v>
      </c>
      <c r="H2786" s="1">
        <v>-8.9383620000000001E-6</v>
      </c>
      <c r="I2786">
        <v>-58.779299999999999</v>
      </c>
      <c r="J2786">
        <v>-299.5401</v>
      </c>
      <c r="K2786">
        <v>1.118223</v>
      </c>
      <c r="L2786">
        <v>-51.334960000000002</v>
      </c>
      <c r="M2786">
        <v>0.3632706</v>
      </c>
      <c r="N2786">
        <v>0</v>
      </c>
      <c r="O2786">
        <v>-0.93159060000000005</v>
      </c>
      <c r="P2786">
        <v>0.53582280000000004</v>
      </c>
      <c r="Q2786">
        <v>0.13558220000000001</v>
      </c>
      <c r="R2786">
        <v>-0.83337380000000005</v>
      </c>
      <c r="S2786">
        <v>2.074951</v>
      </c>
      <c r="T2786">
        <v>-0.33645239999999998</v>
      </c>
      <c r="U2786">
        <v>-2.325958</v>
      </c>
      <c r="V2786">
        <v>-0.1993846</v>
      </c>
      <c r="W2786">
        <v>0.1443866</v>
      </c>
      <c r="X2786">
        <v>0.96922560000000002</v>
      </c>
      <c r="Y2786">
        <v>-0.34506979999999998</v>
      </c>
      <c r="Z2786">
        <v>0.1069914</v>
      </c>
      <c r="AA2786">
        <v>0.93245889999999998</v>
      </c>
      <c r="AB2786">
        <v>31</v>
      </c>
      <c r="AC2786">
        <v>6.7771000000000097</v>
      </c>
      <c r="AD2786">
        <v>-1.1182319383620001</v>
      </c>
      <c r="AE2786">
        <v>-7.4443400000000004</v>
      </c>
      <c r="AF2786">
        <v>-3.5654940328875702</v>
      </c>
      <c r="AG2786">
        <v>-1.1182319383620001</v>
      </c>
      <c r="AH2786">
        <v>9.2832744319751708</v>
      </c>
      <c r="AI2786">
        <v>96.415840558146897</v>
      </c>
      <c r="AJ2786">
        <v>111.010644053682</v>
      </c>
      <c r="AK2786">
        <v>10.007116195282901</v>
      </c>
      <c r="AL2786">
        <v>81.698239711074606</v>
      </c>
      <c r="AM2786">
        <v>101.624455161578</v>
      </c>
      <c r="AN2786">
        <v>0.99999998633603904</v>
      </c>
    </row>
    <row r="2787" spans="1:40" x14ac:dyDescent="0.3">
      <c r="A2787" t="str">
        <f>"20200111150904714"</f>
        <v>20200111150904714</v>
      </c>
      <c r="B2787" t="str">
        <f>"1578726544706618"</f>
        <v>1578726544706618</v>
      </c>
      <c r="C2787" t="s">
        <v>40</v>
      </c>
      <c r="D2787">
        <v>5.381564</v>
      </c>
      <c r="E2787">
        <v>0.42207879999999998</v>
      </c>
      <c r="F2787" t="s">
        <v>89</v>
      </c>
      <c r="G2787">
        <v>-291.93369999999999</v>
      </c>
      <c r="H2787" s="1">
        <v>-9.1744339999999994E-6</v>
      </c>
      <c r="I2787">
        <v>-59.43479</v>
      </c>
      <c r="J2787">
        <v>-299.43970000000002</v>
      </c>
      <c r="K2787">
        <v>1.118214</v>
      </c>
      <c r="L2787">
        <v>-51.569459999999999</v>
      </c>
      <c r="M2787">
        <v>0.3711486</v>
      </c>
      <c r="N2787">
        <v>0</v>
      </c>
      <c r="O2787">
        <v>-0.92848010000000003</v>
      </c>
      <c r="P2787">
        <v>0.54340049999999995</v>
      </c>
      <c r="Q2787">
        <v>0.135493899999999</v>
      </c>
      <c r="R2787">
        <v>-0.82846679999999995</v>
      </c>
      <c r="S2787">
        <v>2.1377869999999999</v>
      </c>
      <c r="T2787">
        <v>-0.3142797</v>
      </c>
      <c r="U2787">
        <v>-2.276459</v>
      </c>
      <c r="V2787">
        <v>-0.2000063</v>
      </c>
      <c r="W2787">
        <v>0.144287</v>
      </c>
      <c r="X2787">
        <v>0.96911230000000004</v>
      </c>
      <c r="Y2787">
        <v>-0.3614464</v>
      </c>
      <c r="Z2787">
        <v>9.9987099999999995E-2</v>
      </c>
      <c r="AA2787">
        <v>0.92701619999999996</v>
      </c>
      <c r="AB2787">
        <v>31</v>
      </c>
      <c r="AC2787">
        <v>7.5060000000000198</v>
      </c>
      <c r="AD2787">
        <v>-1.1182231744339901</v>
      </c>
      <c r="AE2787">
        <v>-7.8653300000000002</v>
      </c>
      <c r="AF2787">
        <v>-4.0079185989106501</v>
      </c>
      <c r="AG2787">
        <v>-1.1182231744339901</v>
      </c>
      <c r="AH2787">
        <v>9.9839032956510607</v>
      </c>
      <c r="AI2787">
        <v>95.934025684814799</v>
      </c>
      <c r="AJ2787">
        <v>111.872403371204</v>
      </c>
      <c r="AK2787">
        <v>10.816291396788801</v>
      </c>
      <c r="AL2787">
        <v>81.7040064913636</v>
      </c>
      <c r="AM2787">
        <v>101.661036167701</v>
      </c>
      <c r="AN2787">
        <v>0.99999995420998899</v>
      </c>
    </row>
    <row r="2788" spans="1:40" x14ac:dyDescent="0.3">
      <c r="A2788" t="str">
        <f>"20200111150904735"</f>
        <v>20200111150904735</v>
      </c>
      <c r="B2788" t="str">
        <f>"1578726544727115"</f>
        <v>1578726544727115</v>
      </c>
      <c r="C2788" t="s">
        <v>40</v>
      </c>
      <c r="D2788">
        <v>5.5459149999999999</v>
      </c>
      <c r="E2788">
        <v>0.41883330000000002</v>
      </c>
      <c r="F2788" t="s">
        <v>89</v>
      </c>
      <c r="G2788">
        <v>-291.28919999999999</v>
      </c>
      <c r="H2788" s="1">
        <v>-9.3619249999999993E-6</v>
      </c>
      <c r="I2788">
        <v>-59.903750000000002</v>
      </c>
      <c r="J2788">
        <v>-299.31799999999998</v>
      </c>
      <c r="K2788">
        <v>1.118212</v>
      </c>
      <c r="L2788">
        <v>-51.847050000000003</v>
      </c>
      <c r="M2788">
        <v>0.3804786</v>
      </c>
      <c r="N2788">
        <v>0</v>
      </c>
      <c r="O2788">
        <v>-0.92469599999999996</v>
      </c>
      <c r="P2788">
        <v>0.55197779999999996</v>
      </c>
      <c r="Q2788">
        <v>0.13467479999999901</v>
      </c>
      <c r="R2788">
        <v>-0.82291139999999996</v>
      </c>
      <c r="S2788">
        <v>2.1866759999999998</v>
      </c>
      <c r="T2788">
        <v>-0.30000209999999999</v>
      </c>
      <c r="U2788">
        <v>-2.2359619999999998</v>
      </c>
      <c r="V2788">
        <v>-0.2002485</v>
      </c>
      <c r="W2788">
        <v>0.14346639999999999</v>
      </c>
      <c r="X2788">
        <v>0.96918419999999905</v>
      </c>
      <c r="Y2788">
        <v>-0.37116440000000001</v>
      </c>
      <c r="Z2788">
        <v>9.5348160000000001E-2</v>
      </c>
      <c r="AA2788">
        <v>0.9236588</v>
      </c>
      <c r="AB2788">
        <v>31</v>
      </c>
      <c r="AC2788">
        <v>8.0287999999999897</v>
      </c>
      <c r="AD2788">
        <v>-1.1182213619250001</v>
      </c>
      <c r="AE2788">
        <v>-8.0566999999999993</v>
      </c>
      <c r="AF2788">
        <v>-4.3174457515636302</v>
      </c>
      <c r="AG2788">
        <v>-1.1182213619250001</v>
      </c>
      <c r="AH2788">
        <v>10.4051268048501</v>
      </c>
      <c r="AI2788">
        <v>95.668750021467403</v>
      </c>
      <c r="AJ2788">
        <v>112.535246889221</v>
      </c>
      <c r="AK2788">
        <v>11.3206634371387</v>
      </c>
      <c r="AL2788">
        <v>81.751518462516501</v>
      </c>
      <c r="AM2788">
        <v>101.673927495879</v>
      </c>
      <c r="AN2788">
        <v>1.00000004160542</v>
      </c>
    </row>
    <row r="2789" spans="1:40" x14ac:dyDescent="0.3">
      <c r="A2789" t="str">
        <f>"20200111150904758"</f>
        <v>20200111150904758</v>
      </c>
      <c r="B2789" t="str">
        <f>"1578726544746635"</f>
        <v>1578726544746635</v>
      </c>
      <c r="C2789" t="s">
        <v>40</v>
      </c>
      <c r="D2789">
        <v>5.3419819999999998</v>
      </c>
      <c r="E2789">
        <v>0.41647400000000001</v>
      </c>
      <c r="F2789" t="s">
        <v>89</v>
      </c>
      <c r="G2789">
        <v>-290.7704</v>
      </c>
      <c r="H2789" s="1">
        <v>-9.5147849999999997E-6</v>
      </c>
      <c r="I2789">
        <v>-60.261400000000002</v>
      </c>
      <c r="J2789">
        <v>-299.19760000000002</v>
      </c>
      <c r="K2789">
        <v>1.1182019999999999</v>
      </c>
      <c r="L2789">
        <v>-52.114289999999997</v>
      </c>
      <c r="M2789">
        <v>0.38946320000000001</v>
      </c>
      <c r="N2789">
        <v>0</v>
      </c>
      <c r="O2789">
        <v>-0.92094779999999998</v>
      </c>
      <c r="P2789">
        <v>0.56023990000000001</v>
      </c>
      <c r="Q2789">
        <v>0.13376360000000001</v>
      </c>
      <c r="R2789">
        <v>-0.81745849999999998</v>
      </c>
      <c r="S2789">
        <v>2.2313839999999998</v>
      </c>
      <c r="T2789">
        <v>-0.2919195</v>
      </c>
      <c r="U2789">
        <v>-2.196625</v>
      </c>
      <c r="V2789">
        <v>-0.20049900000000001</v>
      </c>
      <c r="W2789">
        <v>0.14255319999999999</v>
      </c>
      <c r="X2789">
        <v>0.96926710000000005</v>
      </c>
      <c r="Y2789">
        <v>-0.37984709999999999</v>
      </c>
      <c r="Z2789">
        <v>9.2681159999999999E-2</v>
      </c>
      <c r="AA2789">
        <v>0.92039470000000001</v>
      </c>
      <c r="AB2789">
        <v>31</v>
      </c>
      <c r="AC2789">
        <v>8.4272000000000205</v>
      </c>
      <c r="AD2789">
        <v>-1.118211514785</v>
      </c>
      <c r="AE2789">
        <v>-8.1471099999999907</v>
      </c>
      <c r="AF2789">
        <v>-4.5470280617872296</v>
      </c>
      <c r="AG2789">
        <v>-1.118211514785</v>
      </c>
      <c r="AH2789">
        <v>10.6888059446621</v>
      </c>
      <c r="AI2789">
        <v>95.498731223297597</v>
      </c>
      <c r="AJ2789">
        <v>113.044946677637</v>
      </c>
      <c r="AK2789">
        <v>11.6694658707725</v>
      </c>
      <c r="AL2789">
        <v>81.804383915714098</v>
      </c>
      <c r="AM2789">
        <v>101.687157232228</v>
      </c>
      <c r="AN2789">
        <v>0.99999998748682495</v>
      </c>
    </row>
    <row r="2790" spans="1:40" x14ac:dyDescent="0.3">
      <c r="A2790" t="str">
        <f>"20200111150904782"</f>
        <v>20200111150904782</v>
      </c>
      <c r="B2790" t="str">
        <f>"1578726544776891"</f>
        <v>1578726544776891</v>
      </c>
      <c r="C2790" t="s">
        <v>40</v>
      </c>
      <c r="D2790">
        <v>5.3427980000000002</v>
      </c>
      <c r="E2790">
        <v>0.41381829999999997</v>
      </c>
      <c r="F2790" t="s">
        <v>89</v>
      </c>
      <c r="G2790">
        <v>-290.33850000000001</v>
      </c>
      <c r="H2790" s="1">
        <v>-9.9539660000000002E-6</v>
      </c>
      <c r="I2790">
        <v>-60.552430000000001</v>
      </c>
      <c r="J2790">
        <v>-299.06400000000002</v>
      </c>
      <c r="K2790">
        <v>1.11819</v>
      </c>
      <c r="L2790">
        <v>-52.402679999999997</v>
      </c>
      <c r="M2790">
        <v>0.39916679999999999</v>
      </c>
      <c r="N2790">
        <v>0</v>
      </c>
      <c r="O2790">
        <v>-0.91678389999999998</v>
      </c>
      <c r="P2790">
        <v>0.57027759999999905</v>
      </c>
      <c r="Q2790">
        <v>0.13321859999999999</v>
      </c>
      <c r="R2790">
        <v>-0.81057809999999997</v>
      </c>
      <c r="S2790">
        <v>2.2693180000000002</v>
      </c>
      <c r="T2790">
        <v>-0.2864392</v>
      </c>
      <c r="U2790">
        <v>-2.1614990000000001</v>
      </c>
      <c r="V2790">
        <v>-0.2021703</v>
      </c>
      <c r="W2790">
        <v>0.14197409999999999</v>
      </c>
      <c r="X2790">
        <v>0.96900489999999995</v>
      </c>
      <c r="Y2790">
        <v>-0.3853781</v>
      </c>
      <c r="Z2790">
        <v>9.0783450000000002E-2</v>
      </c>
      <c r="AA2790">
        <v>0.91828220000000005</v>
      </c>
      <c r="AB2790">
        <v>31</v>
      </c>
      <c r="AC2790">
        <v>8.7255000000000091</v>
      </c>
      <c r="AD2790">
        <v>-1.1181999539659999</v>
      </c>
      <c r="AE2790">
        <v>-8.1497500000000098</v>
      </c>
      <c r="AF2790">
        <v>-4.7054266044054103</v>
      </c>
      <c r="AG2790">
        <v>-1.1181999539659999</v>
      </c>
      <c r="AH2790">
        <v>10.8601802462153</v>
      </c>
      <c r="AI2790">
        <v>95.397091736350504</v>
      </c>
      <c r="AJ2790">
        <v>113.42579895983</v>
      </c>
      <c r="AK2790">
        <v>11.8884366359409</v>
      </c>
      <c r="AL2790">
        <v>81.837904836394799</v>
      </c>
      <c r="AM2790">
        <v>101.78496439276201</v>
      </c>
      <c r="AN2790">
        <v>0.99999998574845395</v>
      </c>
    </row>
    <row r="2791" spans="1:40" x14ac:dyDescent="0.3">
      <c r="A2791" t="str">
        <f>"20200111150904804"</f>
        <v>20200111150904804</v>
      </c>
      <c r="B2791" t="str">
        <f>"1578726544796410"</f>
        <v>1578726544796410</v>
      </c>
      <c r="C2791" t="s">
        <v>40</v>
      </c>
      <c r="D2791">
        <v>5.2577850000000002</v>
      </c>
      <c r="E2791">
        <v>0.41241879999999997</v>
      </c>
      <c r="F2791" t="s">
        <v>41</v>
      </c>
      <c r="G2791">
        <v>-298.26170000000002</v>
      </c>
      <c r="H2791">
        <v>1.0204</v>
      </c>
      <c r="I2791">
        <v>-53.138869999999997</v>
      </c>
      <c r="J2791">
        <v>-298.93689999999998</v>
      </c>
      <c r="K2791">
        <v>1.1181859999999999</v>
      </c>
      <c r="L2791">
        <v>-52.669739999999997</v>
      </c>
      <c r="M2791">
        <v>0.40816200000000002</v>
      </c>
      <c r="N2791">
        <v>0</v>
      </c>
      <c r="O2791">
        <v>-0.91281440000000003</v>
      </c>
      <c r="P2791">
        <v>0.57908400000000004</v>
      </c>
      <c r="Q2791">
        <v>0.13270290000000001</v>
      </c>
      <c r="R2791">
        <v>-0.80439510000000003</v>
      </c>
      <c r="S2791">
        <v>2.312103</v>
      </c>
      <c r="T2791">
        <v>-0.28174559999999998</v>
      </c>
      <c r="U2791">
        <v>-2.1206969999999998</v>
      </c>
      <c r="V2791">
        <v>-0.20316690000000001</v>
      </c>
      <c r="W2791">
        <v>0.1414369</v>
      </c>
      <c r="X2791">
        <v>0.96887500000000004</v>
      </c>
      <c r="Y2791">
        <v>-0.39369270000000001</v>
      </c>
      <c r="Z2791">
        <v>8.9190469999999994E-2</v>
      </c>
      <c r="AA2791">
        <v>0.91490499999999997</v>
      </c>
      <c r="AB2791">
        <v>31</v>
      </c>
      <c r="AC2791">
        <v>0.67519999999996105</v>
      </c>
      <c r="AD2791">
        <v>-9.7786000000000095E-2</v>
      </c>
      <c r="AE2791">
        <v>-0.469129999999992</v>
      </c>
      <c r="AF2791">
        <v>-0.41896168038861598</v>
      </c>
      <c r="AG2791">
        <v>-9.7786000000000095E-2</v>
      </c>
      <c r="AH2791">
        <v>0.69406279816773697</v>
      </c>
      <c r="AI2791">
        <v>96.877654746634306</v>
      </c>
      <c r="AJ2791">
        <v>121.116716337878</v>
      </c>
      <c r="AK2791">
        <v>0.816586896313235</v>
      </c>
      <c r="AL2791">
        <v>81.868997812803499</v>
      </c>
      <c r="AM2791">
        <v>101.84296490615</v>
      </c>
      <c r="AN2791">
        <v>0.999999975781109</v>
      </c>
    </row>
    <row r="2792" spans="1:40" x14ac:dyDescent="0.3">
      <c r="A2792" t="str">
        <f>"20200111150904826"</f>
        <v>20200111150904826</v>
      </c>
      <c r="B2792" t="str">
        <f>"1578726544816907"</f>
        <v>1578726544816907</v>
      </c>
      <c r="C2792" t="s">
        <v>40</v>
      </c>
      <c r="D2792">
        <v>5.2747109999999999</v>
      </c>
      <c r="E2792">
        <v>0.41164729999999999</v>
      </c>
      <c r="F2792" t="s">
        <v>41</v>
      </c>
      <c r="G2792">
        <v>-298.1284</v>
      </c>
      <c r="H2792">
        <v>1.0218050000000001</v>
      </c>
      <c r="I2792">
        <v>-53.390099999999997</v>
      </c>
      <c r="J2792">
        <v>-298.80290000000002</v>
      </c>
      <c r="K2792">
        <v>1.118188</v>
      </c>
      <c r="L2792">
        <v>-52.9443699999999</v>
      </c>
      <c r="M2792">
        <v>0.41742439999999997</v>
      </c>
      <c r="N2792">
        <v>0</v>
      </c>
      <c r="O2792">
        <v>-0.90861599999999998</v>
      </c>
      <c r="P2792">
        <v>0.58639490000000005</v>
      </c>
      <c r="Q2792">
        <v>0.1315026</v>
      </c>
      <c r="R2792">
        <v>-0.79927950000000003</v>
      </c>
      <c r="S2792">
        <v>2.3435670000000002</v>
      </c>
      <c r="T2792">
        <v>-0.27940859999999901</v>
      </c>
      <c r="U2792">
        <v>-2.0884399999999999</v>
      </c>
      <c r="V2792">
        <v>-0.20204030000000001</v>
      </c>
      <c r="W2792">
        <v>0.14026429999999901</v>
      </c>
      <c r="X2792">
        <v>0.96928099999999995</v>
      </c>
      <c r="Y2792">
        <v>-0.39753539999999998</v>
      </c>
      <c r="Z2792">
        <v>8.828693E-2</v>
      </c>
      <c r="AA2792">
        <v>0.91332970000000002</v>
      </c>
      <c r="AB2792">
        <v>31</v>
      </c>
      <c r="AC2792">
        <v>0.67450000000002297</v>
      </c>
      <c r="AD2792">
        <v>-9.6383000000000094E-2</v>
      </c>
      <c r="AE2792">
        <v>-0.44573000000000401</v>
      </c>
      <c r="AF2792">
        <v>-0.42085854392838001</v>
      </c>
      <c r="AG2792">
        <v>-9.6383000000000094E-2</v>
      </c>
      <c r="AH2792">
        <v>0.67698812312265</v>
      </c>
      <c r="AI2792">
        <v>96.894209482082402</v>
      </c>
      <c r="AJ2792">
        <v>121.867692350548</v>
      </c>
      <c r="AK2792">
        <v>0.80294739275723703</v>
      </c>
      <c r="AL2792">
        <v>81.936859622832003</v>
      </c>
      <c r="AM2792">
        <v>101.774336951438</v>
      </c>
      <c r="AN2792">
        <v>1.0000000068197801</v>
      </c>
    </row>
    <row r="2793" spans="1:40" x14ac:dyDescent="0.3">
      <c r="A2793" t="str">
        <f>"20200111150904847"</f>
        <v>20200111150904847</v>
      </c>
      <c r="B2793" t="str">
        <f>"1578726544836426"</f>
        <v>1578726544836426</v>
      </c>
      <c r="C2793" t="s">
        <v>40</v>
      </c>
      <c r="D2793">
        <v>5.2757709999999998</v>
      </c>
      <c r="E2793">
        <v>0.4108135</v>
      </c>
      <c r="F2793" t="s">
        <v>41</v>
      </c>
      <c r="G2793">
        <v>-297.97019999999998</v>
      </c>
      <c r="H2793">
        <v>1.0195000000000001</v>
      </c>
      <c r="I2793">
        <v>-53.669530000000002</v>
      </c>
      <c r="J2793">
        <v>-298.67399999999998</v>
      </c>
      <c r="K2793">
        <v>1.1181890000000001</v>
      </c>
      <c r="L2793">
        <v>-53.2018699999999</v>
      </c>
      <c r="M2793">
        <v>0.42612899999999998</v>
      </c>
      <c r="N2793">
        <v>0</v>
      </c>
      <c r="O2793">
        <v>-0.90456650000000005</v>
      </c>
      <c r="P2793">
        <v>0.59334180000000003</v>
      </c>
      <c r="Q2793">
        <v>0.13045970000000001</v>
      </c>
      <c r="R2793">
        <v>-0.79430869999999998</v>
      </c>
      <c r="S2793">
        <v>2.3685</v>
      </c>
      <c r="T2793">
        <v>-0.28064660000000002</v>
      </c>
      <c r="U2793">
        <v>-2.0618289999999999</v>
      </c>
      <c r="V2793">
        <v>-0.20109189999999999</v>
      </c>
      <c r="W2793">
        <v>0.13924300000000001</v>
      </c>
      <c r="X2793">
        <v>0.96962539999999997</v>
      </c>
      <c r="Y2793">
        <v>-0.39931519999999998</v>
      </c>
      <c r="Z2793">
        <v>8.8484279999999998E-2</v>
      </c>
      <c r="AA2793">
        <v>0.91253379999999995</v>
      </c>
      <c r="AB2793">
        <v>31</v>
      </c>
      <c r="AC2793">
        <v>0.70380000000005705</v>
      </c>
      <c r="AD2793">
        <v>-9.8688999999999805E-2</v>
      </c>
      <c r="AE2793">
        <v>-0.46766000000000901</v>
      </c>
      <c r="AF2793">
        <v>-0.43150266290407502</v>
      </c>
      <c r="AG2793">
        <v>-9.8688999999999805E-2</v>
      </c>
      <c r="AH2793">
        <v>0.71327284048544703</v>
      </c>
      <c r="AI2793">
        <v>96.751451428264602</v>
      </c>
      <c r="AJ2793">
        <v>121.17232660835499</v>
      </c>
      <c r="AK2793">
        <v>0.83945947596562698</v>
      </c>
      <c r="AL2793">
        <v>81.995955627274199</v>
      </c>
      <c r="AM2793">
        <v>101.716551450986</v>
      </c>
      <c r="AN2793">
        <v>0.999999990809884</v>
      </c>
    </row>
    <row r="2794" spans="1:40" x14ac:dyDescent="0.3">
      <c r="A2794" t="str">
        <f>"20200111150904872"</f>
        <v>20200111150904872</v>
      </c>
      <c r="B2794" t="str">
        <f>"1578726544866682"</f>
        <v>1578726544866682</v>
      </c>
      <c r="C2794" t="s">
        <v>40</v>
      </c>
      <c r="D2794">
        <v>5.2512809999999996</v>
      </c>
      <c r="E2794">
        <v>0.40987790000000002</v>
      </c>
      <c r="F2794" t="s">
        <v>89</v>
      </c>
      <c r="G2794">
        <v>-289.18169999999998</v>
      </c>
      <c r="H2794" s="1">
        <v>-3.7635780000000001E-6</v>
      </c>
      <c r="I2794">
        <v>-61.287579999999998</v>
      </c>
      <c r="J2794">
        <v>-298.52550000000002</v>
      </c>
      <c r="K2794">
        <v>1.118207</v>
      </c>
      <c r="L2794">
        <v>-53.491239999999998</v>
      </c>
      <c r="M2794">
        <v>0.43595539999999999</v>
      </c>
      <c r="N2794">
        <v>0</v>
      </c>
      <c r="O2794">
        <v>-0.89987159999999999</v>
      </c>
      <c r="P2794">
        <v>0.6020356</v>
      </c>
      <c r="Q2794">
        <v>0.13000499999999901</v>
      </c>
      <c r="R2794">
        <v>-0.78781440000000003</v>
      </c>
      <c r="S2794">
        <v>2.391235</v>
      </c>
      <c r="T2794">
        <v>-0.28168729999999997</v>
      </c>
      <c r="U2794">
        <v>-2.036896</v>
      </c>
      <c r="V2794">
        <v>-0.2011541</v>
      </c>
      <c r="W2794">
        <v>0.13877970000000001</v>
      </c>
      <c r="X2794">
        <v>0.96967890000000001</v>
      </c>
      <c r="Y2794">
        <v>-0.3991265</v>
      </c>
      <c r="Z2794">
        <v>8.8544440000000002E-2</v>
      </c>
      <c r="AA2794">
        <v>0.91261049999999999</v>
      </c>
      <c r="AB2794">
        <v>31</v>
      </c>
      <c r="AC2794">
        <v>9.3438000000000407</v>
      </c>
      <c r="AD2794">
        <v>-1.1182107635780001</v>
      </c>
      <c r="AE2794">
        <v>-7.7963399999999998</v>
      </c>
      <c r="AF2794">
        <v>-4.9678534655956499</v>
      </c>
      <c r="AG2794">
        <v>-1.1182107635780001</v>
      </c>
      <c r="AH2794">
        <v>10.9972940981459</v>
      </c>
      <c r="AI2794">
        <v>95.294162515441002</v>
      </c>
      <c r="AJ2794">
        <v>114.310319806111</v>
      </c>
      <c r="AK2794">
        <v>12.1190115458534</v>
      </c>
      <c r="AL2794">
        <v>82.022760879428105</v>
      </c>
      <c r="AM2794">
        <v>101.719446532961</v>
      </c>
      <c r="AN2794">
        <v>0.99999997309205402</v>
      </c>
    </row>
    <row r="2795" spans="1:40" x14ac:dyDescent="0.3">
      <c r="A2795" t="str">
        <f>"20200111150904893"</f>
        <v>20200111150904893</v>
      </c>
      <c r="B2795" t="str">
        <f>"1578726544887179"</f>
        <v>1578726544887179</v>
      </c>
      <c r="C2795" t="s">
        <v>40</v>
      </c>
      <c r="D2795">
        <v>5.2034750000000001</v>
      </c>
      <c r="E2795">
        <v>0.40932459999999998</v>
      </c>
      <c r="F2795" t="s">
        <v>89</v>
      </c>
      <c r="G2795">
        <v>-288.91419999999999</v>
      </c>
      <c r="H2795" s="1">
        <v>-3.8667270000000003E-6</v>
      </c>
      <c r="I2795">
        <v>-61.46414</v>
      </c>
      <c r="J2795">
        <v>-298.39370000000002</v>
      </c>
      <c r="K2795">
        <v>1.1182479999999999</v>
      </c>
      <c r="L2795">
        <v>-53.741700000000002</v>
      </c>
      <c r="M2795">
        <v>0.44452059999999999</v>
      </c>
      <c r="N2795">
        <v>0</v>
      </c>
      <c r="O2795">
        <v>-0.89567169999999896</v>
      </c>
      <c r="P2795">
        <v>0.60848159999999996</v>
      </c>
      <c r="Q2795">
        <v>0.13108069999999999</v>
      </c>
      <c r="R2795">
        <v>-0.78266749999999996</v>
      </c>
      <c r="S2795">
        <v>2.4185180000000002</v>
      </c>
      <c r="T2795">
        <v>-0.28138030000000003</v>
      </c>
      <c r="U2795">
        <v>-2.006256</v>
      </c>
      <c r="V2795">
        <v>-0.1999736</v>
      </c>
      <c r="W2795">
        <v>0.1398681</v>
      </c>
      <c r="X2795">
        <v>0.96976669999999998</v>
      </c>
      <c r="Y2795">
        <v>-0.40231099999999997</v>
      </c>
      <c r="Z2795">
        <v>8.827422E-2</v>
      </c>
      <c r="AA2795">
        <v>0.91123739999999998</v>
      </c>
      <c r="AB2795">
        <v>30</v>
      </c>
      <c r="AC2795">
        <v>9.47950000000003</v>
      </c>
      <c r="AD2795">
        <v>-1.1182518667269901</v>
      </c>
      <c r="AE2795">
        <v>-7.72243999999999</v>
      </c>
      <c r="AF2795">
        <v>-5.0162165920269599</v>
      </c>
      <c r="AG2795">
        <v>-1.1182518667269901</v>
      </c>
      <c r="AH2795">
        <v>11.039231389672301</v>
      </c>
      <c r="AI2795">
        <v>95.2691055396146</v>
      </c>
      <c r="AJ2795">
        <v>114.43700384262399</v>
      </c>
      <c r="AK2795">
        <v>12.176926780197499</v>
      </c>
      <c r="AL2795">
        <v>81.959786075711094</v>
      </c>
      <c r="AM2795">
        <v>101.651529405513</v>
      </c>
      <c r="AN2795">
        <v>0.99999998926172895</v>
      </c>
    </row>
    <row r="2796" spans="1:40" x14ac:dyDescent="0.3">
      <c r="A2796" t="str">
        <f>"20200111150904913"</f>
        <v>20200111150904913</v>
      </c>
      <c r="B2796" t="str">
        <f>"1578726544906573"</f>
        <v>1578726544906573</v>
      </c>
      <c r="C2796" t="s">
        <v>40</v>
      </c>
      <c r="D2796">
        <v>5.1766329999999998</v>
      </c>
      <c r="E2796">
        <v>0.40887699999999999</v>
      </c>
      <c r="F2796" t="s">
        <v>89</v>
      </c>
      <c r="G2796">
        <v>-288.4699</v>
      </c>
      <c r="H2796" s="1">
        <v>-4.0295479999999998E-6</v>
      </c>
      <c r="I2796">
        <v>-61.805509999999998</v>
      </c>
      <c r="J2796">
        <v>-298.26549999999997</v>
      </c>
      <c r="K2796">
        <v>1.118304</v>
      </c>
      <c r="L2796">
        <v>-53.979640000000003</v>
      </c>
      <c r="M2796">
        <v>0.45273540000000001</v>
      </c>
      <c r="N2796">
        <v>0</v>
      </c>
      <c r="O2796">
        <v>-0.89154730000000004</v>
      </c>
      <c r="P2796">
        <v>0.61447629999999998</v>
      </c>
      <c r="Q2796">
        <v>0.1314871</v>
      </c>
      <c r="R2796">
        <v>-0.77790099999999995</v>
      </c>
      <c r="S2796">
        <v>2.4396360000000001</v>
      </c>
      <c r="T2796">
        <v>-0.27490920000000002</v>
      </c>
      <c r="U2796">
        <v>-1.982391</v>
      </c>
      <c r="V2796">
        <v>-0.19856360000000001</v>
      </c>
      <c r="W2796">
        <v>0.14028789999999999</v>
      </c>
      <c r="X2796">
        <v>0.96999579999999996</v>
      </c>
      <c r="Y2796">
        <v>-0.4032945</v>
      </c>
      <c r="Z2796">
        <v>8.6039760000000007E-2</v>
      </c>
      <c r="AA2796">
        <v>0.9110163</v>
      </c>
      <c r="AB2796">
        <v>30</v>
      </c>
      <c r="AC2796">
        <v>9.7955999999999808</v>
      </c>
      <c r="AD2796">
        <v>-1.1183080295479999</v>
      </c>
      <c r="AE2796">
        <v>-7.8258699999999903</v>
      </c>
      <c r="AF2796">
        <v>-5.1496751066294699</v>
      </c>
      <c r="AG2796">
        <v>-1.1183080295479999</v>
      </c>
      <c r="AH2796">
        <v>11.3228607710712</v>
      </c>
      <c r="AI2796">
        <v>95.137312035856397</v>
      </c>
      <c r="AJ2796">
        <v>114.45620012377501</v>
      </c>
      <c r="AK2796">
        <v>12.4890729277178</v>
      </c>
      <c r="AL2796">
        <v>81.935494087341297</v>
      </c>
      <c r="AM2796">
        <v>101.56893926780199</v>
      </c>
      <c r="AN2796">
        <v>1.0000000250745</v>
      </c>
    </row>
    <row r="2797" spans="1:40" x14ac:dyDescent="0.3">
      <c r="A2797" t="str">
        <f>"20200111150904936"</f>
        <v>20200111150904936</v>
      </c>
      <c r="B2797" t="str">
        <f>"1578726544927069"</f>
        <v>1578726544927069</v>
      </c>
      <c r="C2797" t="s">
        <v>40</v>
      </c>
      <c r="D2797">
        <v>5.1293759999999997</v>
      </c>
      <c r="E2797">
        <v>0.40867170000000003</v>
      </c>
      <c r="F2797" t="s">
        <v>89</v>
      </c>
      <c r="G2797">
        <v>-288.06819999999999</v>
      </c>
      <c r="H2797" s="1">
        <v>-4.178182E-6</v>
      </c>
      <c r="I2797">
        <v>-62.106169999999999</v>
      </c>
      <c r="J2797">
        <v>-298.11329999999998</v>
      </c>
      <c r="K2797">
        <v>1.118387</v>
      </c>
      <c r="L2797">
        <v>-54.255459999999999</v>
      </c>
      <c r="M2797">
        <v>0.46237250000000002</v>
      </c>
      <c r="N2797">
        <v>0</v>
      </c>
      <c r="O2797">
        <v>-0.88658749999999997</v>
      </c>
      <c r="P2797">
        <v>0.62284869999999903</v>
      </c>
      <c r="Q2797">
        <v>0.1302073</v>
      </c>
      <c r="R2797">
        <v>-0.77143070000000002</v>
      </c>
      <c r="S2797">
        <v>2.4590450000000001</v>
      </c>
      <c r="T2797">
        <v>-0.26967659999999999</v>
      </c>
      <c r="U2797">
        <v>-1.959686</v>
      </c>
      <c r="V2797">
        <v>-0.19843659999999999</v>
      </c>
      <c r="W2797">
        <v>0.13898469999999999</v>
      </c>
      <c r="X2797">
        <v>0.9702094</v>
      </c>
      <c r="Y2797">
        <v>-0.40216790000000002</v>
      </c>
      <c r="Z2797">
        <v>8.4114220000000003E-2</v>
      </c>
      <c r="AA2797">
        <v>0.91169389999999995</v>
      </c>
      <c r="AB2797">
        <v>30</v>
      </c>
      <c r="AC2797">
        <v>10.0450999999999</v>
      </c>
      <c r="AD2797">
        <v>-1.118391178182</v>
      </c>
      <c r="AE2797">
        <v>-7.8507099999999896</v>
      </c>
      <c r="AF2797">
        <v>-5.2360735937529901</v>
      </c>
      <c r="AG2797">
        <v>-1.118391178182</v>
      </c>
      <c r="AH2797">
        <v>11.5173000331871</v>
      </c>
      <c r="AI2797">
        <v>95.051742430267197</v>
      </c>
      <c r="AJ2797">
        <v>114.44781872063</v>
      </c>
      <c r="AK2797">
        <v>12.7010025415745</v>
      </c>
      <c r="AL2797">
        <v>82.010900964618799</v>
      </c>
      <c r="AM2797">
        <v>101.55926224581199</v>
      </c>
      <c r="AN2797">
        <v>1.000000055451</v>
      </c>
    </row>
    <row r="2798" spans="1:40" x14ac:dyDescent="0.3">
      <c r="A2798" t="str">
        <f>"20200111150905138"</f>
        <v>20200111150905138</v>
      </c>
      <c r="B2798" t="str">
        <f>"1578726545136909"</f>
        <v>1578726545136909</v>
      </c>
      <c r="C2798" t="s">
        <v>40</v>
      </c>
      <c r="D2798">
        <v>4.8529650000000002</v>
      </c>
      <c r="E2798">
        <v>0.4072713</v>
      </c>
      <c r="F2798" t="s">
        <v>89</v>
      </c>
      <c r="G2798">
        <v>-287.92809999999997</v>
      </c>
      <c r="H2798" s="1">
        <v>-4.2347009999999997E-6</v>
      </c>
      <c r="I2798">
        <v>-62.184719999999999</v>
      </c>
      <c r="J2798">
        <v>-296.67070000000001</v>
      </c>
      <c r="K2798">
        <v>1.119713</v>
      </c>
      <c r="L2798">
        <v>-56.546390000000002</v>
      </c>
      <c r="M2798">
        <v>0.55024879999999998</v>
      </c>
      <c r="N2798">
        <v>0</v>
      </c>
      <c r="O2798">
        <v>-0.83489259999999998</v>
      </c>
      <c r="P2798">
        <v>0.70088409999999901</v>
      </c>
      <c r="Q2798">
        <v>0.13208</v>
      </c>
      <c r="R2798">
        <v>-0.7009398</v>
      </c>
      <c r="S2798">
        <v>2.4811709999999998</v>
      </c>
      <c r="T2798">
        <v>-0.27244600000000002</v>
      </c>
      <c r="U2798">
        <v>-1.93161</v>
      </c>
      <c r="V2798">
        <v>-0.2028818</v>
      </c>
      <c r="W2798">
        <v>0.14034549999999901</v>
      </c>
      <c r="X2798">
        <v>0.96909339999999999</v>
      </c>
      <c r="Y2798">
        <v>-0.31784390000000001</v>
      </c>
      <c r="Z2798">
        <v>7.9886589999999993E-2</v>
      </c>
      <c r="AA2798">
        <v>0.94477160000000004</v>
      </c>
      <c r="AB2798">
        <v>30</v>
      </c>
      <c r="AC2798">
        <v>8.7426000000000297</v>
      </c>
      <c r="AD2798">
        <v>-1.119717234701</v>
      </c>
      <c r="AE2798">
        <v>-5.6383299999999901</v>
      </c>
      <c r="AF2798">
        <v>-4.1489612704556702</v>
      </c>
      <c r="AG2798">
        <v>-1.119717234701</v>
      </c>
      <c r="AH2798">
        <v>9.4098521738548495</v>
      </c>
      <c r="AI2798">
        <v>96.213903425216998</v>
      </c>
      <c r="AJ2798">
        <v>113.79348504946699</v>
      </c>
      <c r="AK2798">
        <v>10.344707064157401</v>
      </c>
      <c r="AL2798">
        <v>81.9321602726164</v>
      </c>
      <c r="AM2798">
        <v>101.824223977663</v>
      </c>
      <c r="AN2798">
        <v>0.99999995103252304</v>
      </c>
    </row>
    <row r="2799" spans="1:40" x14ac:dyDescent="0.3">
      <c r="A2799" t="str">
        <f>"20200111150905179"</f>
        <v>20200111150905179</v>
      </c>
      <c r="B2799" t="str">
        <f>"1578726545176925"</f>
        <v>1578726545176925</v>
      </c>
      <c r="C2799" t="s">
        <v>40</v>
      </c>
      <c r="D2799">
        <v>4.8588069999999997</v>
      </c>
      <c r="E2799">
        <v>0.4030725</v>
      </c>
      <c r="F2799" t="s">
        <v>89</v>
      </c>
      <c r="G2799">
        <v>-285.00700000000001</v>
      </c>
      <c r="H2799" s="1">
        <v>-5.4322969999999998E-6</v>
      </c>
      <c r="I2799">
        <v>-63.714840000000002</v>
      </c>
      <c r="J2799">
        <v>-296.35270000000003</v>
      </c>
      <c r="K2799">
        <v>1.1200779999999999</v>
      </c>
      <c r="L2799">
        <v>-56.983280000000001</v>
      </c>
      <c r="M2799">
        <v>0.56915400000000005</v>
      </c>
      <c r="N2799">
        <v>0</v>
      </c>
      <c r="O2799">
        <v>-0.82211999999999996</v>
      </c>
      <c r="P2799">
        <v>0.71493240000000002</v>
      </c>
      <c r="Q2799">
        <v>0.131679399999999</v>
      </c>
      <c r="R2799">
        <v>-0.68668219999999902</v>
      </c>
      <c r="S2799">
        <v>2.6809690000000002</v>
      </c>
      <c r="T2799">
        <v>-0.25737310000000002</v>
      </c>
      <c r="U2799">
        <v>-1.647705</v>
      </c>
      <c r="V2799">
        <v>-0.2004649</v>
      </c>
      <c r="W2799">
        <v>0.13990729999999901</v>
      </c>
      <c r="X2799">
        <v>0.96965959999999995</v>
      </c>
      <c r="Y2799">
        <v>-0.3994703</v>
      </c>
      <c r="Z2799">
        <v>7.675353E-2</v>
      </c>
      <c r="AA2799">
        <v>0.91352739999999999</v>
      </c>
      <c r="AB2799">
        <v>30</v>
      </c>
      <c r="AC2799">
        <v>11.345700000000001</v>
      </c>
      <c r="AD2799">
        <v>-1.1200834322969999</v>
      </c>
      <c r="AE2799">
        <v>-6.7315599999999902</v>
      </c>
      <c r="AF2799">
        <v>-5.4573934874241603</v>
      </c>
      <c r="AG2799">
        <v>-1.1200834322969999</v>
      </c>
      <c r="AH2799">
        <v>11.906862067151501</v>
      </c>
      <c r="AI2799">
        <v>94.887807423784295</v>
      </c>
      <c r="AJ2799">
        <v>114.623889702293</v>
      </c>
      <c r="AK2799">
        <v>13.1457633805746</v>
      </c>
      <c r="AL2799">
        <v>81.957517737628706</v>
      </c>
      <c r="AM2799">
        <v>101.680624231945</v>
      </c>
      <c r="AN2799">
        <v>0.99999998429872905</v>
      </c>
    </row>
    <row r="2800" spans="1:40" x14ac:dyDescent="0.3">
      <c r="A2800" t="str">
        <f>"20200111150905224"</f>
        <v>20200111150905224</v>
      </c>
      <c r="B2800" t="str">
        <f>"1578726545216752"</f>
        <v>1578726545216752</v>
      </c>
      <c r="C2800" t="s">
        <v>40</v>
      </c>
      <c r="D2800">
        <v>4.9122510000000004</v>
      </c>
      <c r="E2800">
        <v>0.4030725</v>
      </c>
      <c r="F2800" t="s">
        <v>89</v>
      </c>
      <c r="G2800">
        <v>-283.37270000000001</v>
      </c>
      <c r="H2800" s="1">
        <v>-6.0705590000000003E-6</v>
      </c>
      <c r="I2800">
        <v>-64.416179999999997</v>
      </c>
      <c r="J2800">
        <v>-295.98259999999999</v>
      </c>
      <c r="K2800">
        <v>1.120476</v>
      </c>
      <c r="L2800">
        <v>-57.464170000000003</v>
      </c>
      <c r="M2800">
        <v>0.59089380000000002</v>
      </c>
      <c r="N2800">
        <v>0</v>
      </c>
      <c r="O2800">
        <v>-0.80663439999999997</v>
      </c>
      <c r="P2800">
        <v>0.73231139999999995</v>
      </c>
      <c r="Q2800">
        <v>0.13095609999999999</v>
      </c>
      <c r="R2800">
        <v>-0.6682593</v>
      </c>
      <c r="S2800">
        <v>2.7352289999999999</v>
      </c>
      <c r="T2800">
        <v>-0.23603189999999999</v>
      </c>
      <c r="U2800">
        <v>-1.5663149999999999</v>
      </c>
      <c r="V2800">
        <v>-0.1994909</v>
      </c>
      <c r="W2800">
        <v>0.1391145</v>
      </c>
      <c r="X2800">
        <v>0.96997449999999996</v>
      </c>
      <c r="Y2800">
        <v>-0.40386440000000001</v>
      </c>
      <c r="Z2800">
        <v>6.9598679999999996E-2</v>
      </c>
      <c r="AA2800">
        <v>0.91216750000000002</v>
      </c>
      <c r="AB2800">
        <v>30</v>
      </c>
      <c r="AC2800">
        <v>12.6098999999999</v>
      </c>
      <c r="AD2800">
        <v>-1.120482070559</v>
      </c>
      <c r="AE2800">
        <v>-6.9520100000000102</v>
      </c>
      <c r="AF2800">
        <v>-6.0277428462994198</v>
      </c>
      <c r="AG2800">
        <v>-1.120482070559</v>
      </c>
      <c r="AH2800">
        <v>12.9814483319907</v>
      </c>
      <c r="AI2800">
        <v>94.476338263294807</v>
      </c>
      <c r="AJ2800">
        <v>114.907099247697</v>
      </c>
      <c r="AK2800">
        <v>14.3564328678019</v>
      </c>
      <c r="AL2800">
        <v>82.003390546151394</v>
      </c>
      <c r="AM2800">
        <v>101.621748509431</v>
      </c>
      <c r="AN2800">
        <v>0.99999999697165398</v>
      </c>
    </row>
    <row r="2801" spans="1:40" x14ac:dyDescent="0.3">
      <c r="A2801" t="str">
        <f>"20200111150905246"</f>
        <v>20200111150905246</v>
      </c>
      <c r="B2801" t="str">
        <f>"1578726545236272"</f>
        <v>1578726545236272</v>
      </c>
      <c r="C2801" t="s">
        <v>40</v>
      </c>
      <c r="D2801">
        <v>5.0717650000000001</v>
      </c>
      <c r="E2801">
        <v>0.36855789999999999</v>
      </c>
      <c r="F2801" t="s">
        <v>41</v>
      </c>
      <c r="G2801">
        <v>-295.0797</v>
      </c>
      <c r="H2801">
        <v>1.0432999999999999</v>
      </c>
      <c r="I2801">
        <v>-57.950809999999997</v>
      </c>
      <c r="J2801">
        <v>-295.80349999999999</v>
      </c>
      <c r="K2801">
        <v>1.1206510000000001</v>
      </c>
      <c r="L2801">
        <v>-57.6873199999999</v>
      </c>
      <c r="M2801">
        <v>0.60128709999999996</v>
      </c>
      <c r="N2801">
        <v>0</v>
      </c>
      <c r="O2801">
        <v>-0.79891610000000002</v>
      </c>
      <c r="P2801">
        <v>0.74036899999999894</v>
      </c>
      <c r="Q2801">
        <v>0.1320259</v>
      </c>
      <c r="R2801">
        <v>-0.65910749999999996</v>
      </c>
      <c r="S2801">
        <v>2.7747799999999998</v>
      </c>
      <c r="T2801">
        <v>-0.2371424</v>
      </c>
      <c r="U2801">
        <v>-1.495026</v>
      </c>
      <c r="V2801">
        <v>-0.19892099999999999</v>
      </c>
      <c r="W2801">
        <v>0.1401599</v>
      </c>
      <c r="X2801">
        <v>0.96994100000000005</v>
      </c>
      <c r="Y2801">
        <v>-0.4155623</v>
      </c>
      <c r="Z2801">
        <v>6.9816050000000004E-2</v>
      </c>
      <c r="AA2801">
        <v>0.9068813</v>
      </c>
      <c r="AB2801">
        <v>30</v>
      </c>
      <c r="AC2801">
        <v>0.72379999999998201</v>
      </c>
      <c r="AD2801">
        <v>-7.73510000000001E-2</v>
      </c>
      <c r="AE2801">
        <v>-0.263490000000004</v>
      </c>
      <c r="AF2801">
        <v>-0.41566981290590499</v>
      </c>
      <c r="AG2801">
        <v>-7.73510000000001E-2</v>
      </c>
      <c r="AH2801">
        <v>0.63933111773518303</v>
      </c>
      <c r="AI2801">
        <v>95.791902842605296</v>
      </c>
      <c r="AJ2801">
        <v>123.030456065246</v>
      </c>
      <c r="AK2801">
        <v>0.76649125804979001</v>
      </c>
      <c r="AL2801">
        <v>81.942900542401304</v>
      </c>
      <c r="AM2801">
        <v>101.589836722031</v>
      </c>
      <c r="AN2801">
        <v>0.99999995264500297</v>
      </c>
    </row>
    <row r="2802" spans="1:40" x14ac:dyDescent="0.3">
      <c r="A2802" t="str">
        <f>"20200111150905268"</f>
        <v>20200111150905268</v>
      </c>
      <c r="B2802" t="str">
        <f>"1578726545266528"</f>
        <v>1578726545266528</v>
      </c>
      <c r="C2802" t="s">
        <v>40</v>
      </c>
      <c r="D2802">
        <v>5.2358229999999999</v>
      </c>
      <c r="E2802">
        <v>0.37485499999999999</v>
      </c>
      <c r="F2802" t="s">
        <v>44</v>
      </c>
      <c r="G2802">
        <v>-236.45939999999999</v>
      </c>
      <c r="H2802">
        <v>-0.05</v>
      </c>
      <c r="I2802">
        <v>-82.522919999999999</v>
      </c>
      <c r="J2802">
        <v>-295.61180000000002</v>
      </c>
      <c r="K2802">
        <v>1.120825</v>
      </c>
      <c r="L2802">
        <v>-57.919460000000001</v>
      </c>
      <c r="M2802">
        <v>0.61229960000000005</v>
      </c>
      <c r="N2802">
        <v>0</v>
      </c>
      <c r="O2802">
        <v>-0.79050690000000001</v>
      </c>
      <c r="P2802">
        <v>0.74913319999999906</v>
      </c>
      <c r="Q2802">
        <v>0.1335171</v>
      </c>
      <c r="R2802">
        <v>-0.64882419999999996</v>
      </c>
      <c r="S2802">
        <v>2.9597169999999999</v>
      </c>
      <c r="T2802">
        <v>-5.8384900000000003E-2</v>
      </c>
      <c r="U2802">
        <v>-1.2386469999999901</v>
      </c>
      <c r="V2802">
        <v>-0.19876240000000001</v>
      </c>
      <c r="W2802">
        <v>0.141615299999999</v>
      </c>
      <c r="X2802">
        <v>0.96976209999999996</v>
      </c>
      <c r="Y2802">
        <v>-0.49271890000000002</v>
      </c>
      <c r="Z2802">
        <v>1.7320169999999999E-2</v>
      </c>
      <c r="AA2802">
        <v>0.87001620000000002</v>
      </c>
      <c r="AB2802">
        <v>30</v>
      </c>
      <c r="AC2802">
        <v>59.1524</v>
      </c>
      <c r="AD2802">
        <v>-1.170825</v>
      </c>
      <c r="AE2802">
        <v>-24.603459999999998</v>
      </c>
      <c r="AF2802">
        <v>-31.688088410138501</v>
      </c>
      <c r="AG2802">
        <v>-1.170825</v>
      </c>
      <c r="AH2802">
        <v>55.654841956703997</v>
      </c>
      <c r="AI2802">
        <v>91.047345045980705</v>
      </c>
      <c r="AJ2802">
        <v>119.655803510212</v>
      </c>
      <c r="AK2802">
        <v>64.054408212823901</v>
      </c>
      <c r="AL2802">
        <v>81.8586721663996</v>
      </c>
      <c r="AM2802">
        <v>101.582924537285</v>
      </c>
      <c r="AN2802">
        <v>0.99999995772212902</v>
      </c>
    </row>
    <row r="2803" spans="1:40" x14ac:dyDescent="0.3">
      <c r="A2803" t="str">
        <f>"20200111150905290"</f>
        <v>20200111150905290</v>
      </c>
      <c r="B2803" t="str">
        <f>"1578726545287024"</f>
        <v>1578726545287024</v>
      </c>
      <c r="C2803" t="s">
        <v>40</v>
      </c>
      <c r="D2803">
        <v>5.1634919999999997</v>
      </c>
      <c r="E2803">
        <v>0.38517469999999998</v>
      </c>
      <c r="F2803" t="s">
        <v>53</v>
      </c>
      <c r="G2803">
        <v>-234.75040000000001</v>
      </c>
      <c r="H2803">
        <v>-1.164627E-2</v>
      </c>
      <c r="I2803">
        <v>-83.492000000000004</v>
      </c>
      <c r="J2803">
        <v>-295.42219999999998</v>
      </c>
      <c r="K2803">
        <v>1.1210020000000001</v>
      </c>
      <c r="L2803">
        <v>-58.14246</v>
      </c>
      <c r="M2803">
        <v>0.62307290000000004</v>
      </c>
      <c r="N2803">
        <v>0</v>
      </c>
      <c r="O2803">
        <v>-0.78204289999999999</v>
      </c>
      <c r="P2803">
        <v>0.7571601</v>
      </c>
      <c r="Q2803">
        <v>0.1337787</v>
      </c>
      <c r="R2803">
        <v>-0.63938419999999996</v>
      </c>
      <c r="S2803">
        <v>2.9432680000000002</v>
      </c>
      <c r="T2803">
        <v>-5.4766420000000003E-2</v>
      </c>
      <c r="U2803">
        <v>-1.236694</v>
      </c>
      <c r="V2803">
        <v>-0.19765659999999999</v>
      </c>
      <c r="W2803">
        <v>0.141875</v>
      </c>
      <c r="X2803">
        <v>0.96995019999999998</v>
      </c>
      <c r="Y2803">
        <v>-0.4795217</v>
      </c>
      <c r="Z2803">
        <v>1.6145349999999999E-2</v>
      </c>
      <c r="AA2803">
        <v>0.87738150000000004</v>
      </c>
      <c r="AB2803">
        <v>30</v>
      </c>
      <c r="AC2803">
        <v>60.671799999999898</v>
      </c>
      <c r="AD2803">
        <v>-1.13264827</v>
      </c>
      <c r="AE2803">
        <v>-25.349540000000001</v>
      </c>
      <c r="AF2803">
        <v>-31.646941605501102</v>
      </c>
      <c r="AG2803">
        <v>-1.13264827</v>
      </c>
      <c r="AH2803">
        <v>57.615735157739799</v>
      </c>
      <c r="AI2803">
        <v>90.987137097044794</v>
      </c>
      <c r="AJ2803">
        <v>118.77893672176</v>
      </c>
      <c r="AK2803">
        <v>65.744845751224801</v>
      </c>
      <c r="AL2803">
        <v>81.843641183310595</v>
      </c>
      <c r="AM2803">
        <v>101.518036818052</v>
      </c>
      <c r="AN2803">
        <v>1.0000000188142999</v>
      </c>
    </row>
    <row r="2804" spans="1:40" x14ac:dyDescent="0.3">
      <c r="A2804" t="str">
        <f>"20200111150905314"</f>
        <v>20200111150905314</v>
      </c>
      <c r="B2804" t="str">
        <f>"1578726545306529"</f>
        <v>1578726545306529</v>
      </c>
      <c r="C2804" t="s">
        <v>40</v>
      </c>
      <c r="D2804">
        <v>5.2629469999999996</v>
      </c>
      <c r="E2804">
        <v>0.39176559999999999</v>
      </c>
      <c r="F2804" t="s">
        <v>41</v>
      </c>
      <c r="G2804">
        <v>-294.548</v>
      </c>
      <c r="H2804">
        <v>1.08569</v>
      </c>
      <c r="I2804">
        <v>-58.523060000000001</v>
      </c>
      <c r="J2804">
        <v>-295.21850000000001</v>
      </c>
      <c r="K2804">
        <v>1.1211789999999999</v>
      </c>
      <c r="L2804">
        <v>-58.375120000000003</v>
      </c>
      <c r="M2804">
        <v>0.63451009999999997</v>
      </c>
      <c r="N2804">
        <v>0</v>
      </c>
      <c r="O2804">
        <v>-0.77279119999999901</v>
      </c>
      <c r="P2804">
        <v>0.76561800000000002</v>
      </c>
      <c r="Q2804">
        <v>0.13428499999999999</v>
      </c>
      <c r="R2804">
        <v>-0.62912389999999996</v>
      </c>
      <c r="S2804">
        <v>2.912048</v>
      </c>
      <c r="T2804">
        <v>-0.117644</v>
      </c>
      <c r="U2804">
        <v>-1.2681579999999999</v>
      </c>
      <c r="V2804">
        <v>-0.19646169999999999</v>
      </c>
      <c r="W2804">
        <v>0.14238139999999999</v>
      </c>
      <c r="X2804">
        <v>0.9701187</v>
      </c>
      <c r="Y2804">
        <v>-0.45455709999999999</v>
      </c>
      <c r="Z2804">
        <v>3.4260789999999999E-2</v>
      </c>
      <c r="AA2804">
        <v>0.89005849999999898</v>
      </c>
      <c r="AB2804">
        <v>30</v>
      </c>
      <c r="AC2804">
        <v>0.67050000000000398</v>
      </c>
      <c r="AD2804">
        <v>-3.5489000000000097E-2</v>
      </c>
      <c r="AE2804">
        <v>-0.14794000000000501</v>
      </c>
      <c r="AF2804">
        <v>-0.42319698912655601</v>
      </c>
      <c r="AG2804">
        <v>-3.5489000000000097E-2</v>
      </c>
      <c r="AH2804">
        <v>0.53837897592516004</v>
      </c>
      <c r="AI2804">
        <v>92.966647057476607</v>
      </c>
      <c r="AJ2804">
        <v>128.16939353887301</v>
      </c>
      <c r="AK2804">
        <v>0.68571647380313605</v>
      </c>
      <c r="AL2804">
        <v>81.814328689747398</v>
      </c>
      <c r="AM2804">
        <v>101.448314700365</v>
      </c>
      <c r="AN2804">
        <v>0.999999977361269</v>
      </c>
    </row>
    <row r="2805" spans="1:40" x14ac:dyDescent="0.3">
      <c r="A2805" t="str">
        <f>"20200111150905335"</f>
        <v>20200111150905335</v>
      </c>
      <c r="B2805" t="str">
        <f>"1578726545327025"</f>
        <v>1578726545327025</v>
      </c>
      <c r="C2805" t="s">
        <v>40</v>
      </c>
      <c r="D2805">
        <v>5.3308819999999999</v>
      </c>
      <c r="E2805">
        <v>0.39579449999999999</v>
      </c>
      <c r="F2805" t="s">
        <v>41</v>
      </c>
      <c r="G2805">
        <v>-294.3236</v>
      </c>
      <c r="H2805">
        <v>1.072392</v>
      </c>
      <c r="I2805">
        <v>-58.768079999999998</v>
      </c>
      <c r="J2805">
        <v>-295.02670000000001</v>
      </c>
      <c r="K2805">
        <v>1.1213390000000001</v>
      </c>
      <c r="L2805">
        <v>-58.587800000000001</v>
      </c>
      <c r="M2805">
        <v>0.64514450000000001</v>
      </c>
      <c r="N2805">
        <v>0</v>
      </c>
      <c r="O2805">
        <v>-0.76393489999999997</v>
      </c>
      <c r="P2805">
        <v>0.77394439999999998</v>
      </c>
      <c r="Q2805">
        <v>0.13575209999999999</v>
      </c>
      <c r="R2805">
        <v>-0.61853150000000001</v>
      </c>
      <c r="S2805">
        <v>2.9002690000000002</v>
      </c>
      <c r="T2805">
        <v>-0.15807199999999999</v>
      </c>
      <c r="U2805">
        <v>-1.2727660000000001</v>
      </c>
      <c r="V2805">
        <v>-0.19628209999999999</v>
      </c>
      <c r="W2805">
        <v>0.14382130000000001</v>
      </c>
      <c r="X2805">
        <v>0.96994270000000005</v>
      </c>
      <c r="Y2805">
        <v>-0.43913560000000001</v>
      </c>
      <c r="Z2805">
        <v>4.5539900000000001E-2</v>
      </c>
      <c r="AA2805">
        <v>0.89726589999999995</v>
      </c>
      <c r="AB2805">
        <v>30</v>
      </c>
      <c r="AC2805">
        <v>0.70310000000000605</v>
      </c>
      <c r="AD2805">
        <v>-4.8946999999999803E-2</v>
      </c>
      <c r="AE2805">
        <v>-0.18028000000000299</v>
      </c>
      <c r="AF2805">
        <v>-0.41895124489854602</v>
      </c>
      <c r="AG2805">
        <v>-4.8946999999999803E-2</v>
      </c>
      <c r="AH2805">
        <v>0.58870299162898299</v>
      </c>
      <c r="AI2805">
        <v>93.875363720997498</v>
      </c>
      <c r="AJ2805">
        <v>125.43760561879699</v>
      </c>
      <c r="AK2805">
        <v>0.72421486229154097</v>
      </c>
      <c r="AL2805">
        <v>81.730971050313599</v>
      </c>
      <c r="AM2805">
        <v>101.440145708665</v>
      </c>
      <c r="AN2805">
        <v>1.00000003519869</v>
      </c>
    </row>
    <row r="2806" spans="1:40" x14ac:dyDescent="0.3">
      <c r="A2806" t="str">
        <f>"20200111150905358"</f>
        <v>20200111150905358</v>
      </c>
      <c r="B2806" t="str">
        <f>"1578726545346546"</f>
        <v>1578726545346546</v>
      </c>
      <c r="C2806" t="s">
        <v>40</v>
      </c>
      <c r="D2806">
        <v>5.2716190000000003</v>
      </c>
      <c r="E2806">
        <v>0.3985243</v>
      </c>
      <c r="F2806" t="s">
        <v>43</v>
      </c>
      <c r="G2806">
        <v>-276.85469999999998</v>
      </c>
      <c r="H2806" s="1">
        <v>-3.1868729999999998E-6</v>
      </c>
      <c r="I2806">
        <v>-66.493639999999999</v>
      </c>
      <c r="J2806">
        <v>-294.82819999999998</v>
      </c>
      <c r="K2806">
        <v>1.121502</v>
      </c>
      <c r="L2806">
        <v>-58.801729999999999</v>
      </c>
      <c r="M2806">
        <v>0.65600990000000003</v>
      </c>
      <c r="N2806">
        <v>0</v>
      </c>
      <c r="O2806">
        <v>-0.75462419999999997</v>
      </c>
      <c r="P2806">
        <v>0.78234380000000003</v>
      </c>
      <c r="Q2806">
        <v>0.1364524</v>
      </c>
      <c r="R2806">
        <v>-0.60771619999999904</v>
      </c>
      <c r="S2806">
        <v>2.8995060000000001</v>
      </c>
      <c r="T2806">
        <v>-0.17891989999999999</v>
      </c>
      <c r="U2806">
        <v>-1.261444</v>
      </c>
      <c r="V2806">
        <v>-0.1958675</v>
      </c>
      <c r="W2806">
        <v>0.1445031</v>
      </c>
      <c r="X2806">
        <v>0.96992520000000004</v>
      </c>
      <c r="Y2806">
        <v>-0.42879159999999999</v>
      </c>
      <c r="Z2806">
        <v>5.1010960000000001E-2</v>
      </c>
      <c r="AA2806">
        <v>0.90196209999999999</v>
      </c>
      <c r="AB2806">
        <v>30</v>
      </c>
      <c r="AC2806">
        <v>17.973500000000001</v>
      </c>
      <c r="AD2806">
        <v>-1.1215051868729999</v>
      </c>
      <c r="AE2806">
        <v>-7.6919099999999903</v>
      </c>
      <c r="AF2806">
        <v>-8.4901532060934901</v>
      </c>
      <c r="AG2806">
        <v>-1.1215051868729999</v>
      </c>
      <c r="AH2806">
        <v>17.539278644113399</v>
      </c>
      <c r="AI2806">
        <v>93.293969952787293</v>
      </c>
      <c r="AJ2806">
        <v>115.83000549042301</v>
      </c>
      <c r="AK2806">
        <v>19.518370083154299</v>
      </c>
      <c r="AL2806">
        <v>81.691494613564601</v>
      </c>
      <c r="AM2806">
        <v>101.41681685310699</v>
      </c>
      <c r="AN2806">
        <v>1.0000000585304401</v>
      </c>
    </row>
    <row r="2807" spans="1:40" x14ac:dyDescent="0.3">
      <c r="A2807" t="str">
        <f>"20200111150905380"</f>
        <v>20200111150905380</v>
      </c>
      <c r="B2807" t="str">
        <f>"1578726545376801"</f>
        <v>1578726545376801</v>
      </c>
      <c r="C2807" t="s">
        <v>40</v>
      </c>
      <c r="D2807">
        <v>5.7961970000000003</v>
      </c>
      <c r="E2807">
        <v>0.4014239</v>
      </c>
      <c r="F2807" t="s">
        <v>43</v>
      </c>
      <c r="G2807">
        <v>-278.3528</v>
      </c>
      <c r="H2807" s="1">
        <v>-3.6087540000000001E-6</v>
      </c>
      <c r="I2807">
        <v>-65.835759999999993</v>
      </c>
      <c r="J2807">
        <v>-294.62400000000002</v>
      </c>
      <c r="K2807">
        <v>1.1216569999999999</v>
      </c>
      <c r="L2807">
        <v>-59.015050000000002</v>
      </c>
      <c r="M2807">
        <v>0.66701869999999996</v>
      </c>
      <c r="N2807">
        <v>0</v>
      </c>
      <c r="O2807">
        <v>-0.74491030000000003</v>
      </c>
      <c r="P2807">
        <v>0.79057630000000001</v>
      </c>
      <c r="Q2807">
        <v>0.1365837</v>
      </c>
      <c r="R2807">
        <v>-0.59693719999999995</v>
      </c>
      <c r="S2807">
        <v>2.9054869999999999</v>
      </c>
      <c r="T2807">
        <v>-0.19778190000000001</v>
      </c>
      <c r="U2807">
        <v>-1.2404790000000001</v>
      </c>
      <c r="V2807">
        <v>-0.19496079999999999</v>
      </c>
      <c r="W2807">
        <v>0.14463429999999999</v>
      </c>
      <c r="X2807">
        <v>0.97008819999999996</v>
      </c>
      <c r="Y2807">
        <v>-0.42137170000000002</v>
      </c>
      <c r="Z2807">
        <v>5.5793759999999998E-2</v>
      </c>
      <c r="AA2807">
        <v>0.90517009999999998</v>
      </c>
      <c r="AB2807">
        <v>30</v>
      </c>
      <c r="AC2807">
        <v>16.2712</v>
      </c>
      <c r="AD2807">
        <v>-1.121660608754</v>
      </c>
      <c r="AE2807">
        <v>-6.8207099999999903</v>
      </c>
      <c r="AF2807">
        <v>-7.5412997085688804</v>
      </c>
      <c r="AG2807">
        <v>-1.121660608754</v>
      </c>
      <c r="AH2807">
        <v>15.8714133469371</v>
      </c>
      <c r="AI2807">
        <v>93.652377426776098</v>
      </c>
      <c r="AJ2807">
        <v>115.414723032333</v>
      </c>
      <c r="AK2807">
        <v>17.607699606848801</v>
      </c>
      <c r="AL2807">
        <v>81.683896732472107</v>
      </c>
      <c r="AM2807">
        <v>101.363485267049</v>
      </c>
      <c r="AN2807">
        <v>0.999999955026183</v>
      </c>
    </row>
    <row r="2808" spans="1:40" x14ac:dyDescent="0.3">
      <c r="A2808" t="str">
        <f>"20200111150905403"</f>
        <v>20200111150905403</v>
      </c>
      <c r="B2808" t="str">
        <f>"1578726545396321"</f>
        <v>1578726545396321</v>
      </c>
      <c r="C2808" t="s">
        <v>40</v>
      </c>
      <c r="D2808">
        <v>5.2911830000000002</v>
      </c>
      <c r="E2808">
        <v>0.4030801</v>
      </c>
      <c r="F2808" t="s">
        <v>41</v>
      </c>
      <c r="G2808">
        <v>-293.62520000000001</v>
      </c>
      <c r="H2808">
        <v>1.0474619999999999</v>
      </c>
      <c r="I2808">
        <v>-59.433280000000003</v>
      </c>
      <c r="J2808">
        <v>-294.41149999999999</v>
      </c>
      <c r="K2808">
        <v>1.121799</v>
      </c>
      <c r="L2808">
        <v>-59.229950000000002</v>
      </c>
      <c r="M2808">
        <v>0.67829079999999997</v>
      </c>
      <c r="N2808">
        <v>0</v>
      </c>
      <c r="O2808">
        <v>-0.73466030000000004</v>
      </c>
      <c r="P2808">
        <v>0.79929050000000001</v>
      </c>
      <c r="Q2808">
        <v>0.13674829999999999</v>
      </c>
      <c r="R2808">
        <v>-0.58517919999999901</v>
      </c>
      <c r="S2808">
        <v>2.9117130000000002</v>
      </c>
      <c r="T2808">
        <v>-0.21627969999999999</v>
      </c>
      <c r="U2808">
        <v>-1.2189030000000001</v>
      </c>
      <c r="V2808">
        <v>-0.19456599999999999</v>
      </c>
      <c r="W2808">
        <v>0.1447871</v>
      </c>
      <c r="X2808">
        <v>0.97014469999999997</v>
      </c>
      <c r="Y2808">
        <v>-0.41360170000000002</v>
      </c>
      <c r="Z2808">
        <v>6.030961E-2</v>
      </c>
      <c r="AA2808">
        <v>0.90845830000000005</v>
      </c>
      <c r="AB2808">
        <v>30</v>
      </c>
      <c r="AC2808">
        <v>0.78629999999998201</v>
      </c>
      <c r="AD2808">
        <v>-7.4336999999999806E-2</v>
      </c>
      <c r="AE2808">
        <v>-0.20333000000000101</v>
      </c>
      <c r="AF2808">
        <v>-0.43613579663029201</v>
      </c>
      <c r="AG2808">
        <v>-7.4336999999999806E-2</v>
      </c>
      <c r="AH2808">
        <v>0.67711277925417701</v>
      </c>
      <c r="AI2808">
        <v>95.273249697661598</v>
      </c>
      <c r="AJ2808">
        <v>122.786030864255</v>
      </c>
      <c r="AK2808">
        <v>0.80883999561140396</v>
      </c>
      <c r="AL2808">
        <v>81.675049061822094</v>
      </c>
      <c r="AM2808">
        <v>101.34042752137</v>
      </c>
      <c r="AN2808">
        <v>0.99999998581024996</v>
      </c>
    </row>
    <row r="2809" spans="1:40" x14ac:dyDescent="0.3">
      <c r="A2809" t="str">
        <f>"20200111150905425"</f>
        <v>20200111150905425</v>
      </c>
      <c r="B2809" t="str">
        <f>"1578726545416817"</f>
        <v>1578726545416817</v>
      </c>
      <c r="C2809" t="s">
        <v>40</v>
      </c>
      <c r="D2809">
        <v>5.6578670000000004</v>
      </c>
      <c r="E2809">
        <v>0.4039509</v>
      </c>
      <c r="F2809" t="s">
        <v>41</v>
      </c>
      <c r="G2809">
        <v>-293.44310000000002</v>
      </c>
      <c r="H2809">
        <v>1.0476669999999999</v>
      </c>
      <c r="I2809">
        <v>-59.622799999999998</v>
      </c>
      <c r="J2809">
        <v>-294.19439999999997</v>
      </c>
      <c r="K2809">
        <v>1.1219220000000001</v>
      </c>
      <c r="L2809">
        <v>-59.442689999999999</v>
      </c>
      <c r="M2809">
        <v>0.68959209999999904</v>
      </c>
      <c r="N2809">
        <v>0</v>
      </c>
      <c r="O2809">
        <v>-0.72406199999999998</v>
      </c>
      <c r="P2809">
        <v>0.80896619999999997</v>
      </c>
      <c r="Q2809">
        <v>0.13732910000000001</v>
      </c>
      <c r="R2809">
        <v>-0.57158959999999903</v>
      </c>
      <c r="S2809">
        <v>2.9234309999999999</v>
      </c>
      <c r="T2809">
        <v>-0.22378780000000001</v>
      </c>
      <c r="U2809">
        <v>-1.1858519999999999</v>
      </c>
      <c r="V2809">
        <v>-0.19592380000000001</v>
      </c>
      <c r="W2809">
        <v>0.1453052</v>
      </c>
      <c r="X2809">
        <v>0.96979389999999999</v>
      </c>
      <c r="Y2809">
        <v>-0.4094507</v>
      </c>
      <c r="Z2809">
        <v>6.1738429999999997E-2</v>
      </c>
      <c r="AA2809">
        <v>0.91024090000000002</v>
      </c>
      <c r="AB2809">
        <v>30</v>
      </c>
      <c r="AC2809">
        <v>0.751299999999957</v>
      </c>
      <c r="AD2809">
        <v>-7.4254999999999904E-2</v>
      </c>
      <c r="AE2809">
        <v>-0.18010999999999899</v>
      </c>
      <c r="AF2809">
        <v>-0.415984025644906</v>
      </c>
      <c r="AG2809">
        <v>-7.4254999999999904E-2</v>
      </c>
      <c r="AH2809">
        <v>0.64262891613638295</v>
      </c>
      <c r="AI2809">
        <v>95.540354263812603</v>
      </c>
      <c r="AJ2809">
        <v>122.915631072555</v>
      </c>
      <c r="AK2809">
        <v>0.76910885996155598</v>
      </c>
      <c r="AL2809">
        <v>81.645046729027698</v>
      </c>
      <c r="AM2809">
        <v>101.421517797653</v>
      </c>
      <c r="AN2809">
        <v>0.999999972515344</v>
      </c>
    </row>
    <row r="2810" spans="1:40" x14ac:dyDescent="0.3">
      <c r="A2810" t="str">
        <f>"20200111150905447"</f>
        <v>20200111150905447</v>
      </c>
      <c r="B2810" t="str">
        <f>"1578726545436337"</f>
        <v>1578726545436337</v>
      </c>
      <c r="C2810" t="s">
        <v>40</v>
      </c>
      <c r="D2810">
        <v>5.3905890000000003</v>
      </c>
      <c r="E2810">
        <v>0.40522560000000002</v>
      </c>
      <c r="F2810" t="s">
        <v>41</v>
      </c>
      <c r="G2810">
        <v>-293.2106</v>
      </c>
      <c r="H2810">
        <v>1.0446599999999999</v>
      </c>
      <c r="I2810">
        <v>-59.825240000000001</v>
      </c>
      <c r="J2810">
        <v>-293.99160000000001</v>
      </c>
      <c r="K2810">
        <v>1.1220319999999999</v>
      </c>
      <c r="L2810">
        <v>-59.635620000000003</v>
      </c>
      <c r="M2810">
        <v>0.69994849999999997</v>
      </c>
      <c r="N2810">
        <v>0</v>
      </c>
      <c r="O2810">
        <v>-0.71405459999999998</v>
      </c>
      <c r="P2810">
        <v>0.81763599999999903</v>
      </c>
      <c r="Q2810">
        <v>0.13827210000000001</v>
      </c>
      <c r="R2810">
        <v>-0.55888490000000002</v>
      </c>
      <c r="S2810">
        <v>2.9402159999999999</v>
      </c>
      <c r="T2810">
        <v>-0.23087350000000001</v>
      </c>
      <c r="U2810">
        <v>-1.1427309999999999</v>
      </c>
      <c r="V2810">
        <v>-0.1970596</v>
      </c>
      <c r="W2810">
        <v>0.1461954</v>
      </c>
      <c r="X2810">
        <v>0.96943000000000001</v>
      </c>
      <c r="Y2810">
        <v>-0.4095395</v>
      </c>
      <c r="Z2810">
        <v>6.3127630000000004E-2</v>
      </c>
      <c r="AA2810">
        <v>0.91010559999999996</v>
      </c>
      <c r="AB2810">
        <v>30</v>
      </c>
      <c r="AC2810">
        <v>0.78100000000000502</v>
      </c>
      <c r="AD2810">
        <v>-7.7371999999999705E-2</v>
      </c>
      <c r="AE2810">
        <v>-0.18962000000000401</v>
      </c>
      <c r="AF2810">
        <v>-0.42109178694034</v>
      </c>
      <c r="AG2810">
        <v>-7.7371999999999705E-2</v>
      </c>
      <c r="AH2810">
        <v>0.67586242226631099</v>
      </c>
      <c r="AI2810">
        <v>95.549624667448199</v>
      </c>
      <c r="AJ2810">
        <v>121.924707636373</v>
      </c>
      <c r="AK2810">
        <v>0.80005920608683301</v>
      </c>
      <c r="AL2810">
        <v>81.593492166260106</v>
      </c>
      <c r="AM2810">
        <v>101.49017209576201</v>
      </c>
      <c r="AN2810">
        <v>1.00000005291665</v>
      </c>
    </row>
    <row r="2811" spans="1:40" x14ac:dyDescent="0.3">
      <c r="A2811" t="str">
        <f>"20200111150905471"</f>
        <v>20200111150905471</v>
      </c>
      <c r="B2811" t="str">
        <f>"1578726545466593"</f>
        <v>1578726545466593</v>
      </c>
      <c r="C2811" t="s">
        <v>40</v>
      </c>
      <c r="D2811">
        <v>5.7009449999999999</v>
      </c>
      <c r="E2811">
        <v>0.40578890000000001</v>
      </c>
      <c r="F2811" t="s">
        <v>41</v>
      </c>
      <c r="G2811">
        <v>-292.98509999999999</v>
      </c>
      <c r="H2811">
        <v>1.0416589999999999</v>
      </c>
      <c r="I2811">
        <v>-60.012650000000001</v>
      </c>
      <c r="J2811">
        <v>-293.77</v>
      </c>
      <c r="K2811">
        <v>1.1221410000000001</v>
      </c>
      <c r="L2811">
        <v>-59.84</v>
      </c>
      <c r="M2811">
        <v>0.71103450000000001</v>
      </c>
      <c r="N2811">
        <v>0</v>
      </c>
      <c r="O2811">
        <v>-0.70301559999999996</v>
      </c>
      <c r="P2811">
        <v>0.82617940000000001</v>
      </c>
      <c r="Q2811">
        <v>0.13791929999999999</v>
      </c>
      <c r="R2811">
        <v>-0.54626580000000002</v>
      </c>
      <c r="S2811">
        <v>2.9529109999999998</v>
      </c>
      <c r="T2811">
        <v>-0.23579900000000001</v>
      </c>
      <c r="U2811">
        <v>-1.1061399999999999</v>
      </c>
      <c r="V2811">
        <v>-0.19684499999999999</v>
      </c>
      <c r="W2811">
        <v>0.14583779999999999</v>
      </c>
      <c r="X2811">
        <v>0.96952740000000004</v>
      </c>
      <c r="Y2811">
        <v>-0.40636509999999998</v>
      </c>
      <c r="Z2811">
        <v>6.3751760000000005E-2</v>
      </c>
      <c r="AA2811">
        <v>0.91148399999999996</v>
      </c>
      <c r="AB2811">
        <v>30</v>
      </c>
      <c r="AC2811">
        <v>0.78489999999999305</v>
      </c>
      <c r="AD2811">
        <v>-8.0481999999999901E-2</v>
      </c>
      <c r="AE2811">
        <v>-0.172649999999997</v>
      </c>
      <c r="AF2811">
        <v>-0.42481911496435498</v>
      </c>
      <c r="AG2811">
        <v>-8.0481999999999901E-2</v>
      </c>
      <c r="AH2811">
        <v>0.67278700474071396</v>
      </c>
      <c r="AI2811">
        <v>95.775718304523494</v>
      </c>
      <c r="AJ2811">
        <v>122.26961739379701</v>
      </c>
      <c r="AK2811">
        <v>0.799744325713587</v>
      </c>
      <c r="AL2811">
        <v>81.614202654641502</v>
      </c>
      <c r="AM2811">
        <v>101.476868953538</v>
      </c>
      <c r="AN2811">
        <v>0.99999999864229905</v>
      </c>
    </row>
    <row r="2812" spans="1:40" x14ac:dyDescent="0.3">
      <c r="A2812" t="str">
        <f>"20200111150905491"</f>
        <v>20200111150905491</v>
      </c>
      <c r="B2812" t="str">
        <f>"1578726545487093"</f>
        <v>1578726545487093</v>
      </c>
      <c r="C2812" t="s">
        <v>40</v>
      </c>
      <c r="D2812">
        <v>5.418965</v>
      </c>
      <c r="E2812">
        <v>0.40668680000000001</v>
      </c>
      <c r="F2812" t="s">
        <v>89</v>
      </c>
      <c r="G2812">
        <v>-280.04829999999998</v>
      </c>
      <c r="H2812" s="1">
        <v>-7.20144599999999E-6</v>
      </c>
      <c r="I2812">
        <v>-64.758080000000007</v>
      </c>
      <c r="J2812">
        <v>-293.55259999999998</v>
      </c>
      <c r="K2812">
        <v>1.1222209999999999</v>
      </c>
      <c r="L2812">
        <v>-60.03445</v>
      </c>
      <c r="M2812">
        <v>0.72167399999999904</v>
      </c>
      <c r="N2812">
        <v>0</v>
      </c>
      <c r="O2812">
        <v>-0.69208859999999905</v>
      </c>
      <c r="P2812">
        <v>0.83488859999999998</v>
      </c>
      <c r="Q2812">
        <v>0.13700609999999999</v>
      </c>
      <c r="R2812">
        <v>-0.53309519999999899</v>
      </c>
      <c r="S2812">
        <v>2.9682620000000002</v>
      </c>
      <c r="T2812">
        <v>-0.24274190000000001</v>
      </c>
      <c r="U2812">
        <v>-1.0638729999999901</v>
      </c>
      <c r="V2812">
        <v>-0.19754250000000001</v>
      </c>
      <c r="W2812">
        <v>0.14489469999999999</v>
      </c>
      <c r="X2812">
        <v>0.96952689999999997</v>
      </c>
      <c r="Y2812">
        <v>-0.40530959999999999</v>
      </c>
      <c r="Z2812">
        <v>6.4926620000000004E-2</v>
      </c>
      <c r="AA2812">
        <v>0.91187099999999999</v>
      </c>
      <c r="AB2812">
        <v>30</v>
      </c>
      <c r="AC2812">
        <v>13.504300000000001</v>
      </c>
      <c r="AD2812">
        <v>-1.1222282014460001</v>
      </c>
      <c r="AE2812">
        <v>-4.72363</v>
      </c>
      <c r="AF2812">
        <v>-5.9015326146972296</v>
      </c>
      <c r="AG2812">
        <v>-1.1222282014460001</v>
      </c>
      <c r="AH2812">
        <v>12.9365751827021</v>
      </c>
      <c r="AI2812">
        <v>94.512654761055202</v>
      </c>
      <c r="AJ2812">
        <v>114.521984127739</v>
      </c>
      <c r="AK2812">
        <v>14.263325727058101</v>
      </c>
      <c r="AL2812">
        <v>81.668818129493005</v>
      </c>
      <c r="AM2812">
        <v>101.516457163897</v>
      </c>
      <c r="AN2812">
        <v>0.99999996160897398</v>
      </c>
    </row>
    <row r="2813" spans="1:40" x14ac:dyDescent="0.3">
      <c r="A2813" t="str">
        <f>"20200111150905515"</f>
        <v>20200111150905515</v>
      </c>
      <c r="B2813" t="str">
        <f>"1578726545507056"</f>
        <v>1578726545507056</v>
      </c>
      <c r="C2813" t="s">
        <v>40</v>
      </c>
      <c r="D2813">
        <v>5.3473280000000001</v>
      </c>
      <c r="E2813">
        <v>0.40776960000000001</v>
      </c>
      <c r="F2813" t="s">
        <v>89</v>
      </c>
      <c r="G2813">
        <v>-280.23590000000002</v>
      </c>
      <c r="H2813" s="1">
        <v>-7.1556310000000004E-6</v>
      </c>
      <c r="I2813">
        <v>-64.607089999999999</v>
      </c>
      <c r="J2813">
        <v>-293.32220000000001</v>
      </c>
      <c r="K2813">
        <v>1.1222909999999999</v>
      </c>
      <c r="L2813">
        <v>-60.234070000000003</v>
      </c>
      <c r="M2813">
        <v>0.73267799999999905</v>
      </c>
      <c r="N2813">
        <v>0</v>
      </c>
      <c r="O2813">
        <v>-0.68042760000000002</v>
      </c>
      <c r="P2813">
        <v>0.84423809999999999</v>
      </c>
      <c r="Q2813">
        <v>0.13686280000000001</v>
      </c>
      <c r="R2813">
        <v>-0.51819929999999903</v>
      </c>
      <c r="S2813">
        <v>2.9809570000000001</v>
      </c>
      <c r="T2813">
        <v>-0.2512122</v>
      </c>
      <c r="U2813">
        <v>-1.02359</v>
      </c>
      <c r="V2813">
        <v>-0.19924030000000001</v>
      </c>
      <c r="W2813">
        <v>0.1446895</v>
      </c>
      <c r="X2813">
        <v>0.96921009999999996</v>
      </c>
      <c r="Y2813">
        <v>-0.40270929999999999</v>
      </c>
      <c r="Z2813">
        <v>6.6384899999999997E-2</v>
      </c>
      <c r="AA2813">
        <v>0.91291739999999999</v>
      </c>
      <c r="AB2813">
        <v>30</v>
      </c>
      <c r="AC2813">
        <v>13.0862999999999</v>
      </c>
      <c r="AD2813">
        <v>-1.1222981556310001</v>
      </c>
      <c r="AE2813">
        <v>-4.3730200000000004</v>
      </c>
      <c r="AF2813">
        <v>-5.6633678848755604</v>
      </c>
      <c r="AG2813">
        <v>-1.1222981556310001</v>
      </c>
      <c r="AH2813">
        <v>12.4822470367317</v>
      </c>
      <c r="AI2813">
        <v>94.680827589707803</v>
      </c>
      <c r="AJ2813">
        <v>114.404451980513</v>
      </c>
      <c r="AK2813">
        <v>13.752809896002001</v>
      </c>
      <c r="AL2813">
        <v>81.680700619812995</v>
      </c>
      <c r="AM2813">
        <v>101.616451683885</v>
      </c>
      <c r="AN2813">
        <v>0.99999998324817396</v>
      </c>
    </row>
    <row r="2814" spans="1:40" x14ac:dyDescent="0.3">
      <c r="A2814" t="str">
        <f>"20200111150905573"</f>
        <v>20200111150905573</v>
      </c>
      <c r="B2814" t="str">
        <f>"1578726545566593"</f>
        <v>1578726545566593</v>
      </c>
      <c r="C2814" t="s">
        <v>40</v>
      </c>
      <c r="D2814">
        <v>5.7220849999999999</v>
      </c>
      <c r="E2814">
        <v>0.428952</v>
      </c>
      <c r="F2814" t="s">
        <v>89</v>
      </c>
      <c r="G2814">
        <v>-280.36059999999998</v>
      </c>
      <c r="H2814" s="1">
        <v>-7.12845299999999E-6</v>
      </c>
      <c r="I2814">
        <v>-64.477530000000002</v>
      </c>
      <c r="J2814">
        <v>-292.73020000000002</v>
      </c>
      <c r="K2814">
        <v>1.122422</v>
      </c>
      <c r="L2814">
        <v>-60.717739999999999</v>
      </c>
      <c r="M2814">
        <v>0.7596503</v>
      </c>
      <c r="N2814">
        <v>0</v>
      </c>
      <c r="O2814">
        <v>-0.65017550000000002</v>
      </c>
      <c r="P2814">
        <v>0.86432050000000005</v>
      </c>
      <c r="Q2814">
        <v>0.1379312</v>
      </c>
      <c r="R2814">
        <v>-0.48365819999999998</v>
      </c>
      <c r="S2814">
        <v>2.9938959999999999</v>
      </c>
      <c r="T2814">
        <v>-0.25923030000000002</v>
      </c>
      <c r="U2814">
        <v>-0.98016360000000002</v>
      </c>
      <c r="V2814">
        <v>-0.1991028</v>
      </c>
      <c r="W2814">
        <v>0.145758</v>
      </c>
      <c r="X2814">
        <v>0.9690782</v>
      </c>
      <c r="Y2814">
        <v>-0.37857229999999997</v>
      </c>
      <c r="Z2814">
        <v>6.5660609999999994E-2</v>
      </c>
      <c r="AA2814">
        <v>0.92323980000000005</v>
      </c>
      <c r="AB2814">
        <v>30</v>
      </c>
      <c r="AC2814">
        <v>12.3696</v>
      </c>
      <c r="AD2814">
        <v>-1.1224291284529999</v>
      </c>
      <c r="AE2814">
        <v>-3.7597900000000002</v>
      </c>
      <c r="AF2814">
        <v>-5.1480090549273703</v>
      </c>
      <c r="AG2814">
        <v>-1.1224291284529999</v>
      </c>
      <c r="AH2814">
        <v>11.7537031731949</v>
      </c>
      <c r="AI2814">
        <v>94.999132434040504</v>
      </c>
      <c r="AJ2814">
        <v>113.65295684602501</v>
      </c>
      <c r="AK2814">
        <v>12.880659247941701</v>
      </c>
      <c r="AL2814">
        <v>81.618823735667604</v>
      </c>
      <c r="AM2814">
        <v>101.610189737201</v>
      </c>
      <c r="AN2814">
        <v>0.99999993862353798</v>
      </c>
    </row>
    <row r="2815" spans="1:40" x14ac:dyDescent="0.3">
      <c r="A2815" t="str">
        <f>"20200111150905593"</f>
        <v>20200111150905593</v>
      </c>
      <c r="B2815" t="str">
        <f>"1578726545587088"</f>
        <v>1578726545587088</v>
      </c>
      <c r="C2815" t="s">
        <v>40</v>
      </c>
      <c r="D2815">
        <v>5.4956550000000002</v>
      </c>
      <c r="E2815">
        <v>0.42988179999999998</v>
      </c>
      <c r="F2815" t="s">
        <v>89</v>
      </c>
      <c r="G2815">
        <v>-283.28620000000001</v>
      </c>
      <c r="H2815" s="1">
        <v>-6.1940899999999998E-6</v>
      </c>
      <c r="I2815">
        <v>-63.948680000000003</v>
      </c>
      <c r="J2815">
        <v>-292.52089999999998</v>
      </c>
      <c r="K2815">
        <v>1.122444</v>
      </c>
      <c r="L2815">
        <v>-60.879390000000001</v>
      </c>
      <c r="M2815">
        <v>0.7687349</v>
      </c>
      <c r="N2815">
        <v>0</v>
      </c>
      <c r="O2815">
        <v>-0.63940839999999999</v>
      </c>
      <c r="P2815">
        <v>0.87071169999999998</v>
      </c>
      <c r="Q2815">
        <v>0.13768569999999999</v>
      </c>
      <c r="R2815">
        <v>-0.47212700000000002</v>
      </c>
      <c r="S2815">
        <v>2.9603579999999998</v>
      </c>
      <c r="T2815">
        <v>-0.3518425</v>
      </c>
      <c r="U2815">
        <v>-1.0127870000000001</v>
      </c>
      <c r="V2815">
        <v>-0.1983579</v>
      </c>
      <c r="W2815">
        <v>0.14553959999999999</v>
      </c>
      <c r="X2815">
        <v>0.96926389999999996</v>
      </c>
      <c r="Y2815">
        <v>-0.35076780000000002</v>
      </c>
      <c r="Z2815">
        <v>8.7227760000000001E-2</v>
      </c>
      <c r="AA2815">
        <v>0.93239119999999998</v>
      </c>
      <c r="AB2815">
        <v>30</v>
      </c>
      <c r="AC2815">
        <v>9.2346999999999699</v>
      </c>
      <c r="AD2815">
        <v>-1.12245019409</v>
      </c>
      <c r="AE2815">
        <v>-3.0692900000000001</v>
      </c>
      <c r="AF2815">
        <v>-3.4990833853836101</v>
      </c>
      <c r="AG2815">
        <v>-1.12245019409</v>
      </c>
      <c r="AH2815">
        <v>8.94350375422189</v>
      </c>
      <c r="AI2815">
        <v>96.666348929955504</v>
      </c>
      <c r="AJ2815">
        <v>111.36757478805001</v>
      </c>
      <c r="AK2815">
        <v>9.6690091724985603</v>
      </c>
      <c r="AL2815">
        <v>81.631473116645196</v>
      </c>
      <c r="AM2815">
        <v>101.565769097694</v>
      </c>
      <c r="AN2815">
        <v>1.00000006975188</v>
      </c>
    </row>
    <row r="2816" spans="1:40" x14ac:dyDescent="0.3">
      <c r="A2816" t="str">
        <f>"20200111150905607"</f>
        <v>20200111150905607</v>
      </c>
      <c r="B2816" t="str">
        <f>"1578726545596849"</f>
        <v>1578726545596849</v>
      </c>
      <c r="C2816" t="s">
        <v>40</v>
      </c>
      <c r="D2816">
        <v>5.5782790000000002</v>
      </c>
      <c r="E2816">
        <v>0.42993199999999998</v>
      </c>
      <c r="F2816" t="s">
        <v>89</v>
      </c>
      <c r="G2816">
        <v>-283.17290000000003</v>
      </c>
      <c r="H2816" s="1">
        <v>-6.2441190000000004E-6</v>
      </c>
      <c r="I2816">
        <v>-63.963999999999999</v>
      </c>
      <c r="J2816">
        <v>-292.37639999999999</v>
      </c>
      <c r="K2816">
        <v>1.1224559999999999</v>
      </c>
      <c r="L2816">
        <v>-60.988160000000001</v>
      </c>
      <c r="M2816">
        <v>0.77486679999999997</v>
      </c>
      <c r="N2816">
        <v>0</v>
      </c>
      <c r="O2816">
        <v>-0.63196359999999996</v>
      </c>
      <c r="P2816">
        <v>0.87500409999999995</v>
      </c>
      <c r="Q2816">
        <v>0.13788629999999999</v>
      </c>
      <c r="R2816">
        <v>-0.46406459999999999</v>
      </c>
      <c r="S2816">
        <v>2.9703979999999999</v>
      </c>
      <c r="T2816">
        <v>-0.35666949999999997</v>
      </c>
      <c r="U2816">
        <v>-0.98016360000000002</v>
      </c>
      <c r="V2816">
        <v>-0.19795360000000001</v>
      </c>
      <c r="W2816">
        <v>0.14575479999999999</v>
      </c>
      <c r="X2816">
        <v>0.96931420000000001</v>
      </c>
      <c r="Y2816">
        <v>-0.35179909999999998</v>
      </c>
      <c r="Z2816">
        <v>8.7773190000000001E-2</v>
      </c>
      <c r="AA2816">
        <v>0.93195130000000004</v>
      </c>
      <c r="AB2816">
        <v>30</v>
      </c>
      <c r="AC2816">
        <v>9.2034999999999592</v>
      </c>
      <c r="AD2816">
        <v>-1.122462244119</v>
      </c>
      <c r="AE2816">
        <v>-2.97583999999999</v>
      </c>
      <c r="AF2816">
        <v>-3.4641053260263202</v>
      </c>
      <c r="AG2816">
        <v>-1.122462244119</v>
      </c>
      <c r="AH2816">
        <v>8.8932653446299099</v>
      </c>
      <c r="AI2816">
        <v>96.707615105827003</v>
      </c>
      <c r="AJ2816">
        <v>111.281911977126</v>
      </c>
      <c r="AK2816">
        <v>9.6098967574720593</v>
      </c>
      <c r="AL2816">
        <v>81.619010034428399</v>
      </c>
      <c r="AM2816">
        <v>101.542245741534</v>
      </c>
      <c r="AN2816">
        <v>1.0000000538988101</v>
      </c>
    </row>
    <row r="2817" spans="1:40" x14ac:dyDescent="0.3">
      <c r="A2817" t="str">
        <f>"20200111150905622"</f>
        <v>20200111150905622</v>
      </c>
      <c r="B2817" t="str">
        <f>"1578726545616368"</f>
        <v>1578726545616368</v>
      </c>
      <c r="C2817" t="s">
        <v>40</v>
      </c>
      <c r="D2817">
        <v>5.4711809999999996</v>
      </c>
      <c r="E2817">
        <v>0.42974420000000002</v>
      </c>
      <c r="F2817" t="s">
        <v>89</v>
      </c>
      <c r="G2817">
        <v>-282.8646</v>
      </c>
      <c r="H2817" s="1">
        <v>-6.3404089999999999E-6</v>
      </c>
      <c r="I2817">
        <v>-64.031689999999998</v>
      </c>
      <c r="J2817">
        <v>-292.22050000000002</v>
      </c>
      <c r="K2817">
        <v>1.122471</v>
      </c>
      <c r="L2817">
        <v>-61.103450000000002</v>
      </c>
      <c r="M2817">
        <v>0.78136830000000002</v>
      </c>
      <c r="N2817">
        <v>0</v>
      </c>
      <c r="O2817">
        <v>-0.62390690000000004</v>
      </c>
      <c r="P2817">
        <v>0.87939020000000001</v>
      </c>
      <c r="Q2817">
        <v>0.13781940000000001</v>
      </c>
      <c r="R2817">
        <v>-0.45571790000000001</v>
      </c>
      <c r="S2817">
        <v>2.978485</v>
      </c>
      <c r="T2817">
        <v>-0.35148170000000001</v>
      </c>
      <c r="U2817">
        <v>-0.95303340000000003</v>
      </c>
      <c r="V2817">
        <v>-0.19714899999999999</v>
      </c>
      <c r="W2817">
        <v>0.1457175</v>
      </c>
      <c r="X2817">
        <v>0.96948369999999995</v>
      </c>
      <c r="Y2817">
        <v>-0.35075919999999999</v>
      </c>
      <c r="Z2817">
        <v>8.5708119999999999E-2</v>
      </c>
      <c r="AA2817">
        <v>0.93253529999999996</v>
      </c>
      <c r="AB2817">
        <v>30</v>
      </c>
      <c r="AC2817">
        <v>9.3559000000000196</v>
      </c>
      <c r="AD2817">
        <v>-1.122477340409</v>
      </c>
      <c r="AE2817">
        <v>-2.92823999999999</v>
      </c>
      <c r="AF2817">
        <v>-3.5036065053567702</v>
      </c>
      <c r="AG2817">
        <v>-1.122477340409</v>
      </c>
      <c r="AH2817">
        <v>9.0200325006134108</v>
      </c>
      <c r="AI2817">
        <v>96.616701642646504</v>
      </c>
      <c r="AJ2817">
        <v>111.22741671394699</v>
      </c>
      <c r="AK2817">
        <v>9.7414680739728396</v>
      </c>
      <c r="AL2817">
        <v>81.621169617450505</v>
      </c>
      <c r="AM2817">
        <v>101.494626331772</v>
      </c>
      <c r="AN2817">
        <v>0.99999998128646905</v>
      </c>
    </row>
    <row r="2818" spans="1:40" x14ac:dyDescent="0.3">
      <c r="A2818" t="str">
        <f>"20200111150905635"</f>
        <v>20200111150905635</v>
      </c>
      <c r="B2818" t="str">
        <f>"1578726545627107"</f>
        <v>1578726545627107</v>
      </c>
      <c r="C2818" t="s">
        <v>40</v>
      </c>
      <c r="D2818">
        <v>5.4650530000000002</v>
      </c>
      <c r="E2818">
        <v>0.4298805</v>
      </c>
      <c r="F2818" t="s">
        <v>89</v>
      </c>
      <c r="G2818">
        <v>-282.60520000000002</v>
      </c>
      <c r="H2818" s="1">
        <v>-6.4225069999999999E-6</v>
      </c>
      <c r="I2818">
        <v>-64.073849999999993</v>
      </c>
      <c r="J2818">
        <v>-292.06279999999998</v>
      </c>
      <c r="K2818">
        <v>1.1224809999999901</v>
      </c>
      <c r="L2818">
        <v>-61.217320000000001</v>
      </c>
      <c r="M2818">
        <v>0.78781250000000003</v>
      </c>
      <c r="N2818">
        <v>0</v>
      </c>
      <c r="O2818">
        <v>-0.6157494</v>
      </c>
      <c r="P2818">
        <v>0.88368409999999997</v>
      </c>
      <c r="Q2818">
        <v>0.1382543</v>
      </c>
      <c r="R2818">
        <v>-0.44720080000000001</v>
      </c>
      <c r="S2818">
        <v>2.9878230000000001</v>
      </c>
      <c r="T2818">
        <v>-0.34879250000000001</v>
      </c>
      <c r="U2818">
        <v>-0.92300420000000005</v>
      </c>
      <c r="V2818">
        <v>-0.19641149999999999</v>
      </c>
      <c r="W2818">
        <v>0.146178799999999</v>
      </c>
      <c r="X2818">
        <v>0.96956399999999998</v>
      </c>
      <c r="Y2818">
        <v>-0.3505392</v>
      </c>
      <c r="Z2818">
        <v>8.4275349999999999E-2</v>
      </c>
      <c r="AA2818">
        <v>0.93274860000000004</v>
      </c>
      <c r="AB2818">
        <v>30</v>
      </c>
      <c r="AC2818">
        <v>9.4575999999999496</v>
      </c>
      <c r="AD2818">
        <v>-1.1224874225069901</v>
      </c>
      <c r="AE2818">
        <v>-2.8565299999999998</v>
      </c>
      <c r="AF2818">
        <v>-3.5279248937208201</v>
      </c>
      <c r="AG2818">
        <v>-1.1224874225069901</v>
      </c>
      <c r="AH2818">
        <v>9.0932787992160602</v>
      </c>
      <c r="AI2818">
        <v>96.564927158454495</v>
      </c>
      <c r="AJ2818">
        <v>111.204789366483</v>
      </c>
      <c r="AK2818">
        <v>9.8180421362761408</v>
      </c>
      <c r="AL2818">
        <v>81.594453448991104</v>
      </c>
      <c r="AM2818">
        <v>101.451841773308</v>
      </c>
      <c r="AN2818">
        <v>1.00000003449884</v>
      </c>
    </row>
    <row r="2819" spans="1:40" x14ac:dyDescent="0.3">
      <c r="A2819" t="str">
        <f>"20200111150905648"</f>
        <v>20200111150905648</v>
      </c>
      <c r="B2819" t="str">
        <f>"1578726545636864"</f>
        <v>1578726545636864</v>
      </c>
      <c r="C2819" t="s">
        <v>40</v>
      </c>
      <c r="D2819">
        <v>5.4735740000000002</v>
      </c>
      <c r="E2819">
        <v>0.42997030000000003</v>
      </c>
      <c r="F2819" t="s">
        <v>89</v>
      </c>
      <c r="G2819">
        <v>-282.50049999999999</v>
      </c>
      <c r="H2819" s="1">
        <v>-6.4572590000000003E-6</v>
      </c>
      <c r="I2819">
        <v>-64.076259999999905</v>
      </c>
      <c r="J2819">
        <v>-291.93700000000001</v>
      </c>
      <c r="K2819">
        <v>1.122485</v>
      </c>
      <c r="L2819">
        <v>-61.30603</v>
      </c>
      <c r="M2819">
        <v>0.79285289999999997</v>
      </c>
      <c r="N2819">
        <v>0</v>
      </c>
      <c r="O2819">
        <v>-0.6092455</v>
      </c>
      <c r="P2819">
        <v>0.88720929999999998</v>
      </c>
      <c r="Q2819">
        <v>0.13840050000000001</v>
      </c>
      <c r="R2819">
        <v>-0.44011929999999999</v>
      </c>
      <c r="S2819">
        <v>2.996521</v>
      </c>
      <c r="T2819">
        <v>-0.35175309999999999</v>
      </c>
      <c r="U2819">
        <v>-0.89590449999999999</v>
      </c>
      <c r="V2819">
        <v>-0.19617989999999999</v>
      </c>
      <c r="W2819">
        <v>0.14633499999999999</v>
      </c>
      <c r="X2819">
        <v>0.96958730000000004</v>
      </c>
      <c r="Y2819">
        <v>-0.35127249999999999</v>
      </c>
      <c r="Z2819">
        <v>8.4385150000000006E-2</v>
      </c>
      <c r="AA2819">
        <v>0.93246280000000004</v>
      </c>
      <c r="AB2819">
        <v>30</v>
      </c>
      <c r="AC2819">
        <v>9.4365000000000201</v>
      </c>
      <c r="AD2819">
        <v>-1.1224914572589999</v>
      </c>
      <c r="AE2819">
        <v>-2.7702299999999802</v>
      </c>
      <c r="AF2819">
        <v>-3.5074319862363699</v>
      </c>
      <c r="AG2819">
        <v>-1.1224914572589999</v>
      </c>
      <c r="AH2819">
        <v>9.05251638756455</v>
      </c>
      <c r="AI2819">
        <v>96.595390560552801</v>
      </c>
      <c r="AJ2819">
        <v>111.17904859955</v>
      </c>
      <c r="AK2819">
        <v>9.7729278702351099</v>
      </c>
      <c r="AL2819">
        <v>81.585406346801406</v>
      </c>
      <c r="AM2819">
        <v>101.438426778871</v>
      </c>
      <c r="AN2819">
        <v>1.0000000088551499</v>
      </c>
    </row>
    <row r="2820" spans="1:40" x14ac:dyDescent="0.3">
      <c r="A2820" t="str">
        <f>"20200111150905663"</f>
        <v>20200111150905663</v>
      </c>
      <c r="B2820" t="str">
        <f>"1578726545656385"</f>
        <v>1578726545656385</v>
      </c>
      <c r="C2820" t="s">
        <v>40</v>
      </c>
      <c r="D2820">
        <v>5.502796</v>
      </c>
      <c r="E2820">
        <v>0.42963200000000001</v>
      </c>
      <c r="F2820" t="s">
        <v>89</v>
      </c>
      <c r="G2820">
        <v>-282.3759</v>
      </c>
      <c r="H2820" s="1">
        <v>-6.4974959999999999E-6</v>
      </c>
      <c r="I2820">
        <v>-64.089340000000007</v>
      </c>
      <c r="J2820">
        <v>-291.78410000000002</v>
      </c>
      <c r="K2820">
        <v>1.122492</v>
      </c>
      <c r="L2820">
        <v>-61.412480000000002</v>
      </c>
      <c r="M2820">
        <v>0.79888719999999902</v>
      </c>
      <c r="N2820">
        <v>0</v>
      </c>
      <c r="O2820">
        <v>-0.60131089999999998</v>
      </c>
      <c r="P2820">
        <v>0.89159730000000004</v>
      </c>
      <c r="Q2820">
        <v>0.13823369999999999</v>
      </c>
      <c r="R2820">
        <v>-0.4312145</v>
      </c>
      <c r="S2820">
        <v>3.0027159999999999</v>
      </c>
      <c r="T2820">
        <v>-0.35252460000000002</v>
      </c>
      <c r="U2820">
        <v>-0.87411499999999998</v>
      </c>
      <c r="V2820">
        <v>-0.19623560000000001</v>
      </c>
      <c r="W2820">
        <v>0.14616889999999999</v>
      </c>
      <c r="X2820">
        <v>0.96960109999999999</v>
      </c>
      <c r="Y2820">
        <v>-0.34873459999999901</v>
      </c>
      <c r="Z2820">
        <v>8.368333E-2</v>
      </c>
      <c r="AA2820">
        <v>0.93347809999999998</v>
      </c>
      <c r="AB2820">
        <v>30</v>
      </c>
      <c r="AC2820">
        <v>9.4082000000000203</v>
      </c>
      <c r="AD2820">
        <v>-1.1224984974959999</v>
      </c>
      <c r="AE2820">
        <v>-2.67686</v>
      </c>
      <c r="AF2820">
        <v>-3.4733632091917901</v>
      </c>
      <c r="AG2820">
        <v>-1.1224984974959999</v>
      </c>
      <c r="AH2820">
        <v>9.0080224154519701</v>
      </c>
      <c r="AI2820">
        <v>96.631847883192805</v>
      </c>
      <c r="AJ2820">
        <v>111.085918089115</v>
      </c>
      <c r="AK2820">
        <v>9.7195021836065791</v>
      </c>
      <c r="AL2820">
        <v>81.595026760462503</v>
      </c>
      <c r="AM2820">
        <v>101.44143022206001</v>
      </c>
      <c r="AN2820">
        <v>1.00000002557788</v>
      </c>
    </row>
    <row r="2821" spans="1:40" x14ac:dyDescent="0.3">
      <c r="A2821" t="str">
        <f>"20200111150905674"</f>
        <v>20200111150905674</v>
      </c>
      <c r="B2821" t="str">
        <f>"1578726545667120"</f>
        <v>1578726545667120</v>
      </c>
      <c r="C2821" t="s">
        <v>40</v>
      </c>
      <c r="D2821">
        <v>5.3365299999999998</v>
      </c>
      <c r="E2821">
        <v>0.39610329999999999</v>
      </c>
      <c r="F2821" t="s">
        <v>89</v>
      </c>
      <c r="G2821">
        <v>-281.98759999999999</v>
      </c>
      <c r="H2821" s="1">
        <v>-6.6207640000000001E-6</v>
      </c>
      <c r="I2821">
        <v>-64.149249999999995</v>
      </c>
      <c r="J2821">
        <v>-291.64210000000003</v>
      </c>
      <c r="K2821">
        <v>1.1225000000000001</v>
      </c>
      <c r="L2821">
        <v>-61.508999999999901</v>
      </c>
      <c r="M2821">
        <v>0.80437959999999997</v>
      </c>
      <c r="N2821">
        <v>0</v>
      </c>
      <c r="O2821">
        <v>-0.5939432</v>
      </c>
      <c r="P2821">
        <v>0.89550949999999996</v>
      </c>
      <c r="Q2821">
        <v>0.1380034</v>
      </c>
      <c r="R2821">
        <v>-0.42310540000000002</v>
      </c>
      <c r="S2821">
        <v>3.0114139999999998</v>
      </c>
      <c r="T2821">
        <v>-0.345053</v>
      </c>
      <c r="U2821">
        <v>-0.84127809999999903</v>
      </c>
      <c r="V2821">
        <v>-0.1961405</v>
      </c>
      <c r="W2821">
        <v>0.1459444</v>
      </c>
      <c r="X2821">
        <v>0.96965409999999996</v>
      </c>
      <c r="Y2821">
        <v>-0.35052290000000003</v>
      </c>
      <c r="Z2821">
        <v>8.1327650000000001E-2</v>
      </c>
      <c r="AA2821">
        <v>0.93301639999999997</v>
      </c>
      <c r="AB2821">
        <v>30</v>
      </c>
      <c r="AC2821">
        <v>9.6545000000000396</v>
      </c>
      <c r="AD2821">
        <v>-1.122506620764</v>
      </c>
      <c r="AE2821">
        <v>-2.64025</v>
      </c>
      <c r="AF2821">
        <v>-3.5659801555919701</v>
      </c>
      <c r="AG2821">
        <v>-1.122506620764</v>
      </c>
      <c r="AH2821">
        <v>9.2190450986021695</v>
      </c>
      <c r="AI2821">
        <v>96.478764066149793</v>
      </c>
      <c r="AJ2821">
        <v>111.1467596128</v>
      </c>
      <c r="AK2821">
        <v>9.9482173334620807</v>
      </c>
      <c r="AL2821">
        <v>81.608028615473899</v>
      </c>
      <c r="AM2821">
        <v>101.435422977896</v>
      </c>
      <c r="AN2821">
        <v>0.99999996863920904</v>
      </c>
    </row>
    <row r="2822" spans="1:40" x14ac:dyDescent="0.3">
      <c r="A2822" t="str">
        <f>"20200111150905687"</f>
        <v>20200111150905687</v>
      </c>
      <c r="B2822" t="str">
        <f>"1578726545676881"</f>
        <v>1578726545676881</v>
      </c>
      <c r="C2822" t="s">
        <v>40</v>
      </c>
      <c r="D2822">
        <v>5.3677539999999997</v>
      </c>
      <c r="E2822">
        <v>0.39330100000000001</v>
      </c>
      <c r="F2822" t="s">
        <v>43</v>
      </c>
      <c r="G2822">
        <v>-271.84469999999999</v>
      </c>
      <c r="H2822" s="1">
        <v>-9.8805720000000008E-7</v>
      </c>
      <c r="I2822">
        <v>-65.07159</v>
      </c>
      <c r="J2822">
        <v>-291.51179999999999</v>
      </c>
      <c r="K2822">
        <v>1.122506</v>
      </c>
      <c r="L2822">
        <v>-61.595700000000001</v>
      </c>
      <c r="M2822">
        <v>0.80932569999999904</v>
      </c>
      <c r="N2822">
        <v>0</v>
      </c>
      <c r="O2822">
        <v>-0.58718539999999997</v>
      </c>
      <c r="P2822">
        <v>0.89892490000000003</v>
      </c>
      <c r="Q2822">
        <v>0.1380219</v>
      </c>
      <c r="R2822">
        <v>-0.41579300000000002</v>
      </c>
      <c r="S2822">
        <v>3.1126100000000001</v>
      </c>
      <c r="T2822">
        <v>-0.17648320000000001</v>
      </c>
      <c r="U2822">
        <v>-0.56011959999999905</v>
      </c>
      <c r="V2822">
        <v>-0.19592229999999999</v>
      </c>
      <c r="W2822">
        <v>0.1459722</v>
      </c>
      <c r="X2822">
        <v>0.96969399999999994</v>
      </c>
      <c r="Y2822">
        <v>-0.43315819999999999</v>
      </c>
      <c r="Z2822">
        <v>4.302309E-2</v>
      </c>
      <c r="AA2822">
        <v>0.90029049999999999</v>
      </c>
      <c r="AB2822">
        <v>30</v>
      </c>
      <c r="AC2822">
        <v>19.667100000000001</v>
      </c>
      <c r="AD2822">
        <v>-1.1225069880572001</v>
      </c>
      <c r="AE2822">
        <v>-3.4758900000000001</v>
      </c>
      <c r="AF2822">
        <v>-8.7084938174330198</v>
      </c>
      <c r="AG2822">
        <v>-1.1225069880572001</v>
      </c>
      <c r="AH2822">
        <v>17.903368848093301</v>
      </c>
      <c r="AI2822">
        <v>93.227026763761202</v>
      </c>
      <c r="AJ2822">
        <v>115.939052368853</v>
      </c>
      <c r="AK2822">
        <v>19.940624428973699</v>
      </c>
      <c r="AL2822">
        <v>81.606418326823402</v>
      </c>
      <c r="AM2822">
        <v>101.42257838405099</v>
      </c>
      <c r="AN2822">
        <v>0.99999994222306299</v>
      </c>
    </row>
    <row r="2823" spans="1:40" x14ac:dyDescent="0.3">
      <c r="A2823" t="str">
        <f>"20200111150905701"</f>
        <v>20200111150905701</v>
      </c>
      <c r="B2823" t="str">
        <f>"1578726545696400"</f>
        <v>1578726545696400</v>
      </c>
      <c r="C2823" t="s">
        <v>40</v>
      </c>
      <c r="D2823">
        <v>5.4204439999999998</v>
      </c>
      <c r="E2823">
        <v>0.39253440000000001</v>
      </c>
      <c r="F2823" t="s">
        <v>41</v>
      </c>
      <c r="G2823">
        <v>-290.53910000000002</v>
      </c>
      <c r="H2823">
        <v>1.070978</v>
      </c>
      <c r="I2823">
        <v>-61.75544</v>
      </c>
      <c r="J2823">
        <v>-291.36799999999999</v>
      </c>
      <c r="K2823">
        <v>1.122517</v>
      </c>
      <c r="L2823">
        <v>-61.690219999999997</v>
      </c>
      <c r="M2823">
        <v>0.81470159999999903</v>
      </c>
      <c r="N2823">
        <v>0</v>
      </c>
      <c r="O2823">
        <v>-0.57970350000000004</v>
      </c>
      <c r="P2823">
        <v>0.90265430000000002</v>
      </c>
      <c r="Q2823">
        <v>0.1380285</v>
      </c>
      <c r="R2823">
        <v>-0.40763139999999998</v>
      </c>
      <c r="S2823">
        <v>3.125397</v>
      </c>
      <c r="T2823">
        <v>-0.16555639999999999</v>
      </c>
      <c r="U2823">
        <v>-0.51312259999999998</v>
      </c>
      <c r="V2823">
        <v>-0.1957749</v>
      </c>
      <c r="W2823">
        <v>0.1459859</v>
      </c>
      <c r="X2823">
        <v>0.96972170000000002</v>
      </c>
      <c r="Y2823">
        <v>-0.4388223</v>
      </c>
      <c r="Z2823">
        <v>4.0119109999999999E-2</v>
      </c>
      <c r="AA2823">
        <v>0.89767779999999997</v>
      </c>
      <c r="AB2823">
        <v>30</v>
      </c>
      <c r="AC2823">
        <v>0.82889999999997599</v>
      </c>
      <c r="AD2823">
        <v>-5.1539000000000001E-2</v>
      </c>
      <c r="AE2823">
        <v>-6.5220000000003595E-2</v>
      </c>
      <c r="AF2823">
        <v>-0.42578924425403297</v>
      </c>
      <c r="AG2823">
        <v>-5.1539000000000001E-2</v>
      </c>
      <c r="AH2823">
        <v>0.71045781225095095</v>
      </c>
      <c r="AI2823">
        <v>93.560591779157704</v>
      </c>
      <c r="AJ2823">
        <v>120.93496169274</v>
      </c>
      <c r="AK2823">
        <v>0.82988134816480197</v>
      </c>
      <c r="AL2823">
        <v>81.605624813477803</v>
      </c>
      <c r="AM2823">
        <v>101.413892897652</v>
      </c>
      <c r="AN2823">
        <v>0.99999993495985195</v>
      </c>
    </row>
    <row r="2824" spans="1:40" x14ac:dyDescent="0.3">
      <c r="A2824" t="str">
        <f>"20200111150905714"</f>
        <v>20200111150905714</v>
      </c>
      <c r="B2824" t="str">
        <f>"1578726545707136"</f>
        <v>1578726545707136</v>
      </c>
      <c r="C2824" t="s">
        <v>40</v>
      </c>
      <c r="D2824">
        <v>5.3830809999999998</v>
      </c>
      <c r="E2824">
        <v>0.3929687</v>
      </c>
      <c r="F2824" t="s">
        <v>41</v>
      </c>
      <c r="G2824">
        <v>-290.3039</v>
      </c>
      <c r="H2824">
        <v>1.065601</v>
      </c>
      <c r="I2824">
        <v>-61.852890000000002</v>
      </c>
      <c r="J2824">
        <v>-291.2029</v>
      </c>
      <c r="K2824">
        <v>1.122522</v>
      </c>
      <c r="L2824">
        <v>-61.795839999999998</v>
      </c>
      <c r="M2824">
        <v>0.82074279999999999</v>
      </c>
      <c r="N2824">
        <v>0</v>
      </c>
      <c r="O2824">
        <v>-0.57111820000000002</v>
      </c>
      <c r="P2824">
        <v>0.90678449999999999</v>
      </c>
      <c r="Q2824">
        <v>0.138563299999999</v>
      </c>
      <c r="R2824">
        <v>-0.39817419999999998</v>
      </c>
      <c r="S2824">
        <v>3.1329349999999998</v>
      </c>
      <c r="T2824">
        <v>-0.1675624</v>
      </c>
      <c r="U2824">
        <v>-0.47872920000000002</v>
      </c>
      <c r="V2824">
        <v>-0.19570180000000001</v>
      </c>
      <c r="W2824">
        <v>0.14652509999999999</v>
      </c>
      <c r="X2824">
        <v>0.96965520000000005</v>
      </c>
      <c r="Y2824">
        <v>-0.43933169999999999</v>
      </c>
      <c r="Z2824">
        <v>4.021156E-2</v>
      </c>
      <c r="AA2824">
        <v>0.89742449999999996</v>
      </c>
      <c r="AB2824">
        <v>30</v>
      </c>
      <c r="AC2824">
        <v>0.89900000000000002</v>
      </c>
      <c r="AD2824">
        <v>-5.6920999999999999E-2</v>
      </c>
      <c r="AE2824">
        <v>-5.7049999999996701E-2</v>
      </c>
      <c r="AF2824">
        <v>-0.46480389989853199</v>
      </c>
      <c r="AG2824">
        <v>-5.6920999999999999E-2</v>
      </c>
      <c r="AH2824">
        <v>0.76744487836202302</v>
      </c>
      <c r="AI2824">
        <v>93.630042605541902</v>
      </c>
      <c r="AJ2824">
        <v>121.20124325186799</v>
      </c>
      <c r="AK2824">
        <v>0.89902964741213298</v>
      </c>
      <c r="AL2824">
        <v>81.574395687874699</v>
      </c>
      <c r="AM2824">
        <v>101.410504853947</v>
      </c>
      <c r="AN2824">
        <v>1.0000000031701399</v>
      </c>
    </row>
    <row r="2825" spans="1:40" x14ac:dyDescent="0.3">
      <c r="A2825" t="str">
        <f>"20200111150905727"</f>
        <v>20200111150905727</v>
      </c>
      <c r="B2825" t="str">
        <f>"1578726545716897"</f>
        <v>1578726545716897</v>
      </c>
      <c r="C2825" t="s">
        <v>40</v>
      </c>
      <c r="D2825">
        <v>5.4463400000000002</v>
      </c>
      <c r="E2825">
        <v>0.39466180000000001</v>
      </c>
      <c r="F2825" t="s">
        <v>43</v>
      </c>
      <c r="G2825">
        <v>-270.56209999999999</v>
      </c>
      <c r="H2825" s="1">
        <v>-3.6701559999999999E-7</v>
      </c>
      <c r="I2825">
        <v>-64.753100000000003</v>
      </c>
      <c r="J2825">
        <v>-291.07479999999998</v>
      </c>
      <c r="K2825">
        <v>1.12252</v>
      </c>
      <c r="L2825">
        <v>-61.875979999999998</v>
      </c>
      <c r="M2825">
        <v>0.82533819999999902</v>
      </c>
      <c r="N2825">
        <v>0</v>
      </c>
      <c r="O2825">
        <v>-0.56445679999999998</v>
      </c>
      <c r="P2825">
        <v>0.91002130000000003</v>
      </c>
      <c r="Q2825">
        <v>0.138373</v>
      </c>
      <c r="R2825">
        <v>-0.39078669999999999</v>
      </c>
      <c r="S2825">
        <v>3.1371150000000001</v>
      </c>
      <c r="T2825">
        <v>-0.1706077</v>
      </c>
      <c r="U2825">
        <v>-0.4494629</v>
      </c>
      <c r="V2825">
        <v>-0.19575129999999999</v>
      </c>
      <c r="W2825">
        <v>0.14633589999999999</v>
      </c>
      <c r="X2825">
        <v>0.96967380000000003</v>
      </c>
      <c r="Y2825">
        <v>-0.44039440000000002</v>
      </c>
      <c r="Z2825">
        <v>4.0669990000000003E-2</v>
      </c>
      <c r="AA2825">
        <v>0.89688279999999998</v>
      </c>
      <c r="AB2825">
        <v>30</v>
      </c>
      <c r="AC2825">
        <v>20.512699999999899</v>
      </c>
      <c r="AD2825">
        <v>-1.1225203670156001</v>
      </c>
      <c r="AE2825">
        <v>-2.8771199999999899</v>
      </c>
      <c r="AF2825">
        <v>-9.1779270386670593</v>
      </c>
      <c r="AG2825">
        <v>-1.1225203670156001</v>
      </c>
      <c r="AH2825">
        <v>18.501494278825199</v>
      </c>
      <c r="AI2825">
        <v>93.111071971855196</v>
      </c>
      <c r="AJ2825">
        <v>116.384358761153</v>
      </c>
      <c r="AK2825">
        <v>20.6833190578993</v>
      </c>
      <c r="AL2825">
        <v>81.585354337163594</v>
      </c>
      <c r="AM2825">
        <v>101.413102062212</v>
      </c>
      <c r="AN2825">
        <v>1.00000002274346</v>
      </c>
    </row>
    <row r="2826" spans="1:40" x14ac:dyDescent="0.3">
      <c r="A2826" t="str">
        <f>"20200111150905742"</f>
        <v>20200111150905742</v>
      </c>
      <c r="B2826" t="str">
        <f>"1578726545736416"</f>
        <v>1578726545736416</v>
      </c>
      <c r="C2826" t="s">
        <v>40</v>
      </c>
      <c r="D2826">
        <v>5.3797290000000002</v>
      </c>
      <c r="E2826">
        <v>0.3940998</v>
      </c>
      <c r="F2826" t="s">
        <v>41</v>
      </c>
      <c r="G2826">
        <v>-290.0933</v>
      </c>
      <c r="H2826">
        <v>1.0640149999999999</v>
      </c>
      <c r="I2826">
        <v>-62.012790000000003</v>
      </c>
      <c r="J2826">
        <v>-290.91399999999999</v>
      </c>
      <c r="K2826">
        <v>1.12252</v>
      </c>
      <c r="L2826">
        <v>-61.97513</v>
      </c>
      <c r="M2826">
        <v>0.83100869999999905</v>
      </c>
      <c r="N2826">
        <v>0</v>
      </c>
      <c r="O2826">
        <v>-0.55607499999999999</v>
      </c>
      <c r="P2826">
        <v>0.91393060000000004</v>
      </c>
      <c r="Q2826">
        <v>0.13814670000000001</v>
      </c>
      <c r="R2826">
        <v>-0.38163710000000001</v>
      </c>
      <c r="S2826">
        <v>3.1371769999999999</v>
      </c>
      <c r="T2826">
        <v>-0.18700530000000001</v>
      </c>
      <c r="U2826">
        <v>-0.43740839999999998</v>
      </c>
      <c r="V2826">
        <v>-0.19567860000000001</v>
      </c>
      <c r="W2826">
        <v>0.1461152</v>
      </c>
      <c r="X2826">
        <v>0.96972170000000002</v>
      </c>
      <c r="Y2826">
        <v>-0.43443330000000002</v>
      </c>
      <c r="Z2826">
        <v>4.4006999999999998E-2</v>
      </c>
      <c r="AA2826">
        <v>0.89962830000000005</v>
      </c>
      <c r="AB2826">
        <v>30</v>
      </c>
      <c r="AC2826">
        <v>0.820699999999987</v>
      </c>
      <c r="AD2826">
        <v>-5.8505000000000001E-2</v>
      </c>
      <c r="AE2826">
        <v>-3.7659999999995301E-2</v>
      </c>
      <c r="AF2826">
        <v>-0.42297362195680999</v>
      </c>
      <c r="AG2826">
        <v>-5.8505000000000001E-2</v>
      </c>
      <c r="AH2826">
        <v>0.69947561329319097</v>
      </c>
      <c r="AI2826">
        <v>94.093843827888904</v>
      </c>
      <c r="AJ2826">
        <v>121.161396598807</v>
      </c>
      <c r="AK2826">
        <v>0.81950939804748302</v>
      </c>
      <c r="AL2826">
        <v>81.598136472300297</v>
      </c>
      <c r="AM2826">
        <v>101.408425758334</v>
      </c>
      <c r="AN2826">
        <v>0.99999997080994396</v>
      </c>
    </row>
    <row r="2827" spans="1:40" x14ac:dyDescent="0.3">
      <c r="A2827" t="str">
        <f>"20200111150905754"</f>
        <v>20200111150905754</v>
      </c>
      <c r="B2827" t="str">
        <f>"1578726545747153"</f>
        <v>1578726545747153</v>
      </c>
      <c r="C2827" t="s">
        <v>40</v>
      </c>
      <c r="D2827">
        <v>5.4481570000000001</v>
      </c>
      <c r="E2827">
        <v>0.39382070000000002</v>
      </c>
      <c r="F2827" t="s">
        <v>41</v>
      </c>
      <c r="G2827">
        <v>-289.85919999999999</v>
      </c>
      <c r="H2827">
        <v>1.061517</v>
      </c>
      <c r="I2827">
        <v>-62.109960000000001</v>
      </c>
      <c r="J2827">
        <v>-290.75810000000001</v>
      </c>
      <c r="K2827">
        <v>1.1225179999999999</v>
      </c>
      <c r="L2827">
        <v>-62.068730000000002</v>
      </c>
      <c r="M2827">
        <v>0.83638699999999999</v>
      </c>
      <c r="N2827">
        <v>0</v>
      </c>
      <c r="O2827">
        <v>-0.54795179999999999</v>
      </c>
      <c r="P2827">
        <v>0.91751070000000001</v>
      </c>
      <c r="Q2827">
        <v>0.13792119999999999</v>
      </c>
      <c r="R2827">
        <v>-0.37303039999999998</v>
      </c>
      <c r="S2827">
        <v>3.1423649999999999</v>
      </c>
      <c r="T2827">
        <v>-0.18170890000000001</v>
      </c>
      <c r="U2827">
        <v>-0.40139770000000002</v>
      </c>
      <c r="V2827">
        <v>-0.195356</v>
      </c>
      <c r="W2827">
        <v>0.14590330000000001</v>
      </c>
      <c r="X2827">
        <v>0.96981870000000003</v>
      </c>
      <c r="Y2827">
        <v>-0.43609320000000001</v>
      </c>
      <c r="Z2827">
        <v>4.2409589999999997E-2</v>
      </c>
      <c r="AA2827">
        <v>0.89890159999999997</v>
      </c>
      <c r="AB2827">
        <v>30</v>
      </c>
      <c r="AC2827">
        <v>0.89890000000002501</v>
      </c>
      <c r="AD2827">
        <v>-6.1001E-2</v>
      </c>
      <c r="AE2827">
        <v>-4.1229999999998698E-2</v>
      </c>
      <c r="AF2827">
        <v>-0.45602106421557398</v>
      </c>
      <c r="AG2827">
        <v>-6.1001E-2</v>
      </c>
      <c r="AH2827">
        <v>0.77095697497056703</v>
      </c>
      <c r="AI2827">
        <v>93.8959470737597</v>
      </c>
      <c r="AJ2827">
        <v>120.604315445425</v>
      </c>
      <c r="AK2827">
        <v>0.89780342518007406</v>
      </c>
      <c r="AL2827">
        <v>81.610409430225602</v>
      </c>
      <c r="AM2827">
        <v>101.389000141708</v>
      </c>
      <c r="AN2827">
        <v>1.0000000252782799</v>
      </c>
    </row>
    <row r="2828" spans="1:40" x14ac:dyDescent="0.3">
      <c r="A2828" t="str">
        <f>"20200111150905767"</f>
        <v>20200111150905767</v>
      </c>
      <c r="B2828" t="str">
        <f>"1578726545756912"</f>
        <v>1578726545756912</v>
      </c>
      <c r="C2828" t="s">
        <v>40</v>
      </c>
      <c r="D2828">
        <v>5.4500070000000003</v>
      </c>
      <c r="E2828">
        <v>0.39406609999999997</v>
      </c>
      <c r="F2828" t="s">
        <v>43</v>
      </c>
      <c r="G2828">
        <v>-270.96300000000002</v>
      </c>
      <c r="H2828" s="1">
        <v>-4.5878329999999999E-7</v>
      </c>
      <c r="I2828">
        <v>-64.392300000000006</v>
      </c>
      <c r="J2828">
        <v>-290.62369999999999</v>
      </c>
      <c r="K2828">
        <v>1.12252</v>
      </c>
      <c r="L2828">
        <v>-62.147669999999998</v>
      </c>
      <c r="M2828">
        <v>0.84093609999999896</v>
      </c>
      <c r="N2828">
        <v>0</v>
      </c>
      <c r="O2828">
        <v>-0.54094430000000004</v>
      </c>
      <c r="P2828">
        <v>0.92041249999999997</v>
      </c>
      <c r="Q2828">
        <v>0.13763029999999901</v>
      </c>
      <c r="R2828">
        <v>-0.36592209999999997</v>
      </c>
      <c r="S2828">
        <v>3.1463619999999999</v>
      </c>
      <c r="T2828">
        <v>-0.17841989999999999</v>
      </c>
      <c r="U2828">
        <v>-0.36932369999999998</v>
      </c>
      <c r="V2828">
        <v>-0.19476859999999999</v>
      </c>
      <c r="W2828">
        <v>0.14563489999999901</v>
      </c>
      <c r="X2828">
        <v>0.96997710000000004</v>
      </c>
      <c r="Y2828">
        <v>-0.43781049999999999</v>
      </c>
      <c r="Z2828">
        <v>4.1354670000000003E-2</v>
      </c>
      <c r="AA2828">
        <v>0.89811569999999996</v>
      </c>
      <c r="AB2828">
        <v>30</v>
      </c>
      <c r="AC2828">
        <v>19.660699999999999</v>
      </c>
      <c r="AD2828">
        <v>-1.1225204587833</v>
      </c>
      <c r="AE2828">
        <v>-2.2446299999999999</v>
      </c>
      <c r="AF2828">
        <v>-8.7205916278158302</v>
      </c>
      <c r="AG2828">
        <v>-1.1225204587833</v>
      </c>
      <c r="AH2828">
        <v>17.692506256600701</v>
      </c>
      <c r="AI2828">
        <v>93.257113522484005</v>
      </c>
      <c r="AJ2828">
        <v>116.238571318515</v>
      </c>
      <c r="AK2828">
        <v>19.7568607870626</v>
      </c>
      <c r="AL2828">
        <v>81.625953041629799</v>
      </c>
      <c r="AM2828">
        <v>101.353840283409</v>
      </c>
      <c r="AN2828">
        <v>0.99999995308418799</v>
      </c>
    </row>
    <row r="2829" spans="1:40" x14ac:dyDescent="0.3">
      <c r="A2829" t="str">
        <f>"20200111150905781"</f>
        <v>20200111150905781</v>
      </c>
      <c r="B2829" t="str">
        <f>"1578726545776433"</f>
        <v>1578726545776433</v>
      </c>
      <c r="C2829" t="s">
        <v>40</v>
      </c>
      <c r="D2829">
        <v>5.382784</v>
      </c>
      <c r="E2829">
        <v>0.39518910000000002</v>
      </c>
      <c r="F2829" t="s">
        <v>41</v>
      </c>
      <c r="G2829">
        <v>-289.64109999999999</v>
      </c>
      <c r="H2829">
        <v>1.0664709999999999</v>
      </c>
      <c r="I2829">
        <v>-62.25573</v>
      </c>
      <c r="J2829">
        <v>-290.4769</v>
      </c>
      <c r="K2829">
        <v>1.12252</v>
      </c>
      <c r="L2829">
        <v>-62.232849999999999</v>
      </c>
      <c r="M2829">
        <v>0.84582409999999997</v>
      </c>
      <c r="N2829">
        <v>0</v>
      </c>
      <c r="O2829">
        <v>-0.53326899999999999</v>
      </c>
      <c r="P2829">
        <v>0.92347420000000002</v>
      </c>
      <c r="Q2829">
        <v>0.13728560000000001</v>
      </c>
      <c r="R2829">
        <v>-0.35825759999999901</v>
      </c>
      <c r="S2829">
        <v>3.1485289999999999</v>
      </c>
      <c r="T2829">
        <v>-0.17961179999999999</v>
      </c>
      <c r="U2829">
        <v>-0.34655760000000002</v>
      </c>
      <c r="V2829">
        <v>-0.194021</v>
      </c>
      <c r="W2829">
        <v>0.14531839999999999</v>
      </c>
      <c r="X2829">
        <v>0.97017439999999999</v>
      </c>
      <c r="Y2829">
        <v>-0.43610840000000001</v>
      </c>
      <c r="Z2829">
        <v>4.1217400000000001E-2</v>
      </c>
      <c r="AA2829">
        <v>0.89894969999999996</v>
      </c>
      <c r="AB2829">
        <v>30</v>
      </c>
      <c r="AC2829">
        <v>0.83580000000000598</v>
      </c>
      <c r="AD2829">
        <v>-5.6049000000000002E-2</v>
      </c>
      <c r="AE2829">
        <v>-2.28800000000077E-2</v>
      </c>
      <c r="AF2829">
        <v>-0.42449010781081298</v>
      </c>
      <c r="AG2829">
        <v>-5.6049000000000002E-2</v>
      </c>
      <c r="AH2829">
        <v>0.71599748640452998</v>
      </c>
      <c r="AI2829">
        <v>93.852277694104401</v>
      </c>
      <c r="AJ2829">
        <v>120.662233207954</v>
      </c>
      <c r="AK2829">
        <v>0.83425759964643997</v>
      </c>
      <c r="AL2829">
        <v>81.644282341430596</v>
      </c>
      <c r="AM2829">
        <v>101.30914428542999</v>
      </c>
      <c r="AN2829">
        <v>0.99999997611745906</v>
      </c>
    </row>
    <row r="2830" spans="1:40" x14ac:dyDescent="0.3">
      <c r="A2830" t="str">
        <f>"20200111150905794"</f>
        <v>20200111150905794</v>
      </c>
      <c r="B2830" t="str">
        <f>"1578726545787169"</f>
        <v>1578726545787169</v>
      </c>
      <c r="C2830" t="s">
        <v>40</v>
      </c>
      <c r="D2830">
        <v>5.5416639999999999</v>
      </c>
      <c r="E2830">
        <v>0.39604899999999998</v>
      </c>
      <c r="F2830" t="s">
        <v>41</v>
      </c>
      <c r="G2830">
        <v>-289.4042</v>
      </c>
      <c r="H2830">
        <v>1.058994</v>
      </c>
      <c r="I2830">
        <v>-62.344970000000004</v>
      </c>
      <c r="J2830">
        <v>-290.31909999999999</v>
      </c>
      <c r="K2830">
        <v>1.1225229999999999</v>
      </c>
      <c r="L2830">
        <v>-62.321620000000003</v>
      </c>
      <c r="M2830">
        <v>0.85095949999999998</v>
      </c>
      <c r="N2830">
        <v>0</v>
      </c>
      <c r="O2830">
        <v>-0.52503529999999998</v>
      </c>
      <c r="P2830">
        <v>0.92646450000000002</v>
      </c>
      <c r="Q2830">
        <v>0.13733689999999901</v>
      </c>
      <c r="R2830">
        <v>-0.3504314</v>
      </c>
      <c r="S2830">
        <v>3.148682</v>
      </c>
      <c r="T2830">
        <v>-0.18646760000000001</v>
      </c>
      <c r="U2830">
        <v>-0.32894899999999999</v>
      </c>
      <c r="V2830">
        <v>-0.19280929999999999</v>
      </c>
      <c r="W2830">
        <v>0.14541319999999999</v>
      </c>
      <c r="X2830">
        <v>0.97040179999999998</v>
      </c>
      <c r="Y2830">
        <v>-0.43225390000000002</v>
      </c>
      <c r="Z2830">
        <v>4.2283439999999999E-2</v>
      </c>
      <c r="AA2830">
        <v>0.90076009999999995</v>
      </c>
      <c r="AB2830">
        <v>30</v>
      </c>
      <c r="AC2830">
        <v>0.91489999999998795</v>
      </c>
      <c r="AD2830">
        <v>-6.3528999999999905E-2</v>
      </c>
      <c r="AE2830">
        <v>-2.3350000000000599E-2</v>
      </c>
      <c r="AF2830">
        <v>-0.45832385309187401</v>
      </c>
      <c r="AG2830">
        <v>-6.3528999999999905E-2</v>
      </c>
      <c r="AH2830">
        <v>0.78709121431316598</v>
      </c>
      <c r="AI2830">
        <v>93.989922398100106</v>
      </c>
      <c r="AJ2830">
        <v>120.212277878015</v>
      </c>
      <c r="AK2830">
        <v>0.913022052199703</v>
      </c>
      <c r="AL2830">
        <v>81.638792917969994</v>
      </c>
      <c r="AM2830">
        <v>101.237753130135</v>
      </c>
      <c r="AN2830">
        <v>1.0000000391719801</v>
      </c>
    </row>
    <row r="2831" spans="1:40" x14ac:dyDescent="0.3">
      <c r="A2831" t="str">
        <f>"20200111150905805"</f>
        <v>20200111150905805</v>
      </c>
      <c r="B2831" t="str">
        <f>"1578726545796929"</f>
        <v>1578726545796929</v>
      </c>
      <c r="C2831" t="s">
        <v>40</v>
      </c>
      <c r="D2831">
        <v>5.4376100000000003</v>
      </c>
      <c r="E2831">
        <v>0.3968991</v>
      </c>
      <c r="F2831" t="s">
        <v>43</v>
      </c>
      <c r="G2831">
        <v>-272.05959999999999</v>
      </c>
      <c r="H2831" s="1">
        <v>-8.6765069999999996E-7</v>
      </c>
      <c r="I2831">
        <v>-64.115359999999995</v>
      </c>
      <c r="J2831">
        <v>-290.18529999999998</v>
      </c>
      <c r="K2831">
        <v>1.122522</v>
      </c>
      <c r="L2831">
        <v>-62.395539999999997</v>
      </c>
      <c r="M2831">
        <v>0.85523499999999997</v>
      </c>
      <c r="N2831">
        <v>0</v>
      </c>
      <c r="O2831">
        <v>-0.5180418</v>
      </c>
      <c r="P2831">
        <v>0.92907790000000001</v>
      </c>
      <c r="Q2831">
        <v>0.13730049999999999</v>
      </c>
      <c r="R2831">
        <v>-0.34345759999999997</v>
      </c>
      <c r="S2831">
        <v>3.14975</v>
      </c>
      <c r="T2831">
        <v>-0.19363449999999999</v>
      </c>
      <c r="U2831">
        <v>-0.30941770000000002</v>
      </c>
      <c r="V2831">
        <v>-0.19214890000000001</v>
      </c>
      <c r="W2831">
        <v>0.1454009</v>
      </c>
      <c r="X2831">
        <v>0.97053460000000003</v>
      </c>
      <c r="Y2831">
        <v>-0.43031659999999999</v>
      </c>
      <c r="Z2831">
        <v>4.3491170000000003E-2</v>
      </c>
      <c r="AA2831">
        <v>0.90162969999999998</v>
      </c>
      <c r="AB2831">
        <v>30</v>
      </c>
      <c r="AC2831">
        <v>18.125699999999899</v>
      </c>
      <c r="AD2831">
        <v>-1.1225228676507</v>
      </c>
      <c r="AE2831">
        <v>-1.7198199999999899</v>
      </c>
      <c r="AF2831">
        <v>-7.8898449112135296</v>
      </c>
      <c r="AG2831">
        <v>-1.1225228676507</v>
      </c>
      <c r="AH2831">
        <v>16.332278154967899</v>
      </c>
      <c r="AI2831">
        <v>93.541367422697604</v>
      </c>
      <c r="AJ2831">
        <v>115.78439558621101</v>
      </c>
      <c r="AK2831">
        <v>18.1728649376658</v>
      </c>
      <c r="AL2831">
        <v>81.639505028395405</v>
      </c>
      <c r="AM2831">
        <v>101.198743076659</v>
      </c>
      <c r="AN2831">
        <v>1.0000000156445801</v>
      </c>
    </row>
    <row r="2832" spans="1:40" x14ac:dyDescent="0.3">
      <c r="A2832" t="str">
        <f>"20200111150905818"</f>
        <v>20200111150905818</v>
      </c>
      <c r="B2832" t="str">
        <f>"1578726545806689"</f>
        <v>1578726545806689</v>
      </c>
      <c r="C2832" t="s">
        <v>40</v>
      </c>
      <c r="D2832">
        <v>5.4224909999999999</v>
      </c>
      <c r="E2832">
        <v>0.39737729999999999</v>
      </c>
      <c r="F2832" t="s">
        <v>41</v>
      </c>
      <c r="G2832">
        <v>-289.18389999999999</v>
      </c>
      <c r="H2832">
        <v>1.058791</v>
      </c>
      <c r="I2832">
        <v>-62.488599999999998</v>
      </c>
      <c r="J2832">
        <v>-290.04629999999997</v>
      </c>
      <c r="K2832">
        <v>1.122522</v>
      </c>
      <c r="L2832">
        <v>-62.471220000000002</v>
      </c>
      <c r="M2832">
        <v>0.85959940000000001</v>
      </c>
      <c r="N2832">
        <v>0</v>
      </c>
      <c r="O2832">
        <v>-0.51076719999999998</v>
      </c>
      <c r="P2832">
        <v>0.93168439999999997</v>
      </c>
      <c r="Q2832">
        <v>0.1372652</v>
      </c>
      <c r="R2832">
        <v>-0.33633740000000001</v>
      </c>
      <c r="S2832">
        <v>3.15036</v>
      </c>
      <c r="T2832">
        <v>-0.20048920000000001</v>
      </c>
      <c r="U2832">
        <v>-0.2928772</v>
      </c>
      <c r="V2832">
        <v>-0.19134139999999999</v>
      </c>
      <c r="W2832">
        <v>0.14539579999999999</v>
      </c>
      <c r="X2832">
        <v>0.97069490000000003</v>
      </c>
      <c r="Y2832">
        <v>-0.42726520000000001</v>
      </c>
      <c r="Z2832">
        <v>4.4546959999999997E-2</v>
      </c>
      <c r="AA2832">
        <v>0.90302819999999995</v>
      </c>
      <c r="AB2832">
        <v>30</v>
      </c>
      <c r="AC2832">
        <v>0.86239999999997896</v>
      </c>
      <c r="AD2832">
        <v>-6.3730999999999899E-2</v>
      </c>
      <c r="AE2832">
        <v>-1.7380000000002799E-2</v>
      </c>
      <c r="AF2832">
        <v>-0.423278927595163</v>
      </c>
      <c r="AG2832">
        <v>-6.3730999999999899E-2</v>
      </c>
      <c r="AH2832">
        <v>0.74619938951545695</v>
      </c>
      <c r="AI2832">
        <v>94.248579698936894</v>
      </c>
      <c r="AJ2832">
        <v>119.563919279994</v>
      </c>
      <c r="AK2832">
        <v>0.86025590368235905</v>
      </c>
      <c r="AL2832">
        <v>81.639800491693904</v>
      </c>
      <c r="AM2832">
        <v>101.151067295131</v>
      </c>
      <c r="AN2832">
        <v>1.0000000294488001</v>
      </c>
    </row>
    <row r="2833" spans="1:40" x14ac:dyDescent="0.3">
      <c r="A2833" t="str">
        <f>"20200111150905833"</f>
        <v>20200111150905833</v>
      </c>
      <c r="B2833" t="str">
        <f>"1578726545827185"</f>
        <v>1578726545827185</v>
      </c>
      <c r="C2833" t="s">
        <v>40</v>
      </c>
      <c r="D2833">
        <v>5.3615570000000004</v>
      </c>
      <c r="E2833">
        <v>0.398453</v>
      </c>
      <c r="F2833" t="s">
        <v>43</v>
      </c>
      <c r="G2833">
        <v>-272.53460000000001</v>
      </c>
      <c r="H2833" s="1">
        <v>-1.042647E-6</v>
      </c>
      <c r="I2833">
        <v>-63.985939999999999</v>
      </c>
      <c r="J2833">
        <v>-289.87970000000001</v>
      </c>
      <c r="K2833">
        <v>1.1225179999999999</v>
      </c>
      <c r="L2833">
        <v>-62.559139999999999</v>
      </c>
      <c r="M2833">
        <v>0.8647146</v>
      </c>
      <c r="N2833">
        <v>0</v>
      </c>
      <c r="O2833">
        <v>-0.50205820000000001</v>
      </c>
      <c r="P2833">
        <v>0.93457840000000003</v>
      </c>
      <c r="Q2833">
        <v>0.1375091</v>
      </c>
      <c r="R2833">
        <v>-0.32810780000000001</v>
      </c>
      <c r="S2833">
        <v>3.1513369999999998</v>
      </c>
      <c r="T2833">
        <v>-0.20200560000000001</v>
      </c>
      <c r="U2833">
        <v>-0.27258300000000002</v>
      </c>
      <c r="V2833">
        <v>-0.19008330000000001</v>
      </c>
      <c r="W2833">
        <v>0.14568399999999901</v>
      </c>
      <c r="X2833">
        <v>0.97089879999999995</v>
      </c>
      <c r="Y2833">
        <v>-0.42392469999999999</v>
      </c>
      <c r="Z2833">
        <v>4.4306030000000003E-2</v>
      </c>
      <c r="AA2833">
        <v>0.90461309999999995</v>
      </c>
      <c r="AB2833">
        <v>30</v>
      </c>
      <c r="AC2833">
        <v>17.345099999999999</v>
      </c>
      <c r="AD2833">
        <v>-1.122519042647</v>
      </c>
      <c r="AE2833">
        <v>-1.4268000000000001</v>
      </c>
      <c r="AF2833">
        <v>-7.4442766986103299</v>
      </c>
      <c r="AG2833">
        <v>-1.122519042647</v>
      </c>
      <c r="AH2833">
        <v>15.6514068932994</v>
      </c>
      <c r="AI2833">
        <v>93.705714381004199</v>
      </c>
      <c r="AJ2833">
        <v>115.43715643444899</v>
      </c>
      <c r="AK2833">
        <v>17.3678968878272</v>
      </c>
      <c r="AL2833">
        <v>81.623109755184004</v>
      </c>
      <c r="AM2833">
        <v>101.077297938744</v>
      </c>
      <c r="AN2833">
        <v>0.99999998431816495</v>
      </c>
    </row>
    <row r="2834" spans="1:40" x14ac:dyDescent="0.3">
      <c r="A2834" t="str">
        <f>"20200111150905846"</f>
        <v>20200111150905846</v>
      </c>
      <c r="B2834" t="str">
        <f>"1578726545836945"</f>
        <v>1578726545836945</v>
      </c>
      <c r="C2834" t="s">
        <v>40</v>
      </c>
      <c r="D2834">
        <v>5.3603239999999897</v>
      </c>
      <c r="E2834">
        <v>0.39915699999999998</v>
      </c>
      <c r="F2834" t="s">
        <v>43</v>
      </c>
      <c r="G2834">
        <v>-272.67930000000001</v>
      </c>
      <c r="H2834" s="1">
        <v>-1.0945339999999999E-6</v>
      </c>
      <c r="I2834">
        <v>-63.940119999999901</v>
      </c>
      <c r="J2834">
        <v>-289.71129999999999</v>
      </c>
      <c r="K2834">
        <v>1.122517</v>
      </c>
      <c r="L2834">
        <v>-62.646210000000004</v>
      </c>
      <c r="M2834">
        <v>0.86977309999999997</v>
      </c>
      <c r="N2834">
        <v>0</v>
      </c>
      <c r="O2834">
        <v>-0.49324309999999899</v>
      </c>
      <c r="P2834">
        <v>0.93745469999999997</v>
      </c>
      <c r="Q2834">
        <v>0.1377833</v>
      </c>
      <c r="R2834">
        <v>-0.31967889999999999</v>
      </c>
      <c r="S2834">
        <v>3.1514280000000001</v>
      </c>
      <c r="T2834">
        <v>-0.20566609999999999</v>
      </c>
      <c r="U2834">
        <v>-0.2530212</v>
      </c>
      <c r="V2834">
        <v>-0.1889429</v>
      </c>
      <c r="W2834">
        <v>0.14599909999999999</v>
      </c>
      <c r="X2834">
        <v>0.97107399999999999</v>
      </c>
      <c r="Y2834">
        <v>-0.42025669999999998</v>
      </c>
      <c r="Z2834">
        <v>4.450954E-2</v>
      </c>
      <c r="AA2834">
        <v>0.90631300000000004</v>
      </c>
      <c r="AB2834">
        <v>30</v>
      </c>
      <c r="AC2834">
        <v>17.031999999999901</v>
      </c>
      <c r="AD2834">
        <v>-1.1225180945340001</v>
      </c>
      <c r="AE2834">
        <v>-1.2939099999999899</v>
      </c>
      <c r="AF2834">
        <v>-7.2449687854730396</v>
      </c>
      <c r="AG2834">
        <v>-1.1225180945340001</v>
      </c>
      <c r="AH2834">
        <v>15.387325711404101</v>
      </c>
      <c r="AI2834">
        <v>93.7760944050018</v>
      </c>
      <c r="AJ2834">
        <v>115.212933306735</v>
      </c>
      <c r="AK2834">
        <v>17.044630008418299</v>
      </c>
      <c r="AL2834">
        <v>81.604860319022393</v>
      </c>
      <c r="AM2834">
        <v>101.01053107224099</v>
      </c>
      <c r="AN2834">
        <v>0.99999993506860796</v>
      </c>
    </row>
    <row r="2835" spans="1:40" x14ac:dyDescent="0.3">
      <c r="A2835" t="str">
        <f>"20200111150905861"</f>
        <v>20200111150905861</v>
      </c>
      <c r="B2835" t="str">
        <f>"1578726545856464"</f>
        <v>1578726545856464</v>
      </c>
      <c r="C2835" t="s">
        <v>40</v>
      </c>
      <c r="D2835">
        <v>5.3088699999999998</v>
      </c>
      <c r="E2835">
        <v>0.4005785</v>
      </c>
      <c r="F2835" t="s">
        <v>41</v>
      </c>
      <c r="G2835">
        <v>-288.66719999999998</v>
      </c>
      <c r="H2835">
        <v>1.0540659999999999</v>
      </c>
      <c r="I2835">
        <v>-62.7224</v>
      </c>
      <c r="J2835">
        <v>-289.548</v>
      </c>
      <c r="K2835">
        <v>1.122519</v>
      </c>
      <c r="L2835">
        <v>-62.728909999999999</v>
      </c>
      <c r="M2835">
        <v>0.87457549999999995</v>
      </c>
      <c r="N2835">
        <v>0</v>
      </c>
      <c r="O2835">
        <v>-0.48467690000000002</v>
      </c>
      <c r="P2835">
        <v>0.93962570000000001</v>
      </c>
      <c r="Q2835">
        <v>0.13865810000000001</v>
      </c>
      <c r="R2835">
        <v>-0.31285429999999997</v>
      </c>
      <c r="S2835">
        <v>3.1520999999999999</v>
      </c>
      <c r="T2835">
        <v>-0.20663909999999999</v>
      </c>
      <c r="U2835">
        <v>-0.22994999999999999</v>
      </c>
      <c r="V2835">
        <v>-0.18642520000000001</v>
      </c>
      <c r="W2835">
        <v>0.14695899999999901</v>
      </c>
      <c r="X2835">
        <v>0.97141580000000005</v>
      </c>
      <c r="Y2835">
        <v>-0.41796179999999999</v>
      </c>
      <c r="Z2835">
        <v>4.4169279999999998E-2</v>
      </c>
      <c r="AA2835">
        <v>0.90739020000000004</v>
      </c>
      <c r="AB2835">
        <v>30</v>
      </c>
      <c r="AC2835">
        <v>0.88080000000002101</v>
      </c>
      <c r="AD2835">
        <v>-6.8453000000000097E-2</v>
      </c>
      <c r="AE2835">
        <v>6.50999999999868E-3</v>
      </c>
      <c r="AF2835">
        <v>-0.430044178218847</v>
      </c>
      <c r="AG2835">
        <v>-6.8453000000000097E-2</v>
      </c>
      <c r="AH2835">
        <v>0.76264383621019205</v>
      </c>
      <c r="AI2835">
        <v>94.470524108015198</v>
      </c>
      <c r="AJ2835">
        <v>119.418042391762</v>
      </c>
      <c r="AK2835">
        <v>0.87820807861139705</v>
      </c>
      <c r="AL2835">
        <v>81.549262782330004</v>
      </c>
      <c r="AM2835">
        <v>100.863597130163</v>
      </c>
      <c r="AN2835">
        <v>0.99999997968283905</v>
      </c>
    </row>
    <row r="2836" spans="1:40" x14ac:dyDescent="0.3">
      <c r="A2836" t="str">
        <f>"20200111150905874"</f>
        <v>20200111150905874</v>
      </c>
      <c r="B2836" t="str">
        <f>"1578726545867200"</f>
        <v>1578726545867200</v>
      </c>
      <c r="C2836" t="s">
        <v>40</v>
      </c>
      <c r="D2836">
        <v>5.3477670000000002</v>
      </c>
      <c r="E2836">
        <v>0.40115279999999998</v>
      </c>
      <c r="F2836" t="s">
        <v>41</v>
      </c>
      <c r="G2836">
        <v>-288.48450000000003</v>
      </c>
      <c r="H2836">
        <v>1.0515380000000001</v>
      </c>
      <c r="I2836">
        <v>-62.802680000000002</v>
      </c>
      <c r="J2836">
        <v>-289.39449999999999</v>
      </c>
      <c r="K2836">
        <v>1.122514</v>
      </c>
      <c r="L2836">
        <v>-62.804259999999999</v>
      </c>
      <c r="M2836">
        <v>0.87898330000000002</v>
      </c>
      <c r="N2836">
        <v>0</v>
      </c>
      <c r="O2836">
        <v>-0.47663670000000002</v>
      </c>
      <c r="P2836">
        <v>0.94210720000000003</v>
      </c>
      <c r="Q2836">
        <v>0.13894609999999999</v>
      </c>
      <c r="R2836">
        <v>-0.30516910000000003</v>
      </c>
      <c r="S2836">
        <v>3.1512150000000001</v>
      </c>
      <c r="T2836">
        <v>-0.21030740000000001</v>
      </c>
      <c r="U2836">
        <v>-0.2179565</v>
      </c>
      <c r="V2836">
        <v>-0.18543689999999999</v>
      </c>
      <c r="W2836">
        <v>0.14728260000000001</v>
      </c>
      <c r="X2836">
        <v>0.97155590000000003</v>
      </c>
      <c r="Y2836">
        <v>-0.41300680000000001</v>
      </c>
      <c r="Z2836">
        <v>4.433902E-2</v>
      </c>
      <c r="AA2836">
        <v>0.90964800000000001</v>
      </c>
      <c r="AB2836">
        <v>30</v>
      </c>
      <c r="AC2836">
        <v>0.90999999999996795</v>
      </c>
      <c r="AD2836">
        <v>-7.0976000000000095E-2</v>
      </c>
      <c r="AE2836">
        <v>1.57999999999702E-3</v>
      </c>
      <c r="AF2836">
        <v>-0.43254169622417599</v>
      </c>
      <c r="AG2836">
        <v>-7.0976000000000095E-2</v>
      </c>
      <c r="AH2836">
        <v>0.79437156778803497</v>
      </c>
      <c r="AI2836">
        <v>94.486803182461202</v>
      </c>
      <c r="AJ2836">
        <v>118.568646838284</v>
      </c>
      <c r="AK2836">
        <v>0.90727950448497896</v>
      </c>
      <c r="AL2836">
        <v>81.530517535697797</v>
      </c>
      <c r="AM2836">
        <v>100.805843782647</v>
      </c>
      <c r="AN2836">
        <v>0.99999993748458804</v>
      </c>
    </row>
    <row r="2837" spans="1:40" x14ac:dyDescent="0.3">
      <c r="A2837" t="str">
        <f>"20200111150905886"</f>
        <v>20200111150905886</v>
      </c>
      <c r="B2837" t="str">
        <f>"1578726545876960"</f>
        <v>1578726545876960</v>
      </c>
      <c r="C2837" t="s">
        <v>40</v>
      </c>
      <c r="D2837">
        <v>5.3336129999999997</v>
      </c>
      <c r="E2837">
        <v>0.4018041</v>
      </c>
      <c r="F2837" t="s">
        <v>43</v>
      </c>
      <c r="G2837">
        <v>-272.65370000000001</v>
      </c>
      <c r="H2837" s="1">
        <v>-1.0633460000000001E-6</v>
      </c>
      <c r="I2837">
        <v>-63.849299999999999</v>
      </c>
      <c r="J2837">
        <v>-289.25</v>
      </c>
      <c r="K2837">
        <v>1.1225099999999999</v>
      </c>
      <c r="L2837">
        <v>-62.873779999999996</v>
      </c>
      <c r="M2837">
        <v>0.88305149999999999</v>
      </c>
      <c r="N2837">
        <v>0</v>
      </c>
      <c r="O2837">
        <v>-0.46905619999999998</v>
      </c>
      <c r="P2837">
        <v>0.94438279999999997</v>
      </c>
      <c r="Q2837">
        <v>0.13889949999999901</v>
      </c>
      <c r="R2837">
        <v>-0.2980738</v>
      </c>
      <c r="S2837">
        <v>3.1517330000000001</v>
      </c>
      <c r="T2837">
        <v>-0.21133170000000001</v>
      </c>
      <c r="U2837">
        <v>-0.1967468</v>
      </c>
      <c r="V2837">
        <v>-0.18438399999999999</v>
      </c>
      <c r="W2837">
        <v>0.14727409999999999</v>
      </c>
      <c r="X2837">
        <v>0.97175769999999995</v>
      </c>
      <c r="Y2837">
        <v>-0.41128029999999999</v>
      </c>
      <c r="Z2837">
        <v>4.406057E-2</v>
      </c>
      <c r="AA2837">
        <v>0.91044340000000001</v>
      </c>
      <c r="AB2837">
        <v>30</v>
      </c>
      <c r="AC2837">
        <v>16.5962999999999</v>
      </c>
      <c r="AD2837">
        <v>-1.122511063346</v>
      </c>
      <c r="AE2837">
        <v>-0.97551999999999595</v>
      </c>
      <c r="AF2837">
        <v>-6.8924552825611798</v>
      </c>
      <c r="AG2837">
        <v>-1.122511063346</v>
      </c>
      <c r="AH2837">
        <v>15.045927684974</v>
      </c>
      <c r="AI2837">
        <v>93.880286246732098</v>
      </c>
      <c r="AJ2837">
        <v>114.612250679935</v>
      </c>
      <c r="AK2837">
        <v>16.5875227448497</v>
      </c>
      <c r="AL2837">
        <v>81.531011081747806</v>
      </c>
      <c r="AM2837">
        <v>100.743741862422</v>
      </c>
      <c r="AN2837">
        <v>1.0000000737480399</v>
      </c>
    </row>
    <row r="2838" spans="1:40" x14ac:dyDescent="0.3">
      <c r="A2838" t="str">
        <f>"20200111150905898"</f>
        <v>20200111150905898</v>
      </c>
      <c r="B2838" t="str">
        <f>"1578726545886721"</f>
        <v>1578726545886721</v>
      </c>
      <c r="C2838" t="s">
        <v>40</v>
      </c>
      <c r="D2838">
        <v>5.3401459999999998</v>
      </c>
      <c r="E2838">
        <v>0.40237719999999999</v>
      </c>
      <c r="F2838" t="s">
        <v>41</v>
      </c>
      <c r="G2838">
        <v>-288.15429999999998</v>
      </c>
      <c r="H2838">
        <v>1.0480499999999999</v>
      </c>
      <c r="I2838">
        <v>-62.935699999999997</v>
      </c>
      <c r="J2838">
        <v>-289.10489999999999</v>
      </c>
      <c r="K2838">
        <v>1.122509</v>
      </c>
      <c r="L2838">
        <v>-62.942500000000003</v>
      </c>
      <c r="M2838">
        <v>0.8870593</v>
      </c>
      <c r="N2838">
        <v>0</v>
      </c>
      <c r="O2838">
        <v>-0.46143210000000001</v>
      </c>
      <c r="P2838">
        <v>0.94662849999999998</v>
      </c>
      <c r="Q2838">
        <v>0.13880200000000001</v>
      </c>
      <c r="R2838">
        <v>-0.29090969999999999</v>
      </c>
      <c r="S2838">
        <v>3.1518860000000002</v>
      </c>
      <c r="T2838">
        <v>-0.21418429999999999</v>
      </c>
      <c r="U2838">
        <v>-0.1782532</v>
      </c>
      <c r="V2838">
        <v>-0.18337639999999999</v>
      </c>
      <c r="W2838">
        <v>0.14721319999999999</v>
      </c>
      <c r="X2838">
        <v>0.97195750000000003</v>
      </c>
      <c r="Y2838">
        <v>-0.40872700000000001</v>
      </c>
      <c r="Z2838">
        <v>4.4121199999999999E-2</v>
      </c>
      <c r="AA2838">
        <v>0.9115896</v>
      </c>
      <c r="AB2838">
        <v>30</v>
      </c>
      <c r="AC2838">
        <v>0.95060000000000799</v>
      </c>
      <c r="AD2838">
        <v>-7.4458999999999997E-2</v>
      </c>
      <c r="AE2838">
        <v>6.8000000000054597E-3</v>
      </c>
      <c r="AF2838">
        <v>-0.44200350947185801</v>
      </c>
      <c r="AG2838">
        <v>-7.4458999999999997E-2</v>
      </c>
      <c r="AH2838">
        <v>0.83506432346605697</v>
      </c>
      <c r="AI2838">
        <v>94.505993102942</v>
      </c>
      <c r="AJ2838">
        <v>117.892481440124</v>
      </c>
      <c r="AK2838">
        <v>0.94775717849682495</v>
      </c>
      <c r="AL2838">
        <v>81.534538269060505</v>
      </c>
      <c r="AM2838">
        <v>100.684240284325</v>
      </c>
      <c r="AN2838">
        <v>1.00000000606872</v>
      </c>
    </row>
    <row r="2839" spans="1:40" x14ac:dyDescent="0.3">
      <c r="A2839" t="str">
        <f>"20200111150905910"</f>
        <v>20200111150905910</v>
      </c>
      <c r="B2839" t="str">
        <f>"1578726545906242"</f>
        <v>1578726545906242</v>
      </c>
      <c r="C2839" t="s">
        <v>40</v>
      </c>
      <c r="D2839">
        <v>5.2747029999999997</v>
      </c>
      <c r="E2839">
        <v>0.4035107</v>
      </c>
      <c r="F2839" t="s">
        <v>43</v>
      </c>
      <c r="G2839">
        <v>-272.69900000000001</v>
      </c>
      <c r="H2839" s="1">
        <v>-1.064708E-6</v>
      </c>
      <c r="I2839">
        <v>-63.767989999999998</v>
      </c>
      <c r="J2839">
        <v>-288.9699</v>
      </c>
      <c r="K2839">
        <v>1.122503</v>
      </c>
      <c r="L2839">
        <v>-63.004300000000001</v>
      </c>
      <c r="M2839">
        <v>0.89070559999999999</v>
      </c>
      <c r="N2839">
        <v>0</v>
      </c>
      <c r="O2839">
        <v>-0.45435360000000002</v>
      </c>
      <c r="P2839">
        <v>0.94866170000000005</v>
      </c>
      <c r="Q2839">
        <v>0.13836019999999999</v>
      </c>
      <c r="R2839">
        <v>-0.28442399999999901</v>
      </c>
      <c r="S2839">
        <v>3.1520389999999998</v>
      </c>
      <c r="T2839">
        <v>-0.215666</v>
      </c>
      <c r="U2839">
        <v>-0.15859989999999999</v>
      </c>
      <c r="V2839">
        <v>-0.1823005</v>
      </c>
      <c r="W2839">
        <v>0.14681040000000001</v>
      </c>
      <c r="X2839">
        <v>0.9722208</v>
      </c>
      <c r="Y2839">
        <v>-0.4071246</v>
      </c>
      <c r="Z2839">
        <v>4.3952779999999997E-2</v>
      </c>
      <c r="AA2839">
        <v>0.91231450000000003</v>
      </c>
      <c r="AB2839">
        <v>30</v>
      </c>
      <c r="AC2839">
        <v>16.270899999999902</v>
      </c>
      <c r="AD2839">
        <v>-1.122504064708</v>
      </c>
      <c r="AE2839">
        <v>-0.76369000000000398</v>
      </c>
      <c r="AF2839">
        <v>-6.6814816903607399</v>
      </c>
      <c r="AG2839">
        <v>-1.122504064708</v>
      </c>
      <c r="AH2839">
        <v>14.7709518693772</v>
      </c>
      <c r="AI2839">
        <v>93.960829099678506</v>
      </c>
      <c r="AJ2839">
        <v>114.33910773504699</v>
      </c>
      <c r="AK2839">
        <v>16.250637897675499</v>
      </c>
      <c r="AL2839">
        <v>81.557870680228007</v>
      </c>
      <c r="AM2839">
        <v>100.62017335095901</v>
      </c>
      <c r="AN2839">
        <v>1.0000000249005201</v>
      </c>
    </row>
    <row r="2840" spans="1:40" x14ac:dyDescent="0.3">
      <c r="A2840" t="str">
        <f>"20200111150905921"</f>
        <v>20200111150905921</v>
      </c>
      <c r="B2840" t="str">
        <f>"1578726545916977"</f>
        <v>1578726545916977</v>
      </c>
      <c r="C2840" t="s">
        <v>40</v>
      </c>
      <c r="D2840">
        <v>5.243398</v>
      </c>
      <c r="E2840">
        <v>0.4035107</v>
      </c>
      <c r="F2840" t="s">
        <v>43</v>
      </c>
      <c r="G2840">
        <v>-272.7473</v>
      </c>
      <c r="H2840" s="1">
        <v>-1.0821749999999999E-6</v>
      </c>
      <c r="I2840">
        <v>-63.753390000000003</v>
      </c>
      <c r="J2840">
        <v>-288.83120000000002</v>
      </c>
      <c r="K2840">
        <v>1.1224989999999999</v>
      </c>
      <c r="L2840">
        <v>-63.067169999999997</v>
      </c>
      <c r="M2840">
        <v>0.89438530000000005</v>
      </c>
      <c r="N2840">
        <v>0</v>
      </c>
      <c r="O2840">
        <v>-0.44706649999999998</v>
      </c>
      <c r="P2840">
        <v>0.95065509999999998</v>
      </c>
      <c r="Q2840">
        <v>0.13757329999999901</v>
      </c>
      <c r="R2840">
        <v>-0.2780801</v>
      </c>
      <c r="S2840">
        <v>3.1505429999999999</v>
      </c>
      <c r="T2840">
        <v>-0.21799869999999999</v>
      </c>
      <c r="U2840">
        <v>-0.1454773</v>
      </c>
      <c r="V2840">
        <v>-0.18088019999999999</v>
      </c>
      <c r="W2840">
        <v>0.1460746</v>
      </c>
      <c r="X2840">
        <v>0.97259680000000004</v>
      </c>
      <c r="Y2840">
        <v>-0.40341850000000001</v>
      </c>
      <c r="Z2840">
        <v>4.3877220000000001E-2</v>
      </c>
      <c r="AA2840">
        <v>0.91396299999999997</v>
      </c>
      <c r="AB2840">
        <v>30</v>
      </c>
      <c r="AC2840">
        <v>16.0839</v>
      </c>
      <c r="AD2840">
        <v>-1.122500082175</v>
      </c>
      <c r="AE2840">
        <v>-0.68622000000000505</v>
      </c>
      <c r="AF2840">
        <v>-6.5456828654768699</v>
      </c>
      <c r="AG2840">
        <v>-1.122500082175</v>
      </c>
      <c r="AH2840">
        <v>14.6224149671057</v>
      </c>
      <c r="AI2840">
        <v>94.007927998808597</v>
      </c>
      <c r="AJ2840">
        <v>114.115541474206</v>
      </c>
      <c r="AK2840">
        <v>16.059918744505499</v>
      </c>
      <c r="AL2840">
        <v>81.6004880343922</v>
      </c>
      <c r="AM2840">
        <v>100.535309427437</v>
      </c>
      <c r="AN2840">
        <v>0.99999998544372004</v>
      </c>
    </row>
    <row r="2841" spans="1:40" x14ac:dyDescent="0.3">
      <c r="A2841" t="str">
        <f>"20200111150905945"</f>
        <v>20200111150905945</v>
      </c>
      <c r="B2841" t="str">
        <f>"1578726545936498"</f>
        <v>1578726545936498</v>
      </c>
      <c r="C2841" t="s">
        <v>40</v>
      </c>
      <c r="D2841">
        <v>5.446491</v>
      </c>
      <c r="E2841">
        <v>0.43929550000000001</v>
      </c>
      <c r="F2841" t="s">
        <v>41</v>
      </c>
      <c r="G2841">
        <v>-287.72899999999998</v>
      </c>
      <c r="H2841">
        <v>1.0456970000000001</v>
      </c>
      <c r="I2841">
        <v>-63.110329999999998</v>
      </c>
      <c r="J2841">
        <v>-288.54719999999998</v>
      </c>
      <c r="K2841">
        <v>1.1224769999999999</v>
      </c>
      <c r="L2841">
        <v>-63.190769999999901</v>
      </c>
      <c r="M2841">
        <v>0.90167870000000006</v>
      </c>
      <c r="N2841">
        <v>0</v>
      </c>
      <c r="O2841">
        <v>-0.43216840000000001</v>
      </c>
      <c r="P2841">
        <v>0.95452919999999997</v>
      </c>
      <c r="Q2841">
        <v>0.13766229999999999</v>
      </c>
      <c r="R2841">
        <v>-0.26442959999999999</v>
      </c>
      <c r="S2841">
        <v>3.1513369999999998</v>
      </c>
      <c r="T2841">
        <v>-0.21959790000000001</v>
      </c>
      <c r="U2841">
        <v>-0.12362670000000001</v>
      </c>
      <c r="V2841">
        <v>-0.17866860000000001</v>
      </c>
      <c r="W2841">
        <v>0.1462435</v>
      </c>
      <c r="X2841">
        <v>0.97298010000000001</v>
      </c>
      <c r="Y2841">
        <v>-0.394592</v>
      </c>
      <c r="Z2841">
        <v>4.2956199999999903E-2</v>
      </c>
      <c r="AA2841">
        <v>0.91785170000000005</v>
      </c>
      <c r="AB2841">
        <v>30</v>
      </c>
      <c r="AC2841">
        <v>0.81819999999993298</v>
      </c>
      <c r="AD2841">
        <v>-7.6780000000000001E-2</v>
      </c>
      <c r="AE2841">
        <v>8.0439999999988701E-2</v>
      </c>
      <c r="AF2841">
        <v>-0.42249029525811799</v>
      </c>
      <c r="AG2841">
        <v>-7.6780000000000001E-2</v>
      </c>
      <c r="AH2841">
        <v>0.69698344314133598</v>
      </c>
      <c r="AI2841">
        <v>95.381632738814204</v>
      </c>
      <c r="AJ2841">
        <v>121.22297706256499</v>
      </c>
      <c r="AK2841">
        <v>0.81864469582380095</v>
      </c>
      <c r="AL2841">
        <v>81.590705446480001</v>
      </c>
      <c r="AM2841">
        <v>100.40531701501899</v>
      </c>
      <c r="AN2841">
        <v>0.99999995245710804</v>
      </c>
    </row>
    <row r="2842" spans="1:40" x14ac:dyDescent="0.3">
      <c r="A2842" t="str">
        <f>"20200111150905956"</f>
        <v>20200111150905956</v>
      </c>
      <c r="B2842" t="str">
        <f>"1578726545946257"</f>
        <v>1578726545946257</v>
      </c>
      <c r="C2842" t="s">
        <v>40</v>
      </c>
      <c r="D2842">
        <v>5.3904860000000001</v>
      </c>
      <c r="E2842">
        <v>0.44617610000000002</v>
      </c>
      <c r="F2842" t="s">
        <v>49</v>
      </c>
      <c r="G2842">
        <v>0</v>
      </c>
      <c r="H2842">
        <v>0</v>
      </c>
      <c r="I2842">
        <v>0</v>
      </c>
      <c r="J2842">
        <v>-288.41090000000003</v>
      </c>
      <c r="K2842">
        <v>1.122465</v>
      </c>
      <c r="L2842">
        <v>-63.248469999999998</v>
      </c>
      <c r="M2842">
        <v>0.90507559999999998</v>
      </c>
      <c r="N2842">
        <v>0</v>
      </c>
      <c r="O2842">
        <v>-0.42500840000000001</v>
      </c>
      <c r="P2842">
        <v>0.95643630000000002</v>
      </c>
      <c r="Q2842">
        <v>0.138261299999999</v>
      </c>
      <c r="R2842">
        <v>-0.2571254</v>
      </c>
      <c r="S2842">
        <v>3.0460509999999998</v>
      </c>
      <c r="T2842">
        <v>1.2436869999999999E-2</v>
      </c>
      <c r="U2842">
        <v>-0.34329219999999999</v>
      </c>
      <c r="V2842">
        <v>-0.17837159999999999</v>
      </c>
      <c r="W2842">
        <v>0.14685479999999901</v>
      </c>
      <c r="X2842">
        <v>0.97294259999999999</v>
      </c>
      <c r="Y2842">
        <v>-0.32100089999999998</v>
      </c>
      <c r="Z2842">
        <v>-2.3299979999999998E-3</v>
      </c>
      <c r="AA2842">
        <v>0.94707600000000003</v>
      </c>
      <c r="AB2842">
        <v>30</v>
      </c>
      <c r="AC2842">
        <v>3.0460509999999998</v>
      </c>
      <c r="AD2842">
        <v>1.2436869999999999E-2</v>
      </c>
      <c r="AE2842">
        <v>-0.34329219999999999</v>
      </c>
      <c r="AF2842">
        <v>-0.98397703579707096</v>
      </c>
      <c r="AG2842">
        <v>1.2436869999999999E-2</v>
      </c>
      <c r="AH2842">
        <v>2.9030597786427701</v>
      </c>
      <c r="AI2842">
        <v>89.767533377756607</v>
      </c>
      <c r="AJ2842">
        <v>108.72382244086199</v>
      </c>
      <c r="AK2842">
        <v>3.0653093744489799</v>
      </c>
      <c r="AL2842">
        <v>81.555298928336697</v>
      </c>
      <c r="AM2842">
        <v>100.388788876671</v>
      </c>
      <c r="AN2842">
        <v>1.00000003143217</v>
      </c>
    </row>
    <row r="2843" spans="1:40" x14ac:dyDescent="0.3">
      <c r="A2843" t="str">
        <f>"20200111150905966"</f>
        <v>20200111150905966</v>
      </c>
      <c r="B2843" t="str">
        <f>"1578726545956993"</f>
        <v>1578726545956993</v>
      </c>
      <c r="C2843" t="s">
        <v>40</v>
      </c>
      <c r="D2843">
        <v>5.2987929999999999</v>
      </c>
      <c r="E2843">
        <v>0.44960230000000001</v>
      </c>
      <c r="F2843" t="s">
        <v>60</v>
      </c>
      <c r="G2843">
        <v>243.80719999999999</v>
      </c>
      <c r="H2843">
        <v>-0.1</v>
      </c>
      <c r="I2843">
        <v>-128.80240000000001</v>
      </c>
      <c r="J2843">
        <v>-288.28489999999999</v>
      </c>
      <c r="K2843">
        <v>1.122452</v>
      </c>
      <c r="L2843">
        <v>-63.300229999999999</v>
      </c>
      <c r="M2843">
        <v>0.90814640000000002</v>
      </c>
      <c r="N2843">
        <v>0</v>
      </c>
      <c r="O2843">
        <v>-0.41840680000000002</v>
      </c>
      <c r="P2843">
        <v>0.9581423</v>
      </c>
      <c r="Q2843">
        <v>0.13882359999999999</v>
      </c>
      <c r="R2843">
        <v>-0.25038139999999998</v>
      </c>
      <c r="S2843">
        <v>3.0371090000000001</v>
      </c>
      <c r="T2843">
        <v>-6.9760079999999997E-3</v>
      </c>
      <c r="U2843">
        <v>-0.37408449999999999</v>
      </c>
      <c r="V2843">
        <v>-0.17811969999999999</v>
      </c>
      <c r="W2843">
        <v>0.14742739999999999</v>
      </c>
      <c r="X2843">
        <v>0.97290209999999999</v>
      </c>
      <c r="Y2843">
        <v>-0.30427959999999998</v>
      </c>
      <c r="Z2843">
        <v>1.276594E-3</v>
      </c>
      <c r="AA2843">
        <v>0.95258189999999998</v>
      </c>
      <c r="AB2843">
        <v>30</v>
      </c>
      <c r="AC2843">
        <v>532.09209999999996</v>
      </c>
      <c r="AD2843">
        <v>-1.2224520000000001</v>
      </c>
      <c r="AE2843">
        <v>-65.502169999999893</v>
      </c>
      <c r="AF2843">
        <v>-163.161340266645</v>
      </c>
      <c r="AG2843">
        <v>-1.2224520000000001</v>
      </c>
      <c r="AH2843">
        <v>510.67399135361802</v>
      </c>
      <c r="AI2843">
        <v>90.1306481002255</v>
      </c>
      <c r="AJ2843">
        <v>107.718782824136</v>
      </c>
      <c r="AK2843">
        <v>536.10730529581099</v>
      </c>
      <c r="AL2843">
        <v>81.522129911711801</v>
      </c>
      <c r="AM2843">
        <v>100.374858899432</v>
      </c>
      <c r="AN2843">
        <v>0.99999998099162901</v>
      </c>
    </row>
    <row r="2844" spans="1:40" x14ac:dyDescent="0.3">
      <c r="A2844" t="str">
        <f>"20200111150905977"</f>
        <v>20200111150905977</v>
      </c>
      <c r="B2844" t="str">
        <f>"1578726545966752"</f>
        <v>1578726545966752</v>
      </c>
      <c r="C2844" t="s">
        <v>40</v>
      </c>
      <c r="D2844">
        <v>5.3075210000000004</v>
      </c>
      <c r="E2844">
        <v>0.45141239999999999</v>
      </c>
      <c r="F2844" t="s">
        <v>60</v>
      </c>
      <c r="G2844">
        <v>-41.287170000000003</v>
      </c>
      <c r="H2844">
        <v>-0.1</v>
      </c>
      <c r="I2844">
        <v>-94.236760000000004</v>
      </c>
      <c r="J2844">
        <v>-288.15010000000001</v>
      </c>
      <c r="K2844">
        <v>1.122439</v>
      </c>
      <c r="L2844">
        <v>-63.355069999999998</v>
      </c>
      <c r="M2844">
        <v>0.9113734</v>
      </c>
      <c r="N2844">
        <v>0</v>
      </c>
      <c r="O2844">
        <v>-0.41133049999999999</v>
      </c>
      <c r="P2844">
        <v>0.9600223</v>
      </c>
      <c r="Q2844">
        <v>0.13891149999999999</v>
      </c>
      <c r="R2844">
        <v>-0.24302470000000001</v>
      </c>
      <c r="S2844">
        <v>3.0339659999999999</v>
      </c>
      <c r="T2844">
        <v>-1.5015840000000001E-2</v>
      </c>
      <c r="U2844">
        <v>-0.38000489999999998</v>
      </c>
      <c r="V2844">
        <v>-0.1780072</v>
      </c>
      <c r="W2844">
        <v>0.14752309999999999</v>
      </c>
      <c r="X2844">
        <v>0.9729082</v>
      </c>
      <c r="Y2844">
        <v>-0.29489900000000002</v>
      </c>
      <c r="Z2844">
        <v>2.6951919999999999E-3</v>
      </c>
      <c r="AA2844">
        <v>0.95552459999999995</v>
      </c>
      <c r="AB2844">
        <v>30</v>
      </c>
      <c r="AC2844">
        <v>246.86292999999901</v>
      </c>
      <c r="AD2844">
        <v>-1.2224389999999901</v>
      </c>
      <c r="AE2844">
        <v>-30.881689999999999</v>
      </c>
      <c r="AF2844">
        <v>-73.403281178200402</v>
      </c>
      <c r="AG2844">
        <v>-1.2224389999999901</v>
      </c>
      <c r="AH2844">
        <v>237.70560509110999</v>
      </c>
      <c r="AI2844">
        <v>90.281532857512204</v>
      </c>
      <c r="AJ2844">
        <v>107.160641898975</v>
      </c>
      <c r="AK2844">
        <v>248.78402427922401</v>
      </c>
      <c r="AL2844">
        <v>81.516586224362001</v>
      </c>
      <c r="AM2844">
        <v>100.36838473108401</v>
      </c>
      <c r="AN2844">
        <v>0.99999999695634501</v>
      </c>
    </row>
    <row r="2845" spans="1:40" x14ac:dyDescent="0.3">
      <c r="A2845" t="str">
        <f>"20200111150905990"</f>
        <v>20200111150905990</v>
      </c>
      <c r="B2845" t="str">
        <f>"1578726545986273"</f>
        <v>1578726545986273</v>
      </c>
      <c r="C2845" t="s">
        <v>40</v>
      </c>
      <c r="D2845">
        <v>5.2455030000000002</v>
      </c>
      <c r="E2845">
        <v>0.45512900000000001</v>
      </c>
      <c r="F2845" t="s">
        <v>104</v>
      </c>
      <c r="G2845">
        <v>-232.5264</v>
      </c>
      <c r="H2845" s="1">
        <v>-2.4716939999999998E-6</v>
      </c>
      <c r="I2845">
        <v>-70.180989999999994</v>
      </c>
      <c r="J2845">
        <v>-288.00889999999998</v>
      </c>
      <c r="K2845">
        <v>1.1224190000000001</v>
      </c>
      <c r="L2845">
        <v>-63.41046</v>
      </c>
      <c r="M2845">
        <v>0.9146706</v>
      </c>
      <c r="N2845">
        <v>0</v>
      </c>
      <c r="O2845">
        <v>-0.40394530000000001</v>
      </c>
      <c r="P2845">
        <v>0.96202989999999999</v>
      </c>
      <c r="Q2845">
        <v>0.13876930000000001</v>
      </c>
      <c r="R2845">
        <v>-0.23503450000000001</v>
      </c>
      <c r="S2845">
        <v>3.0393979999999998</v>
      </c>
      <c r="T2845">
        <v>-6.1332579999999998E-2</v>
      </c>
      <c r="U2845">
        <v>-0.37298579999999998</v>
      </c>
      <c r="V2845">
        <v>-0.17822399999999999</v>
      </c>
      <c r="W2845">
        <v>0.14737879999999901</v>
      </c>
      <c r="X2845">
        <v>0.97289040000000004</v>
      </c>
      <c r="Y2845">
        <v>-0.28942380000000001</v>
      </c>
      <c r="Z2845">
        <v>1.0799649999999999E-2</v>
      </c>
      <c r="AA2845">
        <v>0.95714010000000005</v>
      </c>
      <c r="AB2845">
        <v>30</v>
      </c>
      <c r="AC2845">
        <v>55.482499999999902</v>
      </c>
      <c r="AD2845">
        <v>-1.122421471694</v>
      </c>
      <c r="AE2845">
        <v>-6.7705299999999999</v>
      </c>
      <c r="AF2845">
        <v>-16.2142218117081</v>
      </c>
      <c r="AG2845">
        <v>-1.122421471694</v>
      </c>
      <c r="AH2845">
        <v>53.467081060523398</v>
      </c>
      <c r="AI2845">
        <v>91.150878532390294</v>
      </c>
      <c r="AJ2845">
        <v>106.87025043211599</v>
      </c>
      <c r="AK2845">
        <v>55.882820043837903</v>
      </c>
      <c r="AL2845">
        <v>81.524945552755099</v>
      </c>
      <c r="AM2845">
        <v>100.380924100717</v>
      </c>
      <c r="AN2845">
        <v>1.00000001763879</v>
      </c>
    </row>
    <row r="2846" spans="1:40" x14ac:dyDescent="0.3">
      <c r="A2846" t="str">
        <f>"20200111150906002"</f>
        <v>20200111150906002</v>
      </c>
      <c r="B2846" t="str">
        <f>"1578726545997009"</f>
        <v>1578726545997009</v>
      </c>
      <c r="C2846" t="s">
        <v>40</v>
      </c>
      <c r="D2846">
        <v>5.2160669999999998</v>
      </c>
      <c r="E2846">
        <v>0.45653310000000002</v>
      </c>
      <c r="F2846" t="s">
        <v>105</v>
      </c>
      <c r="G2846">
        <v>-241.72839999999999</v>
      </c>
      <c r="H2846" s="1">
        <v>-2.018536E-6</v>
      </c>
      <c r="I2846">
        <v>-69.157269999999997</v>
      </c>
      <c r="J2846">
        <v>-287.86430000000001</v>
      </c>
      <c r="K2846">
        <v>1.122398</v>
      </c>
      <c r="L2846">
        <v>-63.466459999999998</v>
      </c>
      <c r="M2846">
        <v>0.91797459999999997</v>
      </c>
      <c r="N2846">
        <v>0</v>
      </c>
      <c r="O2846">
        <v>-0.39638000000000001</v>
      </c>
      <c r="P2846">
        <v>0.96389630000000004</v>
      </c>
      <c r="Q2846">
        <v>0.13811889999999999</v>
      </c>
      <c r="R2846">
        <v>-0.2276569</v>
      </c>
      <c r="S2846">
        <v>3.036896</v>
      </c>
      <c r="T2846">
        <v>-7.3652510000000004E-2</v>
      </c>
      <c r="U2846">
        <v>-0.37710569999999999</v>
      </c>
      <c r="V2846">
        <v>-0.17765520000000001</v>
      </c>
      <c r="W2846">
        <v>0.14675339999999901</v>
      </c>
      <c r="X2846">
        <v>0.97308890000000003</v>
      </c>
      <c r="Y2846">
        <v>-0.28007860000000001</v>
      </c>
      <c r="Z2846">
        <v>1.269649E-2</v>
      </c>
      <c r="AA2846">
        <v>0.95989310000000005</v>
      </c>
      <c r="AB2846">
        <v>30</v>
      </c>
      <c r="AC2846">
        <v>46.135899999999999</v>
      </c>
      <c r="AD2846">
        <v>-1.1224000185359999</v>
      </c>
      <c r="AE2846">
        <v>-5.6908099999999902</v>
      </c>
      <c r="AF2846">
        <v>-13.0570595601782</v>
      </c>
      <c r="AG2846">
        <v>-1.1224000185359999</v>
      </c>
      <c r="AH2846">
        <v>44.5858993506357</v>
      </c>
      <c r="AI2846">
        <v>91.383951727999502</v>
      </c>
      <c r="AJ2846">
        <v>106.322762724911</v>
      </c>
      <c r="AK2846">
        <v>46.472023918317497</v>
      </c>
      <c r="AL2846">
        <v>81.561171823796201</v>
      </c>
      <c r="AM2846">
        <v>100.346445045338</v>
      </c>
      <c r="AN2846">
        <v>0.99999996890090403</v>
      </c>
    </row>
    <row r="2847" spans="1:40" x14ac:dyDescent="0.3">
      <c r="A2847" t="str">
        <f>"20200111150906013"</f>
        <v>20200111150906013</v>
      </c>
      <c r="B2847" t="str">
        <f>"1578726546006769"</f>
        <v>1578726546006769</v>
      </c>
      <c r="C2847" t="s">
        <v>40</v>
      </c>
      <c r="D2847">
        <v>5.2544240000000002</v>
      </c>
      <c r="E2847">
        <v>0.45718160000000002</v>
      </c>
      <c r="F2847" t="s">
        <v>104</v>
      </c>
      <c r="G2847">
        <v>-238.8921</v>
      </c>
      <c r="H2847" s="1">
        <v>-4.489309E-6</v>
      </c>
      <c r="I2847">
        <v>-69.34299</v>
      </c>
      <c r="J2847">
        <v>-287.7115</v>
      </c>
      <c r="K2847">
        <v>1.1223669999999999</v>
      </c>
      <c r="L2847">
        <v>-63.523739999999997</v>
      </c>
      <c r="M2847">
        <v>0.92137729999999995</v>
      </c>
      <c r="N2847">
        <v>0</v>
      </c>
      <c r="O2847">
        <v>-0.38840469999999999</v>
      </c>
      <c r="P2847">
        <v>0.96580739999999998</v>
      </c>
      <c r="Q2847">
        <v>0.1372264</v>
      </c>
      <c r="R2847">
        <v>-0.2199651</v>
      </c>
      <c r="S2847">
        <v>3.0362849999999999</v>
      </c>
      <c r="T2847">
        <v>-6.9589020000000001E-2</v>
      </c>
      <c r="U2847">
        <v>-0.36434939999999999</v>
      </c>
      <c r="V2847">
        <v>-0.17698610000000001</v>
      </c>
      <c r="W2847">
        <v>0.14589009999999999</v>
      </c>
      <c r="X2847">
        <v>0.9733406</v>
      </c>
      <c r="Y2847">
        <v>-0.27572439999999998</v>
      </c>
      <c r="Z2847">
        <v>1.1785759999999999E-2</v>
      </c>
      <c r="AA2847">
        <v>0.96116449999999998</v>
      </c>
      <c r="AB2847">
        <v>30</v>
      </c>
      <c r="AC2847">
        <v>48.819400000000002</v>
      </c>
      <c r="AD2847">
        <v>-1.122371489309</v>
      </c>
      <c r="AE2847">
        <v>-5.8192499999999896</v>
      </c>
      <c r="AF2847">
        <v>-13.5942736289573</v>
      </c>
      <c r="AG2847">
        <v>-1.122371489309</v>
      </c>
      <c r="AH2847">
        <v>47.221560160950098</v>
      </c>
      <c r="AI2847">
        <v>91.308440441125299</v>
      </c>
      <c r="AJ2847">
        <v>106.06019810077601</v>
      </c>
      <c r="AK2847">
        <v>49.152209892264302</v>
      </c>
      <c r="AL2847">
        <v>81.611173381978304</v>
      </c>
      <c r="AM2847">
        <v>100.305705849606</v>
      </c>
      <c r="AN2847">
        <v>0.99999996223978904</v>
      </c>
    </row>
    <row r="2848" spans="1:40" x14ac:dyDescent="0.3">
      <c r="A2848" t="str">
        <f>"20200111150906029"</f>
        <v>20200111150906029</v>
      </c>
      <c r="B2848" t="str">
        <f>"1578726546026288"</f>
        <v>1578726546026288</v>
      </c>
      <c r="C2848" t="s">
        <v>40</v>
      </c>
      <c r="D2848">
        <v>5.3535110000000001</v>
      </c>
      <c r="E2848">
        <v>0.45813890000000002</v>
      </c>
      <c r="F2848" t="s">
        <v>104</v>
      </c>
      <c r="G2848">
        <v>-236.60820000000001</v>
      </c>
      <c r="H2848" s="1">
        <v>-3.7091289999999999E-6</v>
      </c>
      <c r="I2848">
        <v>-69.326210000000003</v>
      </c>
      <c r="J2848">
        <v>-287.53919999999999</v>
      </c>
      <c r="K2848">
        <v>1.1223240000000001</v>
      </c>
      <c r="L2848">
        <v>-63.586669999999998</v>
      </c>
      <c r="M2848">
        <v>0.92511169999999998</v>
      </c>
      <c r="N2848">
        <v>0</v>
      </c>
      <c r="O2848">
        <v>-0.3794245</v>
      </c>
      <c r="P2848">
        <v>0.96773810000000005</v>
      </c>
      <c r="Q2848">
        <v>0.13467509999999999</v>
      </c>
      <c r="R2848">
        <v>-0.21294560000000001</v>
      </c>
      <c r="S2848">
        <v>3.0371090000000001</v>
      </c>
      <c r="T2848">
        <v>-6.6703319999999997E-2</v>
      </c>
      <c r="U2848">
        <v>-0.34484860000000001</v>
      </c>
      <c r="V2848">
        <v>-0.1746306</v>
      </c>
      <c r="W2848">
        <v>0.14342669999999999</v>
      </c>
      <c r="X2848">
        <v>0.97413190000000005</v>
      </c>
      <c r="Y2848">
        <v>-0.2725089</v>
      </c>
      <c r="Z2848">
        <v>1.1083580000000001E-2</v>
      </c>
      <c r="AA2848">
        <v>0.96208939999999998</v>
      </c>
      <c r="AB2848">
        <v>30</v>
      </c>
      <c r="AC2848">
        <v>50.930999999999898</v>
      </c>
      <c r="AD2848">
        <v>-1.12232770912899</v>
      </c>
      <c r="AE2848">
        <v>-5.7395399999999999</v>
      </c>
      <c r="AF2848">
        <v>-14.009475447105601</v>
      </c>
      <c r="AG2848">
        <v>-1.12232770912899</v>
      </c>
      <c r="AH2848">
        <v>49.276021044356703</v>
      </c>
      <c r="AI2848">
        <v>91.255042769831604</v>
      </c>
      <c r="AJ2848">
        <v>105.87077661625</v>
      </c>
      <c r="AK2848">
        <v>51.2411091971438</v>
      </c>
      <c r="AL2848">
        <v>81.753816626269995</v>
      </c>
      <c r="AM2848">
        <v>100.163339845886</v>
      </c>
      <c r="AN2848">
        <v>1.00000001166343</v>
      </c>
    </row>
    <row r="2849" spans="1:40" x14ac:dyDescent="0.3">
      <c r="A2849" t="str">
        <f>"20200111150906040"</f>
        <v>20200111150906040</v>
      </c>
      <c r="B2849" t="str">
        <f>"1578726546037024"</f>
        <v>1578726546037024</v>
      </c>
      <c r="C2849" t="s">
        <v>40</v>
      </c>
      <c r="D2849">
        <v>5.3356729999999999</v>
      </c>
      <c r="E2849">
        <v>0.45905299999999999</v>
      </c>
      <c r="F2849" t="s">
        <v>106</v>
      </c>
      <c r="G2849">
        <v>-256.2867</v>
      </c>
      <c r="H2849" s="1">
        <v>-3.0456609999999999E-6</v>
      </c>
      <c r="I2849">
        <v>-66.990650000000002</v>
      </c>
      <c r="J2849">
        <v>-287.38440000000003</v>
      </c>
      <c r="K2849">
        <v>1.122295</v>
      </c>
      <c r="L2849">
        <v>-63.641969999999901</v>
      </c>
      <c r="M2849">
        <v>0.92837519999999996</v>
      </c>
      <c r="N2849">
        <v>0</v>
      </c>
      <c r="O2849">
        <v>-0.37136809999999998</v>
      </c>
      <c r="P2849">
        <v>0.96939690000000001</v>
      </c>
      <c r="Q2849">
        <v>0.13359089999999901</v>
      </c>
      <c r="R2849">
        <v>-0.20596970000000001</v>
      </c>
      <c r="S2849">
        <v>3.0422669999999998</v>
      </c>
      <c r="T2849">
        <v>-0.109253</v>
      </c>
      <c r="U2849">
        <v>-0.33135989999999999</v>
      </c>
      <c r="V2849">
        <v>-0.1731876</v>
      </c>
      <c r="W2849">
        <v>0.14239789999999999</v>
      </c>
      <c r="X2849">
        <v>0.97454039999999997</v>
      </c>
      <c r="Y2849">
        <v>-0.26829449999999999</v>
      </c>
      <c r="Z2849">
        <v>1.7783139999999999E-2</v>
      </c>
      <c r="AA2849">
        <v>0.96317280000000005</v>
      </c>
      <c r="AB2849">
        <v>30</v>
      </c>
      <c r="AC2849">
        <v>31.0977</v>
      </c>
      <c r="AD2849">
        <v>-1.1222980456610001</v>
      </c>
      <c r="AE2849">
        <v>-3.3486799999999999</v>
      </c>
      <c r="AF2849">
        <v>-8.4298748489017292</v>
      </c>
      <c r="AG2849">
        <v>-1.1222980456610001</v>
      </c>
      <c r="AH2849">
        <v>30.0782905765363</v>
      </c>
      <c r="AI2849">
        <v>92.057648351689096</v>
      </c>
      <c r="AJ2849">
        <v>105.656294550383</v>
      </c>
      <c r="AK2849">
        <v>31.257413630657201</v>
      </c>
      <c r="AL2849">
        <v>81.8133741677198</v>
      </c>
      <c r="AM2849">
        <v>100.07694897647001</v>
      </c>
      <c r="AN2849">
        <v>1.0000000489751599</v>
      </c>
    </row>
    <row r="2850" spans="1:40" x14ac:dyDescent="0.3">
      <c r="A2850" t="str">
        <f>"20200111150906052"</f>
        <v>20200111150906052</v>
      </c>
      <c r="B2850" t="str">
        <f>"1578726546046785"</f>
        <v>1578726546046785</v>
      </c>
      <c r="C2850" t="s">
        <v>40</v>
      </c>
      <c r="D2850">
        <v>5.3243410000000004</v>
      </c>
      <c r="E2850">
        <v>0.45977879999999899</v>
      </c>
      <c r="F2850" t="s">
        <v>107</v>
      </c>
      <c r="G2850">
        <v>-260.52820000000003</v>
      </c>
      <c r="H2850" s="1">
        <v>-8.4299939999999996E-7</v>
      </c>
      <c r="I2850">
        <v>-66.438850000000002</v>
      </c>
      <c r="J2850">
        <v>-287.23739999999998</v>
      </c>
      <c r="K2850">
        <v>1.122263</v>
      </c>
      <c r="L2850">
        <v>-63.692540000000001</v>
      </c>
      <c r="M2850">
        <v>0.93138589999999999</v>
      </c>
      <c r="N2850">
        <v>0</v>
      </c>
      <c r="O2850">
        <v>-0.36375160000000001</v>
      </c>
      <c r="P2850">
        <v>0.97076980000000002</v>
      </c>
      <c r="Q2850">
        <v>0.1328849</v>
      </c>
      <c r="R2850">
        <v>-0.19986870000000001</v>
      </c>
      <c r="S2850">
        <v>3.044861</v>
      </c>
      <c r="T2850">
        <v>-0.1272421</v>
      </c>
      <c r="U2850">
        <v>-0.31710820000000001</v>
      </c>
      <c r="V2850">
        <v>-0.17133319999999999</v>
      </c>
      <c r="W2850">
        <v>0.14175979999999999</v>
      </c>
      <c r="X2850">
        <v>0.97496110000000002</v>
      </c>
      <c r="Y2850">
        <v>-0.26481779999999999</v>
      </c>
      <c r="Z2850">
        <v>2.0331129999999999E-2</v>
      </c>
      <c r="AA2850">
        <v>0.9640841</v>
      </c>
      <c r="AB2850">
        <v>30</v>
      </c>
      <c r="AC2850">
        <v>26.7091999999999</v>
      </c>
      <c r="AD2850">
        <v>-1.1222638429993901</v>
      </c>
      <c r="AE2850">
        <v>-2.7463099999999998</v>
      </c>
      <c r="AF2850">
        <v>-7.1458897828179797</v>
      </c>
      <c r="AG2850">
        <v>-1.1222638429993901</v>
      </c>
      <c r="AH2850">
        <v>25.833069424510299</v>
      </c>
      <c r="AI2850">
        <v>92.397603979240699</v>
      </c>
      <c r="AJ2850">
        <v>105.462397683983</v>
      </c>
      <c r="AK2850">
        <v>26.826678751069</v>
      </c>
      <c r="AL2850">
        <v>81.850309112588405</v>
      </c>
      <c r="AM2850">
        <v>99.967010851231805</v>
      </c>
      <c r="AN2850">
        <v>1.00000002641574</v>
      </c>
    </row>
    <row r="2851" spans="1:40" x14ac:dyDescent="0.3">
      <c r="A2851" t="str">
        <f>"20200111150906063"</f>
        <v>20200111150906063</v>
      </c>
      <c r="B2851" t="str">
        <f>"1578726546056544"</f>
        <v>1578726546056544</v>
      </c>
      <c r="C2851" t="s">
        <v>40</v>
      </c>
      <c r="D2851">
        <v>5.3415509999999999</v>
      </c>
      <c r="E2851">
        <v>0.460559</v>
      </c>
      <c r="F2851" t="s">
        <v>43</v>
      </c>
      <c r="G2851">
        <v>-263.7747</v>
      </c>
      <c r="H2851" s="1">
        <v>-2.1280530000000002E-6</v>
      </c>
      <c r="I2851">
        <v>-66.034139999999994</v>
      </c>
      <c r="J2851">
        <v>-287.11200000000002</v>
      </c>
      <c r="K2851">
        <v>1.1222399999999999</v>
      </c>
      <c r="L2851">
        <v>-63.735019999999999</v>
      </c>
      <c r="M2851">
        <v>0.93389529999999998</v>
      </c>
      <c r="N2851">
        <v>0</v>
      </c>
      <c r="O2851">
        <v>-0.35726000000000002</v>
      </c>
      <c r="P2851">
        <v>0.9717365</v>
      </c>
      <c r="Q2851">
        <v>0.1324737</v>
      </c>
      <c r="R2851">
        <v>-0.1953935</v>
      </c>
      <c r="S2851">
        <v>3.0476679999999998</v>
      </c>
      <c r="T2851">
        <v>-0.14577560000000001</v>
      </c>
      <c r="U2851">
        <v>-0.30416870000000001</v>
      </c>
      <c r="V2851">
        <v>-0.16903260000000001</v>
      </c>
      <c r="W2851">
        <v>0.14143029999999901</v>
      </c>
      <c r="X2851">
        <v>0.97541040000000001</v>
      </c>
      <c r="Y2851">
        <v>-0.2620941</v>
      </c>
      <c r="Z2851">
        <v>2.292143E-2</v>
      </c>
      <c r="AA2851">
        <v>0.96477009999999996</v>
      </c>
      <c r="AB2851">
        <v>30</v>
      </c>
      <c r="AC2851">
        <v>23.337299999999999</v>
      </c>
      <c r="AD2851">
        <v>-1.1222421280529999</v>
      </c>
      <c r="AE2851">
        <v>-2.2991199999999998</v>
      </c>
      <c r="AF2851">
        <v>-6.1768343057835198</v>
      </c>
      <c r="AG2851">
        <v>-1.1222421280529999</v>
      </c>
      <c r="AH2851">
        <v>22.566612815926302</v>
      </c>
      <c r="AI2851">
        <v>92.746135552471401</v>
      </c>
      <c r="AJ2851">
        <v>105.30781292082</v>
      </c>
      <c r="AK2851">
        <v>23.423593307155301</v>
      </c>
      <c r="AL2851">
        <v>81.869379995101298</v>
      </c>
      <c r="AM2851">
        <v>99.831366363394906</v>
      </c>
      <c r="AN2851">
        <v>0.99999999902450498</v>
      </c>
    </row>
    <row r="2852" spans="1:40" x14ac:dyDescent="0.3">
      <c r="A2852" t="str">
        <f>"20200111150906074"</f>
        <v>20200111150906074</v>
      </c>
      <c r="B2852" t="str">
        <f>"1578726546067280"</f>
        <v>1578726546067280</v>
      </c>
      <c r="C2852" t="s">
        <v>40</v>
      </c>
      <c r="D2852">
        <v>5.3178749999999999</v>
      </c>
      <c r="E2852">
        <v>0.4611769</v>
      </c>
      <c r="F2852" t="s">
        <v>43</v>
      </c>
      <c r="G2852">
        <v>-265.95389999999998</v>
      </c>
      <c r="H2852" s="1">
        <v>-2.8741920000000001E-6</v>
      </c>
      <c r="I2852">
        <v>-65.793559999999999</v>
      </c>
      <c r="J2852">
        <v>-286.97329999999999</v>
      </c>
      <c r="K2852">
        <v>1.122206</v>
      </c>
      <c r="L2852">
        <v>-63.780639999999998</v>
      </c>
      <c r="M2852">
        <v>0.93660140000000003</v>
      </c>
      <c r="N2852">
        <v>0</v>
      </c>
      <c r="O2852">
        <v>-0.35010479999999999</v>
      </c>
      <c r="P2852">
        <v>0.97278869999999895</v>
      </c>
      <c r="Q2852">
        <v>0.13227369999999999</v>
      </c>
      <c r="R2852">
        <v>-0.19022639999999999</v>
      </c>
      <c r="S2852">
        <v>3.0496829999999999</v>
      </c>
      <c r="T2852">
        <v>-0.16175699999999901</v>
      </c>
      <c r="U2852">
        <v>-0.2967224</v>
      </c>
      <c r="V2852">
        <v>-0.1667411</v>
      </c>
      <c r="W2852">
        <v>0.14131089999999999</v>
      </c>
      <c r="X2852">
        <v>0.97582199999999997</v>
      </c>
      <c r="Y2852">
        <v>-0.25696400000000003</v>
      </c>
      <c r="Z2852">
        <v>2.492834E-2</v>
      </c>
      <c r="AA2852">
        <v>0.96609940000000005</v>
      </c>
      <c r="AB2852">
        <v>30</v>
      </c>
      <c r="AC2852">
        <v>21.019400000000001</v>
      </c>
      <c r="AD2852">
        <v>-1.122208874192</v>
      </c>
      <c r="AE2852">
        <v>-2.0129199999999901</v>
      </c>
      <c r="AF2852">
        <v>-5.4588302845653001</v>
      </c>
      <c r="AG2852">
        <v>-1.122208874192</v>
      </c>
      <c r="AH2852">
        <v>20.336177634623802</v>
      </c>
      <c r="AI2852">
        <v>93.050758958139397</v>
      </c>
      <c r="AJ2852">
        <v>105.025673811331</v>
      </c>
      <c r="AK2852">
        <v>21.085974049589801</v>
      </c>
      <c r="AL2852">
        <v>81.876290280275001</v>
      </c>
      <c r="AM2852">
        <v>99.696622171554694</v>
      </c>
      <c r="AN2852">
        <v>0.99999997028600895</v>
      </c>
    </row>
    <row r="2853" spans="1:40" x14ac:dyDescent="0.3">
      <c r="A2853" t="str">
        <f>"20200111150906084"</f>
        <v>20200111150906084</v>
      </c>
      <c r="B2853" t="str">
        <f>"1578726546077040"</f>
        <v>1578726546077040</v>
      </c>
      <c r="C2853" t="s">
        <v>40</v>
      </c>
      <c r="D2853">
        <v>5.3708299999999998</v>
      </c>
      <c r="E2853">
        <v>0.46205930000000001</v>
      </c>
      <c r="F2853" t="s">
        <v>43</v>
      </c>
      <c r="G2853">
        <v>-267.37389999999999</v>
      </c>
      <c r="H2853" s="1">
        <v>-3.3258509999999999E-6</v>
      </c>
      <c r="I2853">
        <v>-65.615430000000003</v>
      </c>
      <c r="J2853">
        <v>-286.84300000000002</v>
      </c>
      <c r="K2853">
        <v>1.1221719999999999</v>
      </c>
      <c r="L2853">
        <v>-63.822510000000001</v>
      </c>
      <c r="M2853">
        <v>0.93907980000000002</v>
      </c>
      <c r="N2853">
        <v>0</v>
      </c>
      <c r="O2853">
        <v>-0.34340199999999999</v>
      </c>
      <c r="P2853">
        <v>0.97391030000000001</v>
      </c>
      <c r="Q2853">
        <v>0.13301859999999999</v>
      </c>
      <c r="R2853">
        <v>-0.18386150000000001</v>
      </c>
      <c r="S2853">
        <v>3.0518190000000001</v>
      </c>
      <c r="T2853">
        <v>-0.1747389</v>
      </c>
      <c r="U2853">
        <v>-0.285705599999999</v>
      </c>
      <c r="V2853">
        <v>-0.16612089999999999</v>
      </c>
      <c r="W2853">
        <v>0.14208119999999999</v>
      </c>
      <c r="X2853">
        <v>0.97581600000000002</v>
      </c>
      <c r="Y2853">
        <v>-0.25345679999999998</v>
      </c>
      <c r="Z2853">
        <v>2.6454289999999998E-2</v>
      </c>
      <c r="AA2853">
        <v>0.96698490000000004</v>
      </c>
      <c r="AB2853">
        <v>30</v>
      </c>
      <c r="AC2853">
        <v>19.469100000000001</v>
      </c>
      <c r="AD2853">
        <v>-1.1221753258510001</v>
      </c>
      <c r="AE2853">
        <v>-1.7929200000000001</v>
      </c>
      <c r="AF2853">
        <v>-4.9861179691270001</v>
      </c>
      <c r="AG2853">
        <v>-1.1221753258510001</v>
      </c>
      <c r="AH2853">
        <v>18.838600809333499</v>
      </c>
      <c r="AI2853">
        <v>93.295737913988802</v>
      </c>
      <c r="AJ2853">
        <v>104.824858510852</v>
      </c>
      <c r="AK2853">
        <v>19.519567882446101</v>
      </c>
      <c r="AL2853">
        <v>81.8317060884726</v>
      </c>
      <c r="AM2853">
        <v>99.661294503915798</v>
      </c>
      <c r="AN2853">
        <v>1.00000004333312</v>
      </c>
    </row>
    <row r="2854" spans="1:40" x14ac:dyDescent="0.3">
      <c r="A2854" t="str">
        <f>"20200111150906095"</f>
        <v>20200111150906095</v>
      </c>
      <c r="B2854" t="str">
        <f>"1578726546086801"</f>
        <v>1578726546086801</v>
      </c>
      <c r="C2854" t="s">
        <v>40</v>
      </c>
      <c r="D2854">
        <v>5.3376729999999997</v>
      </c>
      <c r="E2854">
        <v>0.46287270000000003</v>
      </c>
      <c r="F2854" t="s">
        <v>43</v>
      </c>
      <c r="G2854">
        <v>-267.95389999999998</v>
      </c>
      <c r="H2854" s="1">
        <v>-3.504636E-6</v>
      </c>
      <c r="I2854">
        <v>-65.510669999999905</v>
      </c>
      <c r="J2854">
        <v>-286.70330000000001</v>
      </c>
      <c r="K2854">
        <v>1.1221319999999999</v>
      </c>
      <c r="L2854">
        <v>-63.866390000000003</v>
      </c>
      <c r="M2854">
        <v>0.94166870000000003</v>
      </c>
      <c r="N2854">
        <v>0</v>
      </c>
      <c r="O2854">
        <v>-0.33623809999999998</v>
      </c>
      <c r="P2854">
        <v>0.97490849999999996</v>
      </c>
      <c r="Q2854">
        <v>0.1334516</v>
      </c>
      <c r="R2854">
        <v>-0.1781683</v>
      </c>
      <c r="S2854">
        <v>3.0536189999999999</v>
      </c>
      <c r="T2854">
        <v>-0.1814114</v>
      </c>
      <c r="U2854">
        <v>-0.27291870000000001</v>
      </c>
      <c r="V2854">
        <v>-0.16436339999999999</v>
      </c>
      <c r="W2854">
        <v>0.142576799999999</v>
      </c>
      <c r="X2854">
        <v>0.9760413</v>
      </c>
      <c r="Y2854">
        <v>-0.2501005</v>
      </c>
      <c r="Z2854">
        <v>2.6955159999999999E-2</v>
      </c>
      <c r="AA2854">
        <v>0.96784460000000005</v>
      </c>
      <c r="AB2854">
        <v>30</v>
      </c>
      <c r="AC2854">
        <v>18.749400000000001</v>
      </c>
      <c r="AD2854">
        <v>-1.122135504636</v>
      </c>
      <c r="AE2854">
        <v>-1.64427999999998</v>
      </c>
      <c r="AF2854">
        <v>-4.7395337357971199</v>
      </c>
      <c r="AG2854">
        <v>-1.122135504636</v>
      </c>
      <c r="AH2854">
        <v>18.1459490015712</v>
      </c>
      <c r="AI2854">
        <v>93.424052791711603</v>
      </c>
      <c r="AJ2854">
        <v>104.63804263413</v>
      </c>
      <c r="AK2854">
        <v>18.7882365668295</v>
      </c>
      <c r="AL2854">
        <v>81.803018257426004</v>
      </c>
      <c r="AM2854">
        <v>99.558811928018997</v>
      </c>
      <c r="AN2854">
        <v>1.0000000452317399</v>
      </c>
    </row>
    <row r="2855" spans="1:40" x14ac:dyDescent="0.3">
      <c r="A2855" t="str">
        <f>"20200111150906106"</f>
        <v>20200111150906106</v>
      </c>
      <c r="B2855" t="str">
        <f>"1578726546096561"</f>
        <v>1578726546096561</v>
      </c>
      <c r="C2855" t="s">
        <v>40</v>
      </c>
      <c r="D2855">
        <v>5.3316749999999997</v>
      </c>
      <c r="E2855">
        <v>0.46355829999999998</v>
      </c>
      <c r="F2855" t="s">
        <v>43</v>
      </c>
      <c r="G2855">
        <v>-268.39139999999998</v>
      </c>
      <c r="H2855" s="1">
        <v>-3.6401589999999998E-6</v>
      </c>
      <c r="I2855">
        <v>-65.435269999999903</v>
      </c>
      <c r="J2855">
        <v>-286.57299999999998</v>
      </c>
      <c r="K2855">
        <v>1.1220939999999999</v>
      </c>
      <c r="L2855">
        <v>-63.9060699999999</v>
      </c>
      <c r="M2855">
        <v>0.94401520000000005</v>
      </c>
      <c r="N2855">
        <v>0</v>
      </c>
      <c r="O2855">
        <v>-0.32959300000000002</v>
      </c>
      <c r="P2855">
        <v>0.97574649999999996</v>
      </c>
      <c r="Q2855">
        <v>0.1342247</v>
      </c>
      <c r="R2855">
        <v>-0.17292270000000001</v>
      </c>
      <c r="S2855">
        <v>3.0549930000000001</v>
      </c>
      <c r="T2855">
        <v>-0.18720700000000001</v>
      </c>
      <c r="U2855">
        <v>-0.26174930000000002</v>
      </c>
      <c r="V2855">
        <v>-0.16270279999999901</v>
      </c>
      <c r="W2855">
        <v>0.14340929999999999</v>
      </c>
      <c r="X2855">
        <v>0.97619750000000005</v>
      </c>
      <c r="Y2855">
        <v>-0.24677969999999999</v>
      </c>
      <c r="Z2855">
        <v>2.7323679999999999E-2</v>
      </c>
      <c r="AA2855">
        <v>0.9686863</v>
      </c>
      <c r="AB2855">
        <v>30</v>
      </c>
      <c r="AC2855">
        <v>18.1816</v>
      </c>
      <c r="AD2855">
        <v>-1.1220976401589999</v>
      </c>
      <c r="AE2855">
        <v>-1.5291999999999899</v>
      </c>
      <c r="AF2855">
        <v>-4.53226197875584</v>
      </c>
      <c r="AG2855">
        <v>-1.1220976401589999</v>
      </c>
      <c r="AH2855">
        <v>17.6029440967881</v>
      </c>
      <c r="AI2855">
        <v>93.5324757652606</v>
      </c>
      <c r="AJ2855">
        <v>104.438450686633</v>
      </c>
      <c r="AK2855">
        <v>18.211648542424001</v>
      </c>
      <c r="AL2855">
        <v>81.754823837817597</v>
      </c>
      <c r="AM2855">
        <v>99.462505900576204</v>
      </c>
      <c r="AN2855">
        <v>0.99999999373029003</v>
      </c>
    </row>
    <row r="2856" spans="1:40" x14ac:dyDescent="0.3">
      <c r="A2856" t="str">
        <f>"20200111150906118"</f>
        <v>20200111150906118</v>
      </c>
      <c r="B2856" t="str">
        <f>"1578726546107297"</f>
        <v>1578726546107297</v>
      </c>
      <c r="C2856" t="s">
        <v>40</v>
      </c>
      <c r="D2856">
        <v>5.373481</v>
      </c>
      <c r="E2856">
        <v>0.46432210000000002</v>
      </c>
      <c r="F2856" t="s">
        <v>43</v>
      </c>
      <c r="G2856">
        <v>-268.77480000000003</v>
      </c>
      <c r="H2856" s="1">
        <v>-3.7587289999999999E-6</v>
      </c>
      <c r="I2856">
        <v>-65.368319999999997</v>
      </c>
      <c r="J2856">
        <v>-286.42450000000002</v>
      </c>
      <c r="K2856">
        <v>1.122047</v>
      </c>
      <c r="L2856">
        <v>-63.950589999999998</v>
      </c>
      <c r="M2856">
        <v>0.94662329999999995</v>
      </c>
      <c r="N2856">
        <v>0</v>
      </c>
      <c r="O2856">
        <v>-0.32202599999999998</v>
      </c>
      <c r="P2856">
        <v>0.97677550000000002</v>
      </c>
      <c r="Q2856">
        <v>0.13491829999999999</v>
      </c>
      <c r="R2856">
        <v>-0.1664534</v>
      </c>
      <c r="S2856">
        <v>3.056549</v>
      </c>
      <c r="T2856">
        <v>-0.19270109999999999</v>
      </c>
      <c r="U2856">
        <v>-0.2511292</v>
      </c>
      <c r="V2856">
        <v>-0.16132630000000001</v>
      </c>
      <c r="W2856">
        <v>0.1441549</v>
      </c>
      <c r="X2856">
        <v>0.97631619999999997</v>
      </c>
      <c r="Y2856">
        <v>-0.24236659999999999</v>
      </c>
      <c r="Z2856">
        <v>2.7526129999999999E-2</v>
      </c>
      <c r="AA2856">
        <v>0.96979420000000005</v>
      </c>
      <c r="AB2856">
        <v>30</v>
      </c>
      <c r="AC2856">
        <v>17.6496999999999</v>
      </c>
      <c r="AD2856">
        <v>-1.1220507587289901</v>
      </c>
      <c r="AE2856">
        <v>-1.4177299999999899</v>
      </c>
      <c r="AF2856">
        <v>-4.3246815874238296</v>
      </c>
      <c r="AG2856">
        <v>-1.1220507587289901</v>
      </c>
      <c r="AH2856">
        <v>17.0972538183273</v>
      </c>
      <c r="AI2856">
        <v>93.640463868203298</v>
      </c>
      <c r="AJ2856">
        <v>104.194996174683</v>
      </c>
      <c r="AK2856">
        <v>17.671388085435598</v>
      </c>
      <c r="AL2856">
        <v>81.711656163607998</v>
      </c>
      <c r="AM2856">
        <v>99.382760328379902</v>
      </c>
      <c r="AN2856">
        <v>1.00000006632406</v>
      </c>
    </row>
    <row r="2857" spans="1:40" x14ac:dyDescent="0.3">
      <c r="A2857" t="str">
        <f>"20200111150906131"</f>
        <v>20200111150906131</v>
      </c>
      <c r="B2857" t="str">
        <f>"1578726546126818"</f>
        <v>1578726546126818</v>
      </c>
      <c r="C2857" t="s">
        <v>40</v>
      </c>
      <c r="D2857">
        <v>5.3407850000000003</v>
      </c>
      <c r="E2857">
        <v>0.4654431</v>
      </c>
      <c r="F2857" t="s">
        <v>43</v>
      </c>
      <c r="G2857">
        <v>-269.32690000000002</v>
      </c>
      <c r="H2857" s="1">
        <v>-3.9304809999999996E-6</v>
      </c>
      <c r="I2857">
        <v>-65.277240000000006</v>
      </c>
      <c r="J2857">
        <v>-286.27069999999998</v>
      </c>
      <c r="K2857">
        <v>1.121988</v>
      </c>
      <c r="L2857">
        <v>-63.994660000000003</v>
      </c>
      <c r="M2857">
        <v>0.94922450000000003</v>
      </c>
      <c r="N2857">
        <v>0</v>
      </c>
      <c r="O2857">
        <v>-0.31427670000000002</v>
      </c>
      <c r="P2857">
        <v>0.97778030000000005</v>
      </c>
      <c r="Q2857">
        <v>0.1356811</v>
      </c>
      <c r="R2857">
        <v>-0.15980050000000001</v>
      </c>
      <c r="S2857">
        <v>3.0585629999999999</v>
      </c>
      <c r="T2857">
        <v>-0.2007227</v>
      </c>
      <c r="U2857">
        <v>-0.2373352</v>
      </c>
      <c r="V2857">
        <v>-0.1599545</v>
      </c>
      <c r="W2857">
        <v>0.14496970000000001</v>
      </c>
      <c r="X2857">
        <v>0.97642119999999999</v>
      </c>
      <c r="Y2857">
        <v>-0.23876500000000001</v>
      </c>
      <c r="Z2857">
        <v>2.8058659999999999E-2</v>
      </c>
      <c r="AA2857">
        <v>0.97067199999999998</v>
      </c>
      <c r="AB2857">
        <v>30</v>
      </c>
      <c r="AC2857">
        <v>16.9437999999999</v>
      </c>
      <c r="AD2857">
        <v>-1.121991930481</v>
      </c>
      <c r="AE2857">
        <v>-1.28258000000001</v>
      </c>
      <c r="AF2857">
        <v>-4.0901694553054799</v>
      </c>
      <c r="AG2857">
        <v>-1.121991930481</v>
      </c>
      <c r="AH2857">
        <v>16.4166538102739</v>
      </c>
      <c r="AI2857">
        <v>93.794152360473205</v>
      </c>
      <c r="AJ2857">
        <v>103.990266761111</v>
      </c>
      <c r="AK2857">
        <v>16.955673811192501</v>
      </c>
      <c r="AL2857">
        <v>81.664475478861505</v>
      </c>
      <c r="AM2857">
        <v>99.303394292832706</v>
      </c>
      <c r="AN2857">
        <v>1.00000000789889</v>
      </c>
    </row>
    <row r="2858" spans="1:40" x14ac:dyDescent="0.3">
      <c r="A2858" t="str">
        <f>"20200111150906142"</f>
        <v>20200111150906142</v>
      </c>
      <c r="B2858" t="str">
        <f>"1578726546136577"</f>
        <v>1578726546136577</v>
      </c>
      <c r="C2858" t="s">
        <v>40</v>
      </c>
      <c r="D2858">
        <v>5.3926040000000004</v>
      </c>
      <c r="E2858">
        <v>0.46608899999999998</v>
      </c>
      <c r="F2858" t="s">
        <v>43</v>
      </c>
      <c r="G2858">
        <v>-270.01440000000002</v>
      </c>
      <c r="H2858" s="1">
        <v>-2.3017570000000001E-7</v>
      </c>
      <c r="I2858">
        <v>-65.194319999999905</v>
      </c>
      <c r="J2858">
        <v>-286.13099999999997</v>
      </c>
      <c r="K2858">
        <v>1.121931</v>
      </c>
      <c r="L2858">
        <v>-64.034180000000006</v>
      </c>
      <c r="M2858">
        <v>0.9515226</v>
      </c>
      <c r="N2858">
        <v>0</v>
      </c>
      <c r="O2858">
        <v>-0.3072492</v>
      </c>
      <c r="P2858">
        <v>0.97866019999999998</v>
      </c>
      <c r="Q2858">
        <v>0.13615629999999901</v>
      </c>
      <c r="R2858">
        <v>-0.1539015</v>
      </c>
      <c r="S2858">
        <v>3.0605769999999999</v>
      </c>
      <c r="T2858">
        <v>-0.2112366</v>
      </c>
      <c r="U2858">
        <v>-0.22586059999999999</v>
      </c>
      <c r="V2858">
        <v>-0.15859119999999999</v>
      </c>
      <c r="W2858">
        <v>0.14549670000000001</v>
      </c>
      <c r="X2858">
        <v>0.97656520000000002</v>
      </c>
      <c r="Y2858">
        <v>-0.2351529</v>
      </c>
      <c r="Z2858">
        <v>2.89266E-2</v>
      </c>
      <c r="AA2858">
        <v>0.9715279</v>
      </c>
      <c r="AB2858">
        <v>30</v>
      </c>
      <c r="AC2858">
        <v>16.116599999999899</v>
      </c>
      <c r="AD2858">
        <v>-1.1219312301756901</v>
      </c>
      <c r="AE2858">
        <v>-1.16013999999998</v>
      </c>
      <c r="AF2858">
        <v>-3.8298391957752198</v>
      </c>
      <c r="AG2858">
        <v>-1.1219312301756901</v>
      </c>
      <c r="AH2858">
        <v>15.6180562680533</v>
      </c>
      <c r="AI2858">
        <v>93.990972101314298</v>
      </c>
      <c r="AJ2858">
        <v>103.778120221896</v>
      </c>
      <c r="AK2858">
        <v>16.1198659902252</v>
      </c>
      <c r="AL2858">
        <v>81.633957166437298</v>
      </c>
      <c r="AM2858">
        <v>99.224133150796405</v>
      </c>
      <c r="AN2858">
        <v>1.00000002413968</v>
      </c>
    </row>
    <row r="2859" spans="1:40" x14ac:dyDescent="0.3">
      <c r="A2859" t="str">
        <f>"20200111150906152"</f>
        <v>20200111150906152</v>
      </c>
      <c r="B2859" t="str">
        <f>"1578726546147313"</f>
        <v>1578726546147313</v>
      </c>
      <c r="C2859" t="s">
        <v>40</v>
      </c>
      <c r="D2859">
        <v>5.4031760000000002</v>
      </c>
      <c r="E2859">
        <v>0.46673989999999999</v>
      </c>
      <c r="F2859" t="s">
        <v>43</v>
      </c>
      <c r="G2859">
        <v>-270.2448</v>
      </c>
      <c r="H2859" s="1">
        <v>-3.164183E-7</v>
      </c>
      <c r="I2859">
        <v>-65.137569999999997</v>
      </c>
      <c r="J2859">
        <v>-286.00020000000001</v>
      </c>
      <c r="K2859">
        <v>1.1218680000000001</v>
      </c>
      <c r="L2859">
        <v>-64.069699999999997</v>
      </c>
      <c r="M2859">
        <v>0.95360069999999997</v>
      </c>
      <c r="N2859">
        <v>0</v>
      </c>
      <c r="O2859">
        <v>-0.30073850000000002</v>
      </c>
      <c r="P2859">
        <v>0.97941109999999998</v>
      </c>
      <c r="Q2859">
        <v>0.13668159999999999</v>
      </c>
      <c r="R2859">
        <v>-0.14856610000000001</v>
      </c>
      <c r="S2859">
        <v>3.0620419999999999</v>
      </c>
      <c r="T2859">
        <v>-0.21625159999999999</v>
      </c>
      <c r="U2859">
        <v>-0.212677</v>
      </c>
      <c r="V2859">
        <v>-0.15720429999999999</v>
      </c>
      <c r="W2859">
        <v>0.14607410000000001</v>
      </c>
      <c r="X2859">
        <v>0.97670319999999999</v>
      </c>
      <c r="Y2859">
        <v>-0.2326676</v>
      </c>
      <c r="Z2859">
        <v>2.9079009999999999E-2</v>
      </c>
      <c r="AA2859">
        <v>0.97212149999999997</v>
      </c>
      <c r="AB2859">
        <v>30</v>
      </c>
      <c r="AC2859">
        <v>15.7554</v>
      </c>
      <c r="AD2859">
        <v>-1.1218683164183001</v>
      </c>
      <c r="AE2859">
        <v>-1.0678699999999901</v>
      </c>
      <c r="AF2859">
        <v>-3.7016275042700699</v>
      </c>
      <c r="AG2859">
        <v>-1.1218683164183001</v>
      </c>
      <c r="AH2859">
        <v>15.2699928350031</v>
      </c>
      <c r="AI2859">
        <v>94.084038246207001</v>
      </c>
      <c r="AJ2859">
        <v>103.62632527006799</v>
      </c>
      <c r="AK2859">
        <v>15.7522479627766</v>
      </c>
      <c r="AL2859">
        <v>81.600517012496695</v>
      </c>
      <c r="AM2859">
        <v>99.143565527543799</v>
      </c>
      <c r="AN2859">
        <v>0.99999998775976895</v>
      </c>
    </row>
    <row r="2860" spans="1:40" x14ac:dyDescent="0.3">
      <c r="A2860" t="str">
        <f>"20200111150906163"</f>
        <v>20200111150906163</v>
      </c>
      <c r="B2860" t="str">
        <f>"1578726546157073"</f>
        <v>1578726546157073</v>
      </c>
      <c r="C2860" t="s">
        <v>40</v>
      </c>
      <c r="D2860">
        <v>5.4023539999999999</v>
      </c>
      <c r="E2860">
        <v>0.46712550000000003</v>
      </c>
      <c r="F2860" t="s">
        <v>43</v>
      </c>
      <c r="G2860">
        <v>-270.29689999999999</v>
      </c>
      <c r="H2860" s="1">
        <v>-3.3065319999999997E-7</v>
      </c>
      <c r="I2860">
        <v>-65.101190000000003</v>
      </c>
      <c r="J2860">
        <v>-285.8621</v>
      </c>
      <c r="K2860">
        <v>1.121802</v>
      </c>
      <c r="L2860">
        <v>-64.1066</v>
      </c>
      <c r="M2860">
        <v>0.9557329</v>
      </c>
      <c r="N2860">
        <v>0</v>
      </c>
      <c r="O2860">
        <v>-0.2938925</v>
      </c>
      <c r="P2860">
        <v>0.98017880000000002</v>
      </c>
      <c r="Q2860">
        <v>0.13696050000000001</v>
      </c>
      <c r="R2860">
        <v>-0.14314669999999999</v>
      </c>
      <c r="S2860">
        <v>3.0630799999999998</v>
      </c>
      <c r="T2860">
        <v>-0.2188311</v>
      </c>
      <c r="U2860">
        <v>-0.2012024</v>
      </c>
      <c r="V2860">
        <v>-0.1555694</v>
      </c>
      <c r="W2860">
        <v>0.14641419999999999</v>
      </c>
      <c r="X2860">
        <v>0.97691399999999995</v>
      </c>
      <c r="Y2860">
        <v>-0.2293356</v>
      </c>
      <c r="Z2860">
        <v>2.8834869999999999E-2</v>
      </c>
      <c r="AA2860">
        <v>0.97292020000000001</v>
      </c>
      <c r="AB2860">
        <v>30</v>
      </c>
      <c r="AC2860">
        <v>15.565200000000001</v>
      </c>
      <c r="AD2860">
        <v>-1.1218023306531999</v>
      </c>
      <c r="AE2860">
        <v>-0.99459000000000197</v>
      </c>
      <c r="AF2860">
        <v>-3.6056464177456902</v>
      </c>
      <c r="AG2860">
        <v>-1.1218023306531999</v>
      </c>
      <c r="AH2860">
        <v>15.0919345902382</v>
      </c>
      <c r="AI2860">
        <v>94.135093971558504</v>
      </c>
      <c r="AJ2860">
        <v>103.436783726038</v>
      </c>
      <c r="AK2860">
        <v>15.5571725012899</v>
      </c>
      <c r="AL2860">
        <v>81.580818696967697</v>
      </c>
      <c r="AM2860">
        <v>99.048135176490106</v>
      </c>
      <c r="AN2860">
        <v>0.99999995978699896</v>
      </c>
    </row>
    <row r="2861" spans="1:40" x14ac:dyDescent="0.3">
      <c r="A2861" t="str">
        <f>"20200111150906175"</f>
        <v>20200111150906175</v>
      </c>
      <c r="B2861" t="str">
        <f>"1578726546166833"</f>
        <v>1578726546166833</v>
      </c>
      <c r="C2861" t="s">
        <v>40</v>
      </c>
      <c r="D2861">
        <v>5.3583740000000004</v>
      </c>
      <c r="E2861">
        <v>0.46768379999999998</v>
      </c>
      <c r="F2861" t="s">
        <v>43</v>
      </c>
      <c r="G2861">
        <v>-270.24669999999998</v>
      </c>
      <c r="H2861" s="1">
        <v>-3.0011759999999999E-7</v>
      </c>
      <c r="I2861">
        <v>-65.060590000000005</v>
      </c>
      <c r="J2861">
        <v>-285.7131</v>
      </c>
      <c r="K2861">
        <v>1.121721</v>
      </c>
      <c r="L2861">
        <v>-64.145079999999993</v>
      </c>
      <c r="M2861">
        <v>0.95795419999999998</v>
      </c>
      <c r="N2861">
        <v>0</v>
      </c>
      <c r="O2861">
        <v>-0.28657100000000002</v>
      </c>
      <c r="P2861">
        <v>0.98097690000000004</v>
      </c>
      <c r="Q2861">
        <v>0.13742550000000001</v>
      </c>
      <c r="R2861">
        <v>-0.13710929999999999</v>
      </c>
      <c r="S2861">
        <v>3.0640869999999998</v>
      </c>
      <c r="T2861">
        <v>-0.22012280000000001</v>
      </c>
      <c r="U2861">
        <v>-0.18719479999999999</v>
      </c>
      <c r="V2861">
        <v>-0.15406929999999999</v>
      </c>
      <c r="W2861">
        <v>0.14693639999999999</v>
      </c>
      <c r="X2861">
        <v>0.97707339999999998</v>
      </c>
      <c r="Y2861">
        <v>-0.22634940000000001</v>
      </c>
      <c r="Z2861">
        <v>2.8391090000000001E-2</v>
      </c>
      <c r="AA2861">
        <v>0.97363230000000001</v>
      </c>
      <c r="AB2861">
        <v>30</v>
      </c>
      <c r="AC2861">
        <v>15.4664</v>
      </c>
      <c r="AD2861">
        <v>-1.1217213001176001</v>
      </c>
      <c r="AE2861">
        <v>-0.91550999999999705</v>
      </c>
      <c r="AF2861">
        <v>-3.5370220645855901</v>
      </c>
      <c r="AG2861">
        <v>-1.1217213001176001</v>
      </c>
      <c r="AH2861">
        <v>15.001343071693301</v>
      </c>
      <c r="AI2861">
        <v>94.162596332845496</v>
      </c>
      <c r="AJ2861">
        <v>103.266915178142</v>
      </c>
      <c r="AK2861">
        <v>15.453448732083899</v>
      </c>
      <c r="AL2861">
        <v>81.550572407866497</v>
      </c>
      <c r="AM2861">
        <v>98.960871806217696</v>
      </c>
      <c r="AN2861">
        <v>1.0000000419174999</v>
      </c>
    </row>
    <row r="2862" spans="1:40" x14ac:dyDescent="0.3">
      <c r="A2862" t="str">
        <f>"20200111150906187"</f>
        <v>20200111150906187</v>
      </c>
      <c r="B2862" t="str">
        <f>"1578726546176592"</f>
        <v>1578726546176592</v>
      </c>
      <c r="C2862" t="s">
        <v>40</v>
      </c>
      <c r="D2862">
        <v>5.4309320000000003</v>
      </c>
      <c r="E2862">
        <v>0.46822609999999998</v>
      </c>
      <c r="F2862" t="s">
        <v>43</v>
      </c>
      <c r="G2862">
        <v>-270.26650000000001</v>
      </c>
      <c r="H2862" s="1">
        <v>-2.983645E-7</v>
      </c>
      <c r="I2862">
        <v>-65.014589999999998</v>
      </c>
      <c r="J2862">
        <v>-285.56540000000001</v>
      </c>
      <c r="K2862">
        <v>1.121632</v>
      </c>
      <c r="L2862">
        <v>-64.182069999999996</v>
      </c>
      <c r="M2862">
        <v>0.96007569999999998</v>
      </c>
      <c r="N2862">
        <v>0</v>
      </c>
      <c r="O2862">
        <v>-0.27938180000000001</v>
      </c>
      <c r="P2862">
        <v>0.98178909999999997</v>
      </c>
      <c r="Q2862">
        <v>0.13769200000000001</v>
      </c>
      <c r="R2862">
        <v>-0.13088669999999999</v>
      </c>
      <c r="S2862">
        <v>3.0652469999999998</v>
      </c>
      <c r="T2862">
        <v>-0.2225956</v>
      </c>
      <c r="U2862">
        <v>-0.17254639999999999</v>
      </c>
      <c r="V2862">
        <v>-0.15290090000000001</v>
      </c>
      <c r="W2862">
        <v>0.14725099999999999</v>
      </c>
      <c r="X2862">
        <v>0.97720949999999995</v>
      </c>
      <c r="Y2862">
        <v>-0.22370370000000001</v>
      </c>
      <c r="Z2862">
        <v>2.810785E-2</v>
      </c>
      <c r="AA2862">
        <v>0.9742518</v>
      </c>
      <c r="AB2862">
        <v>30</v>
      </c>
      <c r="AC2862">
        <v>15.2989</v>
      </c>
      <c r="AD2862">
        <v>-1.1216322983645</v>
      </c>
      <c r="AE2862">
        <v>-0.83252000000000204</v>
      </c>
      <c r="AF2862">
        <v>-3.45677494621216</v>
      </c>
      <c r="AG2862">
        <v>-1.1216322983645</v>
      </c>
      <c r="AH2862">
        <v>14.8426447288257</v>
      </c>
      <c r="AI2862">
        <v>94.209299060325407</v>
      </c>
      <c r="AJ2862">
        <v>103.110191854636</v>
      </c>
      <c r="AK2862">
        <v>15.281081590896401</v>
      </c>
      <c r="AL2862">
        <v>81.532348357013902</v>
      </c>
      <c r="AM2862">
        <v>98.892787676663801</v>
      </c>
      <c r="AN2862">
        <v>0.99999997455602896</v>
      </c>
    </row>
    <row r="2863" spans="1:40" x14ac:dyDescent="0.3">
      <c r="A2863" t="str">
        <f>"20200111150906210"</f>
        <v>20200111150906210</v>
      </c>
      <c r="B2863" t="str">
        <f>"1578726546206849"</f>
        <v>1578726546206849</v>
      </c>
      <c r="C2863" t="s">
        <v>40</v>
      </c>
      <c r="D2863">
        <v>5.3851389999999997</v>
      </c>
      <c r="E2863">
        <v>0.46973209999999999</v>
      </c>
      <c r="F2863" t="s">
        <v>43</v>
      </c>
      <c r="G2863">
        <v>-270.18920000000003</v>
      </c>
      <c r="H2863" s="1">
        <v>-2.55697799999999E-7</v>
      </c>
      <c r="I2863">
        <v>-64.971789999999999</v>
      </c>
      <c r="J2863">
        <v>-285.26479999999998</v>
      </c>
      <c r="K2863">
        <v>1.121424</v>
      </c>
      <c r="L2863">
        <v>-64.25403</v>
      </c>
      <c r="M2863">
        <v>0.96415099999999998</v>
      </c>
      <c r="N2863">
        <v>0</v>
      </c>
      <c r="O2863">
        <v>-0.26497900000000002</v>
      </c>
      <c r="P2863">
        <v>0.98330220000000002</v>
      </c>
      <c r="Q2863">
        <v>0.1388953</v>
      </c>
      <c r="R2863">
        <v>-0.1175804</v>
      </c>
      <c r="S2863">
        <v>3.0660099999999999</v>
      </c>
      <c r="T2863">
        <v>-0.22365399999999999</v>
      </c>
      <c r="U2863">
        <v>-0.15747069999999999</v>
      </c>
      <c r="V2863">
        <v>-0.15141160000000001</v>
      </c>
      <c r="W2863">
        <v>0.14852799999999999</v>
      </c>
      <c r="X2863">
        <v>0.97724809999999995</v>
      </c>
      <c r="Y2863">
        <v>-0.21394569999999999</v>
      </c>
      <c r="Z2863">
        <v>2.6872210000000001E-2</v>
      </c>
      <c r="AA2863">
        <v>0.97647589999999995</v>
      </c>
      <c r="AB2863">
        <v>30</v>
      </c>
      <c r="AC2863">
        <v>15.0755999999999</v>
      </c>
      <c r="AD2863">
        <v>-1.1214242556978</v>
      </c>
      <c r="AE2863">
        <v>-0.71775999999999796</v>
      </c>
      <c r="AF2863">
        <v>-3.2848816250990298</v>
      </c>
      <c r="AG2863">
        <v>-1.1214242556978</v>
      </c>
      <c r="AH2863">
        <v>14.645953007334001</v>
      </c>
      <c r="AI2863">
        <v>94.272787194351096</v>
      </c>
      <c r="AJ2863">
        <v>102.64143738855</v>
      </c>
      <c r="AK2863">
        <v>15.0516437356594</v>
      </c>
      <c r="AL2863">
        <v>81.458367883313599</v>
      </c>
      <c r="AM2863">
        <v>98.807191465808401</v>
      </c>
      <c r="AN2863">
        <v>0.99999994417608296</v>
      </c>
    </row>
    <row r="2864" spans="1:40" x14ac:dyDescent="0.3">
      <c r="A2864" t="str">
        <f>"20200111150906222"</f>
        <v>20200111150906222</v>
      </c>
      <c r="B2864" t="str">
        <f>"1578726546216608"</f>
        <v>1578726546216608</v>
      </c>
      <c r="C2864" t="s">
        <v>40</v>
      </c>
      <c r="D2864">
        <v>5.3613980000000003</v>
      </c>
      <c r="E2864">
        <v>0.47048630000000002</v>
      </c>
      <c r="F2864" t="s">
        <v>43</v>
      </c>
      <c r="G2864">
        <v>-270.20119999999997</v>
      </c>
      <c r="H2864" s="1">
        <v>-2.4164409999999998E-7</v>
      </c>
      <c r="I2864">
        <v>-64.885490000000004</v>
      </c>
      <c r="J2864">
        <v>-285.12060000000002</v>
      </c>
      <c r="K2864">
        <v>1.12131</v>
      </c>
      <c r="L2864">
        <v>-64.287199999999999</v>
      </c>
      <c r="M2864">
        <v>0.96599579999999996</v>
      </c>
      <c r="N2864">
        <v>0</v>
      </c>
      <c r="O2864">
        <v>-0.25817390000000001</v>
      </c>
      <c r="P2864">
        <v>0.98397069999999998</v>
      </c>
      <c r="Q2864">
        <v>0.139841299999999</v>
      </c>
      <c r="R2864">
        <v>-0.1106631</v>
      </c>
      <c r="S2864">
        <v>3.0678100000000001</v>
      </c>
      <c r="T2864">
        <v>-0.2283866</v>
      </c>
      <c r="U2864">
        <v>-0.1286011</v>
      </c>
      <c r="V2864">
        <v>-0.15134139999999999</v>
      </c>
      <c r="W2864">
        <v>0.1494914</v>
      </c>
      <c r="X2864">
        <v>0.97711210000000004</v>
      </c>
      <c r="Y2864">
        <v>-0.21621570000000001</v>
      </c>
      <c r="Z2864">
        <v>2.7029069999999999E-2</v>
      </c>
      <c r="AA2864">
        <v>0.97597140000000004</v>
      </c>
      <c r="AB2864">
        <v>30</v>
      </c>
      <c r="AC2864">
        <v>14.9194</v>
      </c>
      <c r="AD2864">
        <v>-1.1213102416441001</v>
      </c>
      <c r="AE2864">
        <v>-0.59829000000000498</v>
      </c>
      <c r="AF2864">
        <v>-3.2558171706111798</v>
      </c>
      <c r="AG2864">
        <v>-1.1213102416441001</v>
      </c>
      <c r="AH2864">
        <v>14.486288083547899</v>
      </c>
      <c r="AI2864">
        <v>94.318837892750196</v>
      </c>
      <c r="AJ2864">
        <v>102.666839098202</v>
      </c>
      <c r="AK2864">
        <v>14.8899370229026</v>
      </c>
      <c r="AL2864">
        <v>81.402546196845094</v>
      </c>
      <c r="AM2864">
        <v>98.804378180578695</v>
      </c>
      <c r="AN2864">
        <v>0.99999997699716403</v>
      </c>
    </row>
    <row r="2865" spans="1:40" x14ac:dyDescent="0.3">
      <c r="A2865" t="str">
        <f>"20200111150906233"</f>
        <v>20200111150906233</v>
      </c>
      <c r="B2865" t="str">
        <f>"1578726546226369"</f>
        <v>1578726546226369</v>
      </c>
      <c r="C2865" t="s">
        <v>40</v>
      </c>
      <c r="D2865">
        <v>5.5872190000000002</v>
      </c>
      <c r="E2865">
        <v>0.47048630000000002</v>
      </c>
      <c r="F2865" t="s">
        <v>43</v>
      </c>
      <c r="G2865">
        <v>-270.17410000000001</v>
      </c>
      <c r="H2865" s="1">
        <v>-2.2007680000000001E-7</v>
      </c>
      <c r="I2865">
        <v>-64.840869999999995</v>
      </c>
      <c r="J2865">
        <v>-284.9837</v>
      </c>
      <c r="K2865">
        <v>1.1211949999999999</v>
      </c>
      <c r="L2865">
        <v>-64.317409999999995</v>
      </c>
      <c r="M2865">
        <v>0.96767040000000004</v>
      </c>
      <c r="N2865">
        <v>0</v>
      </c>
      <c r="O2865">
        <v>-0.2518263</v>
      </c>
      <c r="P2865">
        <v>0.98454399999999997</v>
      </c>
      <c r="Q2865">
        <v>0.14074039999999999</v>
      </c>
      <c r="R2865">
        <v>-0.1042373</v>
      </c>
      <c r="S2865">
        <v>3.0688170000000001</v>
      </c>
      <c r="T2865">
        <v>-0.2302274</v>
      </c>
      <c r="U2865">
        <v>-0.113678</v>
      </c>
      <c r="V2865">
        <v>-0.15125259999999999</v>
      </c>
      <c r="W2865">
        <v>0.15040689999999901</v>
      </c>
      <c r="X2865">
        <v>0.9769854</v>
      </c>
      <c r="Y2865">
        <v>-0.21456</v>
      </c>
      <c r="Z2865">
        <v>2.6718990000000001E-2</v>
      </c>
      <c r="AA2865">
        <v>0.97634529999999997</v>
      </c>
      <c r="AB2865">
        <v>30</v>
      </c>
      <c r="AC2865">
        <v>14.8095999999999</v>
      </c>
      <c r="AD2865">
        <v>-1.1211952200768001</v>
      </c>
      <c r="AE2865">
        <v>-0.52346000000000004</v>
      </c>
      <c r="AF2865">
        <v>-3.20488217340182</v>
      </c>
      <c r="AG2865">
        <v>-1.1211952200768001</v>
      </c>
      <c r="AH2865">
        <v>14.381733552781199</v>
      </c>
      <c r="AI2865">
        <v>94.351433086650601</v>
      </c>
      <c r="AJ2865">
        <v>102.562748738037</v>
      </c>
      <c r="AK2865">
        <v>14.777097429810199</v>
      </c>
      <c r="AL2865">
        <v>81.349492508308003</v>
      </c>
      <c r="AM2865">
        <v>98.800416327813707</v>
      </c>
      <c r="AN2865">
        <v>1.00000002819376</v>
      </c>
    </row>
    <row r="2866" spans="1:40" x14ac:dyDescent="0.3">
      <c r="A2866" t="str">
        <f>"20200111150906242"</f>
        <v>20200111150906242</v>
      </c>
      <c r="B2866" t="str">
        <f>"1578726546237104"</f>
        <v>1578726546237104</v>
      </c>
      <c r="C2866" t="s">
        <v>40</v>
      </c>
      <c r="D2866">
        <v>5.3512579999999996</v>
      </c>
      <c r="E2866">
        <v>0.49842170000000002</v>
      </c>
      <c r="F2866" t="s">
        <v>43</v>
      </c>
      <c r="G2866">
        <v>-269.86520000000002</v>
      </c>
      <c r="H2866" s="1">
        <v>-4.0257509999999998E-6</v>
      </c>
      <c r="I2866">
        <v>-64.781639999999996</v>
      </c>
      <c r="J2866">
        <v>-284.85610000000003</v>
      </c>
      <c r="K2866">
        <v>1.1210789999999999</v>
      </c>
      <c r="L2866">
        <v>-64.345060000000004</v>
      </c>
      <c r="M2866">
        <v>0.96917869999999995</v>
      </c>
      <c r="N2866">
        <v>0</v>
      </c>
      <c r="O2866">
        <v>-0.24595900000000001</v>
      </c>
      <c r="P2866">
        <v>0.98502610000000002</v>
      </c>
      <c r="Q2866">
        <v>0.14179929999999999</v>
      </c>
      <c r="R2866">
        <v>-9.8064250000000006E-2</v>
      </c>
      <c r="S2866">
        <v>3.0696409999999998</v>
      </c>
      <c r="T2866">
        <v>-0.2276475</v>
      </c>
      <c r="U2866">
        <v>-9.42688E-2</v>
      </c>
      <c r="V2866">
        <v>-0.15140509999999999</v>
      </c>
      <c r="W2866">
        <v>0.1514769</v>
      </c>
      <c r="X2866">
        <v>0.97679640000000001</v>
      </c>
      <c r="Y2866">
        <v>-0.21486340000000001</v>
      </c>
      <c r="Z2866">
        <v>2.6008099999999999E-2</v>
      </c>
      <c r="AA2866">
        <v>0.97629770000000005</v>
      </c>
      <c r="AB2866">
        <v>30</v>
      </c>
      <c r="AC2866">
        <v>14.9909</v>
      </c>
      <c r="AD2866">
        <v>-1.1210830257510001</v>
      </c>
      <c r="AE2866">
        <v>-0.43657999999999197</v>
      </c>
      <c r="AF2866">
        <v>-3.2462043882070799</v>
      </c>
      <c r="AG2866">
        <v>-1.1210830257510001</v>
      </c>
      <c r="AH2866">
        <v>14.556342295392399</v>
      </c>
      <c r="AI2866">
        <v>94.298853618827394</v>
      </c>
      <c r="AJ2866">
        <v>102.571792155842</v>
      </c>
      <c r="AK2866">
        <v>14.9559944872038</v>
      </c>
      <c r="AL2866">
        <v>81.287475059239597</v>
      </c>
      <c r="AM2866">
        <v>98.810827957296794</v>
      </c>
      <c r="AN2866">
        <v>0.99999998129628898</v>
      </c>
    </row>
    <row r="2867" spans="1:40" x14ac:dyDescent="0.3">
      <c r="A2867" t="str">
        <f>"20200111150906253"</f>
        <v>20200111150906253</v>
      </c>
      <c r="B2867" t="str">
        <f>"1578726546246867"</f>
        <v>1578726546246867</v>
      </c>
      <c r="C2867" t="s">
        <v>40</v>
      </c>
      <c r="D2867">
        <v>5.4290779999999996</v>
      </c>
      <c r="E2867">
        <v>0.49803330000000001</v>
      </c>
      <c r="F2867" t="s">
        <v>43</v>
      </c>
      <c r="G2867">
        <v>-273.39190000000002</v>
      </c>
      <c r="H2867" s="1">
        <v>-1.7395569999999999E-6</v>
      </c>
      <c r="I2867">
        <v>-65.466139999999996</v>
      </c>
      <c r="J2867">
        <v>-284.71109999999999</v>
      </c>
      <c r="K2867">
        <v>1.120933</v>
      </c>
      <c r="L2867">
        <v>-64.375339999999994</v>
      </c>
      <c r="M2867">
        <v>0.97081569999999995</v>
      </c>
      <c r="N2867">
        <v>0</v>
      </c>
      <c r="O2867">
        <v>-0.23941799999999999</v>
      </c>
      <c r="P2867">
        <v>0.98555780000000004</v>
      </c>
      <c r="Q2867">
        <v>0.14265420000000001</v>
      </c>
      <c r="R2867">
        <v>-9.1244350000000002E-2</v>
      </c>
      <c r="S2867">
        <v>3.058929</v>
      </c>
      <c r="T2867">
        <v>-0.29913230000000002</v>
      </c>
      <c r="U2867">
        <v>-0.29913329999999999</v>
      </c>
      <c r="V2867">
        <v>-0.15151679999999901</v>
      </c>
      <c r="W2867">
        <v>0.15234829999999999</v>
      </c>
      <c r="X2867">
        <v>0.97664359999999995</v>
      </c>
      <c r="Y2867">
        <v>-0.14203460000000001</v>
      </c>
      <c r="Z2867">
        <v>2.997609E-2</v>
      </c>
      <c r="AA2867">
        <v>0.9894077</v>
      </c>
      <c r="AB2867">
        <v>30</v>
      </c>
      <c r="AC2867">
        <v>11.319199999999899</v>
      </c>
      <c r="AD2867">
        <v>-1.120934739557</v>
      </c>
      <c r="AE2867">
        <v>-1.09079999999998</v>
      </c>
      <c r="AF2867">
        <v>-1.6353263781467799</v>
      </c>
      <c r="AG2867">
        <v>-1.120934739557</v>
      </c>
      <c r="AH2867">
        <v>11.1428456561008</v>
      </c>
      <c r="AI2867">
        <v>95.683966271125797</v>
      </c>
      <c r="AJ2867">
        <v>98.349138336431594</v>
      </c>
      <c r="AK2867">
        <v>11.3178529929087</v>
      </c>
      <c r="AL2867">
        <v>81.236961706845705</v>
      </c>
      <c r="AM2867">
        <v>98.818583903707193</v>
      </c>
      <c r="AN2867">
        <v>1.0000000333080401</v>
      </c>
    </row>
    <row r="2868" spans="1:40" x14ac:dyDescent="0.3">
      <c r="A2868" t="str">
        <f>"20200111150906264"</f>
        <v>20200111150906264</v>
      </c>
      <c r="B2868" t="str">
        <f>"1578726546256624"</f>
        <v>1578726546256624</v>
      </c>
      <c r="C2868" t="s">
        <v>40</v>
      </c>
      <c r="D2868">
        <v>5.3652199999999999</v>
      </c>
      <c r="E2868">
        <v>0.49885180000000001</v>
      </c>
      <c r="F2868" t="s">
        <v>43</v>
      </c>
      <c r="G2868">
        <v>-273.03680000000003</v>
      </c>
      <c r="H2868" s="1">
        <v>-1.5782289999999999E-6</v>
      </c>
      <c r="I2868">
        <v>-65.425759999999997</v>
      </c>
      <c r="J2868">
        <v>-284.58980000000003</v>
      </c>
      <c r="K2868">
        <v>1.120803</v>
      </c>
      <c r="L2868">
        <v>-64.400120000000001</v>
      </c>
      <c r="M2868">
        <v>0.9721301</v>
      </c>
      <c r="N2868">
        <v>0</v>
      </c>
      <c r="O2868">
        <v>-0.2340255</v>
      </c>
      <c r="P2868">
        <v>0.98600730000000003</v>
      </c>
      <c r="Q2868">
        <v>0.1430159</v>
      </c>
      <c r="R2868">
        <v>-8.5650320000000002E-2</v>
      </c>
      <c r="S2868">
        <v>3.0610050000000002</v>
      </c>
      <c r="T2868">
        <v>-0.29390899999999998</v>
      </c>
      <c r="U2868">
        <v>-0.27542109999999997</v>
      </c>
      <c r="V2868">
        <v>-0.1515851</v>
      </c>
      <c r="W2868">
        <v>0.15272769999999999</v>
      </c>
      <c r="X2868">
        <v>0.97657369999999999</v>
      </c>
      <c r="Y2868">
        <v>-0.1442785</v>
      </c>
      <c r="Z2868">
        <v>2.9056849999999999E-2</v>
      </c>
      <c r="AA2868">
        <v>0.98911039999999995</v>
      </c>
      <c r="AB2868">
        <v>30</v>
      </c>
      <c r="AC2868">
        <v>11.5529999999999</v>
      </c>
      <c r="AD2868">
        <v>-1.1208045782289999</v>
      </c>
      <c r="AE2868">
        <v>-1.0256399999999899</v>
      </c>
      <c r="AF2868">
        <v>-1.6910166550535899</v>
      </c>
      <c r="AG2868">
        <v>-1.1208045782289999</v>
      </c>
      <c r="AH2868">
        <v>11.366026658367399</v>
      </c>
      <c r="AI2868">
        <v>95.5708079173139</v>
      </c>
      <c r="AJ2868">
        <v>98.462288176693207</v>
      </c>
      <c r="AK2868">
        <v>11.545661619368801</v>
      </c>
      <c r="AL2868">
        <v>81.2149659257651</v>
      </c>
      <c r="AM2868">
        <v>98.823118127460702</v>
      </c>
      <c r="AN2868">
        <v>0.99999999221049396</v>
      </c>
    </row>
    <row r="2869" spans="1:40" x14ac:dyDescent="0.3">
      <c r="A2869" t="str">
        <f>"20200111150906274"</f>
        <v>20200111150906274</v>
      </c>
      <c r="B2869" t="str">
        <f>"1578726546266385"</f>
        <v>1578726546266385</v>
      </c>
      <c r="C2869" t="s">
        <v>40</v>
      </c>
      <c r="D2869">
        <v>5.2489470000000003</v>
      </c>
      <c r="E2869">
        <v>0.4966621</v>
      </c>
      <c r="F2869" t="s">
        <v>43</v>
      </c>
      <c r="G2869">
        <v>-274.00220000000002</v>
      </c>
      <c r="H2869" s="1">
        <v>-1.968504E-6</v>
      </c>
      <c r="I2869">
        <v>-65.318269999999998</v>
      </c>
      <c r="J2869">
        <v>-284.44380000000001</v>
      </c>
      <c r="K2869">
        <v>1.120627</v>
      </c>
      <c r="L2869">
        <v>-64.429019999999994</v>
      </c>
      <c r="M2869">
        <v>0.97364099999999998</v>
      </c>
      <c r="N2869">
        <v>0</v>
      </c>
      <c r="O2869">
        <v>-0.22765969999999999</v>
      </c>
      <c r="P2869">
        <v>0.98652010000000001</v>
      </c>
      <c r="Q2869">
        <v>0.1434096</v>
      </c>
      <c r="R2869">
        <v>-7.8812259999999995E-2</v>
      </c>
      <c r="S2869">
        <v>3.0665589999999998</v>
      </c>
      <c r="T2869">
        <v>-0.32462809999999998</v>
      </c>
      <c r="U2869">
        <v>-0.26593020000000001</v>
      </c>
      <c r="V2869">
        <v>-0.15189659999999999</v>
      </c>
      <c r="W2869">
        <v>0.15314</v>
      </c>
      <c r="X2869">
        <v>0.97646080000000002</v>
      </c>
      <c r="Y2869">
        <v>-0.14068839999999999</v>
      </c>
      <c r="Z2869">
        <v>3.118423E-2</v>
      </c>
      <c r="AA2869">
        <v>0.98956270000000002</v>
      </c>
      <c r="AB2869">
        <v>30</v>
      </c>
      <c r="AC2869">
        <v>10.4415999999999</v>
      </c>
      <c r="AD2869">
        <v>-1.1206289685040001</v>
      </c>
      <c r="AE2869">
        <v>-0.88925000000000398</v>
      </c>
      <c r="AF2869">
        <v>-1.49437927109935</v>
      </c>
      <c r="AG2869">
        <v>-1.1206289685040001</v>
      </c>
      <c r="AH2869">
        <v>10.252581262421799</v>
      </c>
      <c r="AI2869">
        <v>96.173071465531393</v>
      </c>
      <c r="AJ2869">
        <v>98.292828407988495</v>
      </c>
      <c r="AK2869">
        <v>10.421343542629399</v>
      </c>
      <c r="AL2869">
        <v>81.191062325224394</v>
      </c>
      <c r="AM2869">
        <v>98.841969117692003</v>
      </c>
      <c r="AN2869">
        <v>1.0000000653140899</v>
      </c>
    </row>
    <row r="2870" spans="1:40" x14ac:dyDescent="0.3">
      <c r="A2870" t="str">
        <f>"20200111150906295"</f>
        <v>20200111150906295</v>
      </c>
      <c r="B2870" t="str">
        <f>"1578726546286881"</f>
        <v>1578726546286881</v>
      </c>
      <c r="C2870" t="s">
        <v>40</v>
      </c>
      <c r="D2870">
        <v>5.5423980000000004</v>
      </c>
      <c r="E2870">
        <v>0.49448199999999998</v>
      </c>
      <c r="F2870" t="s">
        <v>43</v>
      </c>
      <c r="G2870">
        <v>-273.21370000000002</v>
      </c>
      <c r="H2870" s="1">
        <v>-1.61797E-6</v>
      </c>
      <c r="I2870">
        <v>-65.263099999999994</v>
      </c>
      <c r="J2870">
        <v>-284.18040000000002</v>
      </c>
      <c r="K2870">
        <v>1.1202650000000001</v>
      </c>
      <c r="L2870">
        <v>-64.479060000000004</v>
      </c>
      <c r="M2870">
        <v>0.97617390000000004</v>
      </c>
      <c r="N2870">
        <v>0</v>
      </c>
      <c r="O2870">
        <v>-0.21654680000000001</v>
      </c>
      <c r="P2870">
        <v>0.98740079999999997</v>
      </c>
      <c r="Q2870">
        <v>0.143232</v>
      </c>
      <c r="R2870">
        <v>-6.7263760000000006E-2</v>
      </c>
      <c r="S2870">
        <v>3.0672609999999998</v>
      </c>
      <c r="T2870">
        <v>-0.3060775</v>
      </c>
      <c r="U2870">
        <v>-0.22781370000000001</v>
      </c>
      <c r="V2870">
        <v>-0.15205639999999901</v>
      </c>
      <c r="W2870">
        <v>0.1530185</v>
      </c>
      <c r="X2870">
        <v>0.97645490000000001</v>
      </c>
      <c r="Y2870">
        <v>-0.14191119999999999</v>
      </c>
      <c r="Z2870">
        <v>2.8408880000000001E-2</v>
      </c>
      <c r="AA2870">
        <v>0.98947169999999895</v>
      </c>
      <c r="AB2870">
        <v>30</v>
      </c>
      <c r="AC2870">
        <v>10.966699999999999</v>
      </c>
      <c r="AD2870">
        <v>-1.12026661797</v>
      </c>
      <c r="AE2870">
        <v>-0.78403999999998997</v>
      </c>
      <c r="AF2870">
        <v>-1.59305995087347</v>
      </c>
      <c r="AG2870">
        <v>-1.12026661797</v>
      </c>
      <c r="AH2870">
        <v>10.7644761431291</v>
      </c>
      <c r="AI2870">
        <v>95.877860291981406</v>
      </c>
      <c r="AJ2870">
        <v>98.418233073813497</v>
      </c>
      <c r="AK2870">
        <v>10.9392314144281</v>
      </c>
      <c r="AL2870">
        <v>81.198106128680806</v>
      </c>
      <c r="AM2870">
        <v>98.851176569548798</v>
      </c>
      <c r="AN2870">
        <v>0.99999999092860903</v>
      </c>
    </row>
    <row r="2871" spans="1:40" x14ac:dyDescent="0.3">
      <c r="A2871" t="str">
        <f>"20200111150906307"</f>
        <v>20200111150906307</v>
      </c>
      <c r="B2871" t="str">
        <f>"1578726546296641"</f>
        <v>1578726546296641</v>
      </c>
      <c r="C2871" t="s">
        <v>40</v>
      </c>
      <c r="D2871">
        <v>5.4606180000000002</v>
      </c>
      <c r="E2871">
        <v>0.49468000000000001</v>
      </c>
      <c r="F2871" t="s">
        <v>43</v>
      </c>
      <c r="G2871">
        <v>-272.14749999999998</v>
      </c>
      <c r="H2871" s="1">
        <v>-1.139085E-6</v>
      </c>
      <c r="I2871">
        <v>-65.166499999999999</v>
      </c>
      <c r="J2871">
        <v>-284.0258</v>
      </c>
      <c r="K2871">
        <v>1.1200139999999901</v>
      </c>
      <c r="L2871">
        <v>-64.507109999999997</v>
      </c>
      <c r="M2871">
        <v>0.97753999999999996</v>
      </c>
      <c r="N2871">
        <v>0</v>
      </c>
      <c r="O2871">
        <v>-0.21029719999999999</v>
      </c>
      <c r="P2871">
        <v>0.98788849999999995</v>
      </c>
      <c r="Q2871">
        <v>0.1432011</v>
      </c>
      <c r="R2871">
        <v>-5.9746880000000002E-2</v>
      </c>
      <c r="S2871">
        <v>3.06778</v>
      </c>
      <c r="T2871">
        <v>-0.28561209999999998</v>
      </c>
      <c r="U2871">
        <v>-0.17526249999999999</v>
      </c>
      <c r="V2871">
        <v>-0.15315100000000001</v>
      </c>
      <c r="W2871">
        <v>0.1529992</v>
      </c>
      <c r="X2871">
        <v>0.97628689999999996</v>
      </c>
      <c r="Y2871">
        <v>-0.15266389999999999</v>
      </c>
      <c r="Z2871">
        <v>2.64683E-2</v>
      </c>
      <c r="AA2871">
        <v>0.98792369999999996</v>
      </c>
      <c r="AB2871">
        <v>30</v>
      </c>
      <c r="AC2871">
        <v>11.878299999999999</v>
      </c>
      <c r="AD2871">
        <v>-1.1200151390849999</v>
      </c>
      <c r="AE2871">
        <v>-0.65939000000000103</v>
      </c>
      <c r="AF2871">
        <v>-1.83728512696094</v>
      </c>
      <c r="AG2871">
        <v>-1.1200151390849999</v>
      </c>
      <c r="AH2871">
        <v>11.6480593908492</v>
      </c>
      <c r="AI2871">
        <v>95.4256978902539</v>
      </c>
      <c r="AJ2871">
        <v>98.963593480250296</v>
      </c>
      <c r="AK2871">
        <v>11.8451398523733</v>
      </c>
      <c r="AL2871">
        <v>81.199225615812097</v>
      </c>
      <c r="AM2871">
        <v>98.915382710250597</v>
      </c>
      <c r="AN2871">
        <v>1.00000004755662</v>
      </c>
    </row>
    <row r="2872" spans="1:40" x14ac:dyDescent="0.3">
      <c r="A2872" t="str">
        <f>"20200111150906318"</f>
        <v>20200111150906318</v>
      </c>
      <c r="B2872" t="str">
        <f>"1578726546306400"</f>
        <v>1578726546306400</v>
      </c>
      <c r="C2872" t="s">
        <v>40</v>
      </c>
      <c r="D2872">
        <v>6.9554099999999996</v>
      </c>
      <c r="E2872">
        <v>0.49468000000000001</v>
      </c>
      <c r="F2872" t="s">
        <v>43</v>
      </c>
      <c r="G2872">
        <v>-271.92469999999997</v>
      </c>
      <c r="H2872" s="1">
        <v>-1.032795E-6</v>
      </c>
      <c r="I2872">
        <v>-65.118229999999997</v>
      </c>
      <c r="J2872">
        <v>-283.88290000000001</v>
      </c>
      <c r="K2872">
        <v>1.1197790000000001</v>
      </c>
      <c r="L2872">
        <v>-64.532560000000004</v>
      </c>
      <c r="M2872">
        <v>0.97874729999999999</v>
      </c>
      <c r="N2872">
        <v>0</v>
      </c>
      <c r="O2872">
        <v>-0.20460800000000001</v>
      </c>
      <c r="P2872">
        <v>0.98827209999999999</v>
      </c>
      <c r="Q2872">
        <v>0.14300070000000001</v>
      </c>
      <c r="R2872">
        <v>-5.3566959999999997E-2</v>
      </c>
      <c r="S2872">
        <v>3.0685730000000002</v>
      </c>
      <c r="T2872">
        <v>-0.28401219999999999</v>
      </c>
      <c r="U2872">
        <v>-0.1549683</v>
      </c>
      <c r="V2872">
        <v>-0.1534915</v>
      </c>
      <c r="W2872">
        <v>0.15283379999999999</v>
      </c>
      <c r="X2872">
        <v>0.97625930000000005</v>
      </c>
      <c r="Y2872">
        <v>-0.15348329999999999</v>
      </c>
      <c r="Z2872">
        <v>2.5844720000000002E-2</v>
      </c>
      <c r="AA2872">
        <v>0.98781319999999995</v>
      </c>
      <c r="AB2872">
        <v>30</v>
      </c>
      <c r="AC2872">
        <v>11.9582</v>
      </c>
      <c r="AD2872">
        <v>-1.1197800327949901</v>
      </c>
      <c r="AE2872">
        <v>-0.58567000000000702</v>
      </c>
      <c r="AF2872">
        <v>-1.85744940877161</v>
      </c>
      <c r="AG2872">
        <v>-1.1197800327949901</v>
      </c>
      <c r="AH2872">
        <v>11.7224634936033</v>
      </c>
      <c r="AI2872">
        <v>95.3897445210917</v>
      </c>
      <c r="AJ2872">
        <v>99.003783857349504</v>
      </c>
      <c r="AK2872">
        <v>11.9214166937849</v>
      </c>
      <c r="AL2872">
        <v>81.208814837985997</v>
      </c>
      <c r="AM2872">
        <v>98.935133323527296</v>
      </c>
      <c r="AN2872">
        <v>1.00000001591559</v>
      </c>
    </row>
    <row r="2873" spans="1:40" x14ac:dyDescent="0.3">
      <c r="A2873" t="str">
        <f>"20200111150906330"</f>
        <v>20200111150906330</v>
      </c>
      <c r="B2873" t="str">
        <f>"1578726546326897"</f>
        <v>1578726546326897</v>
      </c>
      <c r="C2873" t="s">
        <v>40</v>
      </c>
      <c r="D2873">
        <v>5.7392479999999999</v>
      </c>
      <c r="E2873">
        <v>0.48978149999999998</v>
      </c>
      <c r="F2873" t="s">
        <v>43</v>
      </c>
      <c r="G2873">
        <v>-271.80770000000001</v>
      </c>
      <c r="H2873" s="1">
        <v>-9.7140069999999992E-7</v>
      </c>
      <c r="I2873">
        <v>-65.067890000000006</v>
      </c>
      <c r="J2873">
        <v>-283.73039999999997</v>
      </c>
      <c r="K2873">
        <v>1.1194980000000001</v>
      </c>
      <c r="L2873">
        <v>-64.558530000000005</v>
      </c>
      <c r="M2873">
        <v>0.97993220000000003</v>
      </c>
      <c r="N2873">
        <v>0</v>
      </c>
      <c r="O2873">
        <v>-0.1988587</v>
      </c>
      <c r="P2873">
        <v>0.98859090000000005</v>
      </c>
      <c r="Q2873">
        <v>0.14302999999999999</v>
      </c>
      <c r="R2873">
        <v>-4.7228369999999999E-2</v>
      </c>
      <c r="S2873">
        <v>3.0694270000000001</v>
      </c>
      <c r="T2873">
        <v>-0.28464080000000003</v>
      </c>
      <c r="U2873">
        <v>-0.1360779</v>
      </c>
      <c r="V2873">
        <v>-0.15391529999999901</v>
      </c>
      <c r="W2873">
        <v>0.1529035</v>
      </c>
      <c r="X2873">
        <v>0.97618159999999998</v>
      </c>
      <c r="Y2873">
        <v>-0.153779</v>
      </c>
      <c r="Z2873">
        <v>2.5392669999999999E-2</v>
      </c>
      <c r="AA2873">
        <v>0.98777899999999996</v>
      </c>
      <c r="AB2873">
        <v>30</v>
      </c>
      <c r="AC2873">
        <v>11.922699999999899</v>
      </c>
      <c r="AD2873">
        <v>-1.1194989714007</v>
      </c>
      <c r="AE2873">
        <v>-0.50936000000000003</v>
      </c>
      <c r="AF2873">
        <v>-1.8556399079236201</v>
      </c>
      <c r="AG2873">
        <v>-1.1194989714007</v>
      </c>
      <c r="AH2873">
        <v>11.6830206641697</v>
      </c>
      <c r="AI2873">
        <v>95.406167653572297</v>
      </c>
      <c r="AJ2873">
        <v>99.025025349328999</v>
      </c>
      <c r="AK2873">
        <v>11.8823250777894</v>
      </c>
      <c r="AL2873">
        <v>81.204773313118096</v>
      </c>
      <c r="AM2873">
        <v>98.960105707114096</v>
      </c>
      <c r="AN2873">
        <v>0.99999995803244901</v>
      </c>
    </row>
    <row r="2874" spans="1:40" x14ac:dyDescent="0.3">
      <c r="A2874" t="str">
        <f>"20200111150906341"</f>
        <v>20200111150906341</v>
      </c>
      <c r="B2874" t="str">
        <f>"1578726546336656"</f>
        <v>1578726546336656</v>
      </c>
      <c r="C2874" t="s">
        <v>40</v>
      </c>
      <c r="D2874">
        <v>5.5038109999999998</v>
      </c>
      <c r="E2874">
        <v>0.49114239999999998</v>
      </c>
      <c r="F2874" t="s">
        <v>70</v>
      </c>
      <c r="G2874">
        <v>-157.3501</v>
      </c>
      <c r="H2874">
        <v>38.792270000000002</v>
      </c>
      <c r="I2874">
        <v>-66.699969999999993</v>
      </c>
      <c r="J2874">
        <v>-283.59390000000002</v>
      </c>
      <c r="K2874">
        <v>1.119245</v>
      </c>
      <c r="L2874">
        <v>-64.581509999999994</v>
      </c>
      <c r="M2874">
        <v>0.98094930000000002</v>
      </c>
      <c r="N2874">
        <v>0</v>
      </c>
      <c r="O2874">
        <v>-0.19378229999999999</v>
      </c>
      <c r="P2874">
        <v>0.98886430000000003</v>
      </c>
      <c r="Q2874">
        <v>0.1428325</v>
      </c>
      <c r="R2874">
        <v>-4.179066E-2</v>
      </c>
      <c r="S2874">
        <v>2.9068909999999999</v>
      </c>
      <c r="T2874">
        <v>0.86651590000000001</v>
      </c>
      <c r="U2874">
        <v>-4.925537E-2</v>
      </c>
      <c r="V2874">
        <v>-0.15413499999999999</v>
      </c>
      <c r="W2874">
        <v>0.15275079999999999</v>
      </c>
      <c r="X2874">
        <v>0.97617089999999995</v>
      </c>
      <c r="Y2874">
        <v>-0.16178919999999999</v>
      </c>
      <c r="Z2874">
        <v>-7.9837199999999997E-2</v>
      </c>
      <c r="AA2874">
        <v>0.98359050000000003</v>
      </c>
      <c r="AB2874">
        <v>30</v>
      </c>
      <c r="AC2874">
        <v>126.24379999999999</v>
      </c>
      <c r="AD2874">
        <v>37.673025000000003</v>
      </c>
      <c r="AE2874">
        <v>-2.11845999999999</v>
      </c>
      <c r="AF2874">
        <v>-20.557633063458301</v>
      </c>
      <c r="AG2874">
        <v>37.673025000000003</v>
      </c>
      <c r="AH2874">
        <v>114.10274770146199</v>
      </c>
      <c r="AI2874">
        <v>71.999160609395901</v>
      </c>
      <c r="AJ2874">
        <v>100.213282082533</v>
      </c>
      <c r="AK2874">
        <v>121.90697323306</v>
      </c>
      <c r="AL2874">
        <v>81.213626886066095</v>
      </c>
      <c r="AM2874">
        <v>98.972784248989399</v>
      </c>
      <c r="AN2874">
        <v>1.0000000155662201</v>
      </c>
    </row>
    <row r="2875" spans="1:40" x14ac:dyDescent="0.3">
      <c r="A2875" t="str">
        <f>"20200111150906353"</f>
        <v>20200111150906353</v>
      </c>
      <c r="B2875" t="str">
        <f>"1578726546346417"</f>
        <v>1578726546346417</v>
      </c>
      <c r="C2875" t="s">
        <v>40</v>
      </c>
      <c r="D2875">
        <v>5.3914710000000001</v>
      </c>
      <c r="E2875">
        <v>0.49114239999999998</v>
      </c>
      <c r="F2875" t="s">
        <v>70</v>
      </c>
      <c r="G2875">
        <v>-157.3501</v>
      </c>
      <c r="H2875">
        <v>16.158079999999899</v>
      </c>
      <c r="I2875">
        <v>-66.982230000000001</v>
      </c>
      <c r="J2875">
        <v>-283.44130000000001</v>
      </c>
      <c r="K2875">
        <v>1.118938</v>
      </c>
      <c r="L2875">
        <v>-64.606200000000001</v>
      </c>
      <c r="M2875">
        <v>0.9819928</v>
      </c>
      <c r="N2875">
        <v>0</v>
      </c>
      <c r="O2875">
        <v>-0.18842700000000001</v>
      </c>
      <c r="P2875">
        <v>0.98911020000000005</v>
      </c>
      <c r="Q2875">
        <v>0.14263190000000001</v>
      </c>
      <c r="R2875">
        <v>-3.6291860000000002E-2</v>
      </c>
      <c r="S2875">
        <v>2.9801030000000002</v>
      </c>
      <c r="T2875">
        <v>0.35500500000000001</v>
      </c>
      <c r="U2875">
        <v>-5.6671140000000002E-2</v>
      </c>
      <c r="V2875">
        <v>-0.1541206</v>
      </c>
      <c r="W2875">
        <v>0.15261179999999999</v>
      </c>
      <c r="X2875">
        <v>0.97619489999999998</v>
      </c>
      <c r="Y2875">
        <v>-0.16723840000000001</v>
      </c>
      <c r="Z2875">
        <v>-3.2181139999999997E-2</v>
      </c>
      <c r="AA2875">
        <v>0.98539109999999996</v>
      </c>
      <c r="AB2875">
        <v>30</v>
      </c>
      <c r="AC2875">
        <v>126.0912</v>
      </c>
      <c r="AD2875">
        <v>15.039141999999901</v>
      </c>
      <c r="AE2875">
        <v>-2.3760300000000001</v>
      </c>
      <c r="AF2875">
        <v>-21.127282976297799</v>
      </c>
      <c r="AG2875">
        <v>15.039141999999901</v>
      </c>
      <c r="AH2875">
        <v>122.537308486825</v>
      </c>
      <c r="AI2875">
        <v>83.103766077013105</v>
      </c>
      <c r="AJ2875">
        <v>99.7824800584835</v>
      </c>
      <c r="AK2875">
        <v>125.251466455496</v>
      </c>
      <c r="AL2875">
        <v>81.221685360820899</v>
      </c>
      <c r="AM2875">
        <v>98.971742617276206</v>
      </c>
      <c r="AN2875">
        <v>1.0000000018148001</v>
      </c>
    </row>
    <row r="2876" spans="1:40" x14ac:dyDescent="0.3">
      <c r="A2876" t="str">
        <f>"20200111150906364"</f>
        <v>20200111150906364</v>
      </c>
      <c r="B2876" t="str">
        <f>"1578726546357152"</f>
        <v>1578726546357152</v>
      </c>
      <c r="C2876" t="s">
        <v>40</v>
      </c>
      <c r="D2876">
        <v>6.5989319999999996</v>
      </c>
      <c r="E2876">
        <v>0.49114239999999998</v>
      </c>
      <c r="F2876" t="s">
        <v>70</v>
      </c>
      <c r="G2876">
        <v>-157.3501</v>
      </c>
      <c r="H2876">
        <v>16.10623</v>
      </c>
      <c r="I2876">
        <v>-66.309119999999993</v>
      </c>
      <c r="J2876">
        <v>-283.29059999999998</v>
      </c>
      <c r="K2876">
        <v>1.1186320000000001</v>
      </c>
      <c r="L2876">
        <v>-64.630160000000004</v>
      </c>
      <c r="M2876">
        <v>0.98296450000000002</v>
      </c>
      <c r="N2876">
        <v>0</v>
      </c>
      <c r="O2876">
        <v>-0.18329390000000001</v>
      </c>
      <c r="P2876">
        <v>0.98933009999999999</v>
      </c>
      <c r="Q2876">
        <v>0.14228789999999999</v>
      </c>
      <c r="R2876">
        <v>-3.1311159999999998E-2</v>
      </c>
      <c r="S2876">
        <v>2.9804689999999998</v>
      </c>
      <c r="T2876">
        <v>0.35426010000000002</v>
      </c>
      <c r="U2876">
        <v>-4.0252690000000001E-2</v>
      </c>
      <c r="V2876">
        <v>-0.1538204</v>
      </c>
      <c r="W2876">
        <v>0.15233840000000001</v>
      </c>
      <c r="X2876">
        <v>0.97628490000000001</v>
      </c>
      <c r="Y2876">
        <v>-0.16756190000000001</v>
      </c>
      <c r="Z2876">
        <v>-3.153413E-2</v>
      </c>
      <c r="AA2876">
        <v>0.98535709999999999</v>
      </c>
      <c r="AB2876">
        <v>30</v>
      </c>
      <c r="AC2876">
        <v>125.9405</v>
      </c>
      <c r="AD2876">
        <v>14.987598</v>
      </c>
      <c r="AE2876">
        <v>-1.67895999999998</v>
      </c>
      <c r="AF2876">
        <v>-21.136453760882102</v>
      </c>
      <c r="AG2876">
        <v>14.987598</v>
      </c>
      <c r="AH2876">
        <v>122.381320510004</v>
      </c>
      <c r="AI2876">
        <v>83.118835610840307</v>
      </c>
      <c r="AJ2876">
        <v>99.798876724190706</v>
      </c>
      <c r="AK2876">
        <v>125.094226010507</v>
      </c>
      <c r="AL2876">
        <v>81.237534940526999</v>
      </c>
      <c r="AM2876">
        <v>98.953738563715106</v>
      </c>
      <c r="AN2876">
        <v>0.99999995476936399</v>
      </c>
    </row>
    <row r="2877" spans="1:40" x14ac:dyDescent="0.3">
      <c r="A2877" t="str">
        <f>"20200111150906374"</f>
        <v>20200111150906374</v>
      </c>
      <c r="B2877" t="str">
        <f>"1578726546366912"</f>
        <v>1578726546366912</v>
      </c>
      <c r="C2877" t="s">
        <v>40</v>
      </c>
      <c r="D2877">
        <v>6.479482</v>
      </c>
      <c r="E2877">
        <v>0.49117290000000002</v>
      </c>
      <c r="F2877" t="s">
        <v>70</v>
      </c>
      <c r="G2877">
        <v>-157.3501</v>
      </c>
      <c r="H2877">
        <v>16.038720000000001</v>
      </c>
      <c r="I2877">
        <v>-65.700360000000003</v>
      </c>
      <c r="J2877">
        <v>-283.15359999999998</v>
      </c>
      <c r="K2877">
        <v>1.118352</v>
      </c>
      <c r="L2877">
        <v>-64.651340000000005</v>
      </c>
      <c r="M2877">
        <v>0.98379119999999998</v>
      </c>
      <c r="N2877">
        <v>0</v>
      </c>
      <c r="O2877">
        <v>-0.17880789999999999</v>
      </c>
      <c r="P2877">
        <v>0.98950139999999998</v>
      </c>
      <c r="Q2877">
        <v>0.14198569999999999</v>
      </c>
      <c r="R2877">
        <v>-2.6967109999999999E-2</v>
      </c>
      <c r="S2877">
        <v>2.9807739999999998</v>
      </c>
      <c r="T2877">
        <v>0.35312959999999999</v>
      </c>
      <c r="U2877">
        <v>-2.5329589999999999E-2</v>
      </c>
      <c r="V2877">
        <v>-0.1535473</v>
      </c>
      <c r="W2877">
        <v>0.15210099999999999</v>
      </c>
      <c r="X2877">
        <v>0.97636500000000004</v>
      </c>
      <c r="Y2877">
        <v>-0.168043</v>
      </c>
      <c r="Z2877">
        <v>-3.0939990000000001E-2</v>
      </c>
      <c r="AA2877">
        <v>0.985294</v>
      </c>
      <c r="AB2877">
        <v>30</v>
      </c>
      <c r="AC2877">
        <v>125.8035</v>
      </c>
      <c r="AD2877">
        <v>14.920368</v>
      </c>
      <c r="AE2877">
        <v>-1.0490199999999901</v>
      </c>
      <c r="AF2877">
        <v>-21.166888104605</v>
      </c>
      <c r="AG2877">
        <v>14.920368</v>
      </c>
      <c r="AH2877">
        <v>122.243893291764</v>
      </c>
      <c r="AI2877">
        <v>83.142285769954697</v>
      </c>
      <c r="AJ2877">
        <v>99.823528713743499</v>
      </c>
      <c r="AK2877">
        <v>124.956888487255</v>
      </c>
      <c r="AL2877">
        <v>81.251298179880493</v>
      </c>
      <c r="AM2877">
        <v>98.937377116925006</v>
      </c>
      <c r="AN2877">
        <v>1.00000005038164</v>
      </c>
    </row>
    <row r="2878" spans="1:40" x14ac:dyDescent="0.3">
      <c r="A2878" t="str">
        <f>"20200111150906386"</f>
        <v>20200111150906386</v>
      </c>
      <c r="B2878" t="str">
        <f>"1578726546376673"</f>
        <v>1578726546376673</v>
      </c>
      <c r="C2878" t="s">
        <v>40</v>
      </c>
      <c r="D2878">
        <v>5.3914569999999999</v>
      </c>
      <c r="E2878">
        <v>0.49117290000000002</v>
      </c>
      <c r="F2878" t="s">
        <v>70</v>
      </c>
      <c r="G2878">
        <v>-157.80369999999999</v>
      </c>
      <c r="H2878">
        <v>46.160960000000003</v>
      </c>
      <c r="I2878">
        <v>-64.376689999999996</v>
      </c>
      <c r="J2878">
        <v>-283.01100000000002</v>
      </c>
      <c r="K2878">
        <v>1.118061</v>
      </c>
      <c r="L2878">
        <v>-64.672849999999997</v>
      </c>
      <c r="M2878">
        <v>0.98458950000000001</v>
      </c>
      <c r="N2878">
        <v>0</v>
      </c>
      <c r="O2878">
        <v>-0.17436270000000001</v>
      </c>
      <c r="P2878">
        <v>0.98963610000000002</v>
      </c>
      <c r="Q2878">
        <v>0.14174919999999999</v>
      </c>
      <c r="R2878">
        <v>-2.2977029999999999E-2</v>
      </c>
      <c r="S2878">
        <v>2.8833310000000001</v>
      </c>
      <c r="T2878">
        <v>1.036081</v>
      </c>
      <c r="U2878">
        <v>6.3171390000000003E-3</v>
      </c>
      <c r="V2878">
        <v>-0.15296360000000001</v>
      </c>
      <c r="W2878">
        <v>0.151938299999999</v>
      </c>
      <c r="X2878">
        <v>0.97648190000000001</v>
      </c>
      <c r="Y2878">
        <v>-0.15594179999999999</v>
      </c>
      <c r="Z2878">
        <v>-8.7686959999999994E-2</v>
      </c>
      <c r="AA2878">
        <v>0.98386649999999998</v>
      </c>
      <c r="AB2878">
        <v>30</v>
      </c>
      <c r="AC2878">
        <v>125.20729999999899</v>
      </c>
      <c r="AD2878">
        <v>45.042898999999998</v>
      </c>
      <c r="AE2878">
        <v>0.29615999999999998</v>
      </c>
      <c r="AF2878">
        <v>-19.589828586299902</v>
      </c>
      <c r="AG2878">
        <v>45.042898999999998</v>
      </c>
      <c r="AH2878">
        <v>109.11588014747799</v>
      </c>
      <c r="AI2878">
        <v>67.887958283208405</v>
      </c>
      <c r="AJ2878">
        <v>100.17801721353899</v>
      </c>
      <c r="AK2878">
        <v>119.66160384485801</v>
      </c>
      <c r="AL2878">
        <v>81.260729426789396</v>
      </c>
      <c r="AM2878">
        <v>98.902898773815195</v>
      </c>
      <c r="AN2878">
        <v>1.00000000547973</v>
      </c>
    </row>
    <row r="2879" spans="1:40" x14ac:dyDescent="0.3">
      <c r="A2879" t="str">
        <f>"20200111150906397"</f>
        <v>20200111150906397</v>
      </c>
      <c r="B2879" t="str">
        <f>"1578726546386432"</f>
        <v>1578726546386432</v>
      </c>
      <c r="C2879" t="s">
        <v>40</v>
      </c>
      <c r="D2879">
        <v>5.3964030000000003</v>
      </c>
      <c r="E2879">
        <v>0.52497179999999999</v>
      </c>
      <c r="F2879" t="s">
        <v>70</v>
      </c>
      <c r="G2879">
        <v>-157.55959999999999</v>
      </c>
      <c r="H2879">
        <v>46.160960000000003</v>
      </c>
      <c r="I2879">
        <v>-63.868259999999999</v>
      </c>
      <c r="J2879">
        <v>-282.87119999999999</v>
      </c>
      <c r="K2879">
        <v>1.117774</v>
      </c>
      <c r="L2879">
        <v>-64.693600000000004</v>
      </c>
      <c r="M2879">
        <v>0.98532969999999998</v>
      </c>
      <c r="N2879">
        <v>0</v>
      </c>
      <c r="O2879">
        <v>-0.17013420000000001</v>
      </c>
      <c r="P2879">
        <v>0.98975250000000004</v>
      </c>
      <c r="Q2879">
        <v>0.14151820000000001</v>
      </c>
      <c r="R2879">
        <v>-1.9047769999999999E-2</v>
      </c>
      <c r="S2879">
        <v>2.8835449999999998</v>
      </c>
      <c r="T2879">
        <v>1.035326</v>
      </c>
      <c r="U2879">
        <v>1.849365E-2</v>
      </c>
      <c r="V2879">
        <v>-0.15253939999999999</v>
      </c>
      <c r="W2879">
        <v>0.1517771</v>
      </c>
      <c r="X2879">
        <v>0.97657329999999998</v>
      </c>
      <c r="Y2879">
        <v>-0.1561467</v>
      </c>
      <c r="Z2879">
        <v>-8.6205550000000006E-2</v>
      </c>
      <c r="AA2879">
        <v>0.98396490000000003</v>
      </c>
      <c r="AB2879">
        <v>30</v>
      </c>
      <c r="AC2879">
        <v>125.3116</v>
      </c>
      <c r="AD2879">
        <v>45.043185999999999</v>
      </c>
      <c r="AE2879">
        <v>0.82534000000000396</v>
      </c>
      <c r="AF2879">
        <v>-19.6024117897046</v>
      </c>
      <c r="AG2879">
        <v>45.043185999999999</v>
      </c>
      <c r="AH2879">
        <v>109.231396638787</v>
      </c>
      <c r="AI2879">
        <v>67.908705630629598</v>
      </c>
      <c r="AJ2879">
        <v>100.173872762664</v>
      </c>
      <c r="AK2879">
        <v>119.769116071982</v>
      </c>
      <c r="AL2879">
        <v>81.270073686167393</v>
      </c>
      <c r="AM2879">
        <v>98.877785327052806</v>
      </c>
      <c r="AN2879">
        <v>0.99999998345482899</v>
      </c>
    </row>
    <row r="2880" spans="1:40" x14ac:dyDescent="0.3">
      <c r="A2880" t="str">
        <f>"20200111150906408"</f>
        <v>20200111150906408</v>
      </c>
      <c r="B2880" t="str">
        <f>"1578726546397170"</f>
        <v>1578726546397170</v>
      </c>
      <c r="C2880" t="s">
        <v>40</v>
      </c>
      <c r="D2880">
        <v>5.4059400000000002</v>
      </c>
      <c r="E2880">
        <v>0.53243859999999998</v>
      </c>
      <c r="F2880" t="s">
        <v>43</v>
      </c>
      <c r="G2880">
        <v>-268.0102</v>
      </c>
      <c r="H2880" s="1">
        <v>-3.6156530000000001E-6</v>
      </c>
      <c r="I2880">
        <v>-66.028459999999995</v>
      </c>
      <c r="J2880">
        <v>-282.7253</v>
      </c>
      <c r="K2880">
        <v>1.1174660000000001</v>
      </c>
      <c r="L2880">
        <v>-64.71463</v>
      </c>
      <c r="M2880">
        <v>0.98602939999999994</v>
      </c>
      <c r="N2880">
        <v>0</v>
      </c>
      <c r="O2880">
        <v>-0.16603419999999999</v>
      </c>
      <c r="P2880">
        <v>0.98985049999999997</v>
      </c>
      <c r="Q2880">
        <v>0.1413104</v>
      </c>
      <c r="R2880">
        <v>-1.508135E-2</v>
      </c>
      <c r="S2880">
        <v>3.0586549999999999</v>
      </c>
      <c r="T2880">
        <v>-0.2300594</v>
      </c>
      <c r="U2880">
        <v>-0.27474979999999999</v>
      </c>
      <c r="V2880">
        <v>-0.15227539999999901</v>
      </c>
      <c r="W2880">
        <v>0.15164</v>
      </c>
      <c r="X2880">
        <v>0.97663580000000005</v>
      </c>
      <c r="Y2880">
        <v>-7.6484570000000002E-2</v>
      </c>
      <c r="Z2880">
        <v>1.524698E-2</v>
      </c>
      <c r="AA2880">
        <v>0.99695420000000001</v>
      </c>
      <c r="AB2880">
        <v>30</v>
      </c>
      <c r="AC2880">
        <v>14.7151</v>
      </c>
      <c r="AD2880">
        <v>-1.117469615653</v>
      </c>
      <c r="AE2880">
        <v>-1.3138299999999901</v>
      </c>
      <c r="AF2880">
        <v>-1.14130760218801</v>
      </c>
      <c r="AG2880">
        <v>-1.117469615653</v>
      </c>
      <c r="AH2880">
        <v>14.645187896606901</v>
      </c>
      <c r="AI2880">
        <v>94.350237482547499</v>
      </c>
      <c r="AJ2880">
        <v>94.456085529876901</v>
      </c>
      <c r="AK2880">
        <v>14.732034819115899</v>
      </c>
      <c r="AL2880">
        <v>81.278020951083505</v>
      </c>
      <c r="AM2880">
        <v>98.862106497451705</v>
      </c>
      <c r="AN2880">
        <v>0.99999998644339905</v>
      </c>
    </row>
    <row r="2881" spans="1:40" x14ac:dyDescent="0.3">
      <c r="A2881" t="str">
        <f>"20200111150906418"</f>
        <v>20200111150906418</v>
      </c>
      <c r="B2881" t="str">
        <f>"1578726546416689"</f>
        <v>1578726546416689</v>
      </c>
      <c r="C2881" t="s">
        <v>40</v>
      </c>
      <c r="D2881">
        <v>5.4098240000000004</v>
      </c>
      <c r="E2881">
        <v>0.5371262</v>
      </c>
      <c r="F2881" t="s">
        <v>43</v>
      </c>
      <c r="G2881">
        <v>-268.58280000000002</v>
      </c>
      <c r="H2881" s="1">
        <v>-3.8421059999999998E-6</v>
      </c>
      <c r="I2881">
        <v>-66.206630000000004</v>
      </c>
      <c r="J2881">
        <v>-282.58150000000001</v>
      </c>
      <c r="K2881">
        <v>1.117164</v>
      </c>
      <c r="L2881">
        <v>-64.735140000000001</v>
      </c>
      <c r="M2881">
        <v>0.98668840000000002</v>
      </c>
      <c r="N2881">
        <v>0</v>
      </c>
      <c r="O2881">
        <v>-0.16207449999999901</v>
      </c>
      <c r="P2881">
        <v>0.98990270000000002</v>
      </c>
      <c r="Q2881">
        <v>0.14129729999999999</v>
      </c>
      <c r="R2881">
        <v>-1.128009E-2</v>
      </c>
      <c r="S2881">
        <v>3.0603940000000001</v>
      </c>
      <c r="T2881">
        <v>-0.24181639999999999</v>
      </c>
      <c r="U2881">
        <v>-0.322876</v>
      </c>
      <c r="V2881">
        <v>-0.1519895</v>
      </c>
      <c r="W2881">
        <v>0.15169839999999901</v>
      </c>
      <c r="X2881">
        <v>0.97667130000000002</v>
      </c>
      <c r="Y2881">
        <v>-5.6993460000000003E-2</v>
      </c>
      <c r="Z2881">
        <v>1.4924710000000001E-2</v>
      </c>
      <c r="AA2881">
        <v>0.99826300000000001</v>
      </c>
      <c r="AB2881">
        <v>30</v>
      </c>
      <c r="AC2881">
        <v>13.9986999999999</v>
      </c>
      <c r="AD2881">
        <v>-1.1171678421060001</v>
      </c>
      <c r="AE2881">
        <v>-1.47149</v>
      </c>
      <c r="AF2881">
        <v>-0.81188855631617196</v>
      </c>
      <c r="AG2881">
        <v>-1.1171678421060001</v>
      </c>
      <c r="AH2881">
        <v>13.9641320021182</v>
      </c>
      <c r="AI2881">
        <v>94.566394400907299</v>
      </c>
      <c r="AJ2881">
        <v>93.327487730441703</v>
      </c>
      <c r="AK2881">
        <v>14.032256040562199</v>
      </c>
      <c r="AL2881">
        <v>81.274636013869696</v>
      </c>
      <c r="AM2881">
        <v>98.845414660083804</v>
      </c>
      <c r="AN2881">
        <v>1.00000002045825</v>
      </c>
    </row>
    <row r="2882" spans="1:40" x14ac:dyDescent="0.3">
      <c r="A2882" t="str">
        <f>"20200111150906432"</f>
        <v>20200111150906432</v>
      </c>
      <c r="B2882" t="str">
        <f>"1578726546426448"</f>
        <v>1578726546426448</v>
      </c>
      <c r="C2882" t="s">
        <v>40</v>
      </c>
      <c r="D2882">
        <v>5.3225689999999997</v>
      </c>
      <c r="E2882">
        <v>0.53843409999999903</v>
      </c>
      <c r="F2882" t="s">
        <v>107</v>
      </c>
      <c r="G2882">
        <v>-269.21420000000001</v>
      </c>
      <c r="H2882" s="1">
        <v>-4.0666339999999998E-6</v>
      </c>
      <c r="I2882">
        <v>-66.261150000000001</v>
      </c>
      <c r="J2882">
        <v>-282.4314</v>
      </c>
      <c r="K2882">
        <v>1.1168370000000001</v>
      </c>
      <c r="L2882">
        <v>-64.755830000000003</v>
      </c>
      <c r="M2882">
        <v>0.98729500000000003</v>
      </c>
      <c r="N2882">
        <v>0</v>
      </c>
      <c r="O2882">
        <v>-0.15834229999999899</v>
      </c>
      <c r="P2882">
        <v>0.98991759999999995</v>
      </c>
      <c r="Q2882">
        <v>0.14143889999999901</v>
      </c>
      <c r="R2882">
        <v>-7.6153459999999899E-3</v>
      </c>
      <c r="S2882">
        <v>3.0631409999999999</v>
      </c>
      <c r="T2882">
        <v>-0.25600000000000001</v>
      </c>
      <c r="U2882">
        <v>-0.34970089999999998</v>
      </c>
      <c r="V2882">
        <v>-0.15178739999999999</v>
      </c>
      <c r="W2882">
        <v>0.151913299999999</v>
      </c>
      <c r="X2882">
        <v>0.97666929999999996</v>
      </c>
      <c r="Y2882">
        <v>-4.4646100000000001E-2</v>
      </c>
      <c r="Z2882">
        <v>1.495398E-2</v>
      </c>
      <c r="AA2882">
        <v>0.99889090000000003</v>
      </c>
      <c r="AB2882">
        <v>30</v>
      </c>
      <c r="AC2882">
        <v>13.217199999999901</v>
      </c>
      <c r="AD2882">
        <v>-1.1168410666339901</v>
      </c>
      <c r="AE2882">
        <v>-1.50531999999999</v>
      </c>
      <c r="AF2882">
        <v>-0.60245392616969895</v>
      </c>
      <c r="AG2882">
        <v>-1.1168410666339901</v>
      </c>
      <c r="AH2882">
        <v>13.195790080956399</v>
      </c>
      <c r="AI2882">
        <v>94.832755460252699</v>
      </c>
      <c r="AJ2882">
        <v>92.614024180130897</v>
      </c>
      <c r="AK2882">
        <v>13.2566647601101</v>
      </c>
      <c r="AL2882">
        <v>81.262178538772403</v>
      </c>
      <c r="AM2882">
        <v>98.833856372936097</v>
      </c>
      <c r="AN2882">
        <v>0.99999999353906999</v>
      </c>
    </row>
    <row r="2883" spans="1:40" x14ac:dyDescent="0.3">
      <c r="A2883" t="str">
        <f>"20200111150906443"</f>
        <v>20200111150906443</v>
      </c>
      <c r="B2883" t="str">
        <f>"1578726546437184"</f>
        <v>1578726546437184</v>
      </c>
      <c r="C2883" t="s">
        <v>40</v>
      </c>
      <c r="D2883">
        <v>5.3252439999999996</v>
      </c>
      <c r="E2883">
        <v>0.53987499999999999</v>
      </c>
      <c r="F2883" t="s">
        <v>43</v>
      </c>
      <c r="G2883">
        <v>-269.82900000000001</v>
      </c>
      <c r="H2883" s="1">
        <v>-4.2643620000000004E-6</v>
      </c>
      <c r="I2883">
        <v>-66.196370000000002</v>
      </c>
      <c r="J2883">
        <v>-282.27859999999998</v>
      </c>
      <c r="K2883">
        <v>1.1165080000000001</v>
      </c>
      <c r="L2883">
        <v>-64.776700000000005</v>
      </c>
      <c r="M2883">
        <v>0.9878806</v>
      </c>
      <c r="N2883">
        <v>0</v>
      </c>
      <c r="O2883">
        <v>-0.1546516</v>
      </c>
      <c r="P2883">
        <v>0.98997849999999998</v>
      </c>
      <c r="Q2883">
        <v>0.14117289999999999</v>
      </c>
      <c r="R2883">
        <v>-3.5632340000000002E-3</v>
      </c>
      <c r="S2883">
        <v>3.066681</v>
      </c>
      <c r="T2883">
        <v>-0.27177210000000002</v>
      </c>
      <c r="U2883">
        <v>-0.35055540000000002</v>
      </c>
      <c r="V2883">
        <v>-0.15201229999999999</v>
      </c>
      <c r="W2883">
        <v>0.15171680000000001</v>
      </c>
      <c r="X2883">
        <v>0.9766648</v>
      </c>
      <c r="Y2883">
        <v>-4.0710749999999997E-2</v>
      </c>
      <c r="Z2883">
        <v>1.5358999999999999E-2</v>
      </c>
      <c r="AA2883">
        <v>0.99905290000000002</v>
      </c>
      <c r="AB2883">
        <v>30</v>
      </c>
      <c r="AC2883">
        <v>12.449599999999901</v>
      </c>
      <c r="AD2883">
        <v>-1.116512264362</v>
      </c>
      <c r="AE2883">
        <v>-1.41966999999999</v>
      </c>
      <c r="AF2883">
        <v>-0.51881258805684305</v>
      </c>
      <c r="AG2883">
        <v>-1.116512264362</v>
      </c>
      <c r="AH2883">
        <v>12.420749534701899</v>
      </c>
      <c r="AI2883">
        <v>95.132112176458904</v>
      </c>
      <c r="AJ2883">
        <v>92.391844545536898</v>
      </c>
      <c r="AK2883">
        <v>12.481617889592499</v>
      </c>
      <c r="AL2883">
        <v>81.2735686232826</v>
      </c>
      <c r="AM2883">
        <v>98.846778522504195</v>
      </c>
      <c r="AN2883">
        <v>0.999999929156282</v>
      </c>
    </row>
    <row r="2884" spans="1:40" x14ac:dyDescent="0.3">
      <c r="A2884" t="str">
        <f>"20200111150906452"</f>
        <v>20200111150906452</v>
      </c>
      <c r="B2884" t="str">
        <f>"1578726546446944"</f>
        <v>1578726546446944</v>
      </c>
      <c r="C2884" t="s">
        <v>40</v>
      </c>
      <c r="D2884">
        <v>5.2955059999999996</v>
      </c>
      <c r="E2884">
        <v>0.54138520000000001</v>
      </c>
      <c r="F2884" t="s">
        <v>107</v>
      </c>
      <c r="G2884">
        <v>-269.66460000000001</v>
      </c>
      <c r="H2884" s="1">
        <v>-4.2123149999999997E-6</v>
      </c>
      <c r="I2884">
        <v>-66.218409999999906</v>
      </c>
      <c r="J2884">
        <v>-282.13650000000001</v>
      </c>
      <c r="K2884">
        <v>1.116198</v>
      </c>
      <c r="L2884">
        <v>-64.795719999999903</v>
      </c>
      <c r="M2884">
        <v>0.98837050000000004</v>
      </c>
      <c r="N2884">
        <v>0</v>
      </c>
      <c r="O2884">
        <v>-0.15149389999999999</v>
      </c>
      <c r="P2884">
        <v>0.99000520000000003</v>
      </c>
      <c r="Q2884">
        <v>0.1410305</v>
      </c>
      <c r="R2884">
        <v>-5.178626E-4</v>
      </c>
      <c r="S2884">
        <v>3.0678100000000001</v>
      </c>
      <c r="T2884">
        <v>-0.27154329999999999</v>
      </c>
      <c r="U2884">
        <v>-0.35064699999999999</v>
      </c>
      <c r="V2884">
        <v>-0.15177879999999999</v>
      </c>
      <c r="W2884">
        <v>0.15164800000000001</v>
      </c>
      <c r="X2884">
        <v>0.97671189999999997</v>
      </c>
      <c r="Y2884">
        <v>-3.7555310000000001E-2</v>
      </c>
      <c r="Z2884">
        <v>1.492719E-2</v>
      </c>
      <c r="AA2884">
        <v>0.99918309999999999</v>
      </c>
      <c r="AB2884">
        <v>30</v>
      </c>
      <c r="AC2884">
        <v>12.4719</v>
      </c>
      <c r="AD2884">
        <v>-1.1162022123149999</v>
      </c>
      <c r="AE2884">
        <v>-1.42269</v>
      </c>
      <c r="AF2884">
        <v>-0.47952230763870402</v>
      </c>
      <c r="AG2884">
        <v>-1.1162022123149999</v>
      </c>
      <c r="AH2884">
        <v>12.4450723295594</v>
      </c>
      <c r="AI2884">
        <v>95.121381801354204</v>
      </c>
      <c r="AJ2884">
        <v>92.206577760155199</v>
      </c>
      <c r="AK2884">
        <v>12.504226257960401</v>
      </c>
      <c r="AL2884">
        <v>81.277557585592007</v>
      </c>
      <c r="AM2884">
        <v>98.832984558259497</v>
      </c>
      <c r="AN2884">
        <v>1.0000000278175201</v>
      </c>
    </row>
    <row r="2885" spans="1:40" x14ac:dyDescent="0.3">
      <c r="A2885" t="str">
        <f>"20200111150906464"</f>
        <v>20200111150906464</v>
      </c>
      <c r="B2885" t="str">
        <f>"1578726546456705"</f>
        <v>1578726546456705</v>
      </c>
      <c r="C2885" t="s">
        <v>40</v>
      </c>
      <c r="D2885">
        <v>5.3046259999999998</v>
      </c>
      <c r="E2885">
        <v>0.54234459999999995</v>
      </c>
      <c r="F2885" t="s">
        <v>107</v>
      </c>
      <c r="G2885">
        <v>-269.75049999999999</v>
      </c>
      <c r="H2885" s="1">
        <v>-4.2429359999999998E-6</v>
      </c>
      <c r="I2885">
        <v>-66.226100000000002</v>
      </c>
      <c r="J2885">
        <v>-281.98759999999999</v>
      </c>
      <c r="K2885">
        <v>1.115883</v>
      </c>
      <c r="L2885">
        <v>-64.815340000000006</v>
      </c>
      <c r="M2885">
        <v>0.98884919999999998</v>
      </c>
      <c r="N2885">
        <v>0</v>
      </c>
      <c r="O2885">
        <v>-0.14834069999999999</v>
      </c>
      <c r="P2885">
        <v>0.98994400000000005</v>
      </c>
      <c r="Q2885">
        <v>0.1414388</v>
      </c>
      <c r="R2885">
        <v>2.470505E-3</v>
      </c>
      <c r="S2885">
        <v>3.0694889999999999</v>
      </c>
      <c r="T2885">
        <v>-0.27661629999999998</v>
      </c>
      <c r="U2885">
        <v>-0.35449219999999998</v>
      </c>
      <c r="V2885">
        <v>-0.15148929999999999</v>
      </c>
      <c r="W2885">
        <v>0.1521306</v>
      </c>
      <c r="X2885">
        <v>0.97668180000000004</v>
      </c>
      <c r="Y2885">
        <v>-3.3197320000000002E-2</v>
      </c>
      <c r="Z2885">
        <v>1.472099E-2</v>
      </c>
      <c r="AA2885">
        <v>0.99934040000000002</v>
      </c>
      <c r="AB2885">
        <v>30</v>
      </c>
      <c r="AC2885">
        <v>12.2370999999999</v>
      </c>
      <c r="AD2885">
        <v>-1.1158872429359901</v>
      </c>
      <c r="AE2885">
        <v>-1.41075999999999</v>
      </c>
      <c r="AF2885">
        <v>-0.41684650505375698</v>
      </c>
      <c r="AG2885">
        <v>-1.1158872429359901</v>
      </c>
      <c r="AH2885">
        <v>12.210774512381301</v>
      </c>
      <c r="AI2885">
        <v>95.218474889403197</v>
      </c>
      <c r="AJ2885">
        <v>91.955180986700199</v>
      </c>
      <c r="AK2885">
        <v>12.2687399328514</v>
      </c>
      <c r="AL2885">
        <v>81.249582102503496</v>
      </c>
      <c r="AM2885">
        <v>98.816669066479506</v>
      </c>
      <c r="AN2885">
        <v>1.0000000329610399</v>
      </c>
    </row>
    <row r="2886" spans="1:40" x14ac:dyDescent="0.3">
      <c r="A2886" t="str">
        <f>"20200111150906475"</f>
        <v>20200111150906475</v>
      </c>
      <c r="B2886" t="str">
        <f>"1578726546466464"</f>
        <v>1578726546466464</v>
      </c>
      <c r="C2886" t="s">
        <v>40</v>
      </c>
      <c r="D2886">
        <v>5.4608860000000004</v>
      </c>
      <c r="E2886">
        <v>0.54374609999999901</v>
      </c>
      <c r="F2886" t="s">
        <v>41</v>
      </c>
      <c r="G2886">
        <v>-281.06990000000002</v>
      </c>
      <c r="H2886">
        <v>1.0339579999999999</v>
      </c>
      <c r="I2886">
        <v>-64.921109999999999</v>
      </c>
      <c r="J2886">
        <v>-281.84410000000003</v>
      </c>
      <c r="K2886">
        <v>1.1155900000000001</v>
      </c>
      <c r="L2886">
        <v>-64.833950000000002</v>
      </c>
      <c r="M2886">
        <v>0.98927580000000004</v>
      </c>
      <c r="N2886">
        <v>0</v>
      </c>
      <c r="O2886">
        <v>-0.1454724</v>
      </c>
      <c r="P2886">
        <v>0.98984939999999999</v>
      </c>
      <c r="Q2886">
        <v>0.14203089999999999</v>
      </c>
      <c r="R2886">
        <v>5.0251569999999997E-3</v>
      </c>
      <c r="S2886">
        <v>3.0705260000000001</v>
      </c>
      <c r="T2886">
        <v>-0.27421329999999999</v>
      </c>
      <c r="U2886">
        <v>-0.35357670000000002</v>
      </c>
      <c r="V2886">
        <v>-0.1510601</v>
      </c>
      <c r="W2886">
        <v>0.1527946</v>
      </c>
      <c r="X2886">
        <v>0.97664459999999997</v>
      </c>
      <c r="Y2886">
        <v>-3.0665080000000001E-2</v>
      </c>
      <c r="Z2886">
        <v>1.422491E-2</v>
      </c>
      <c r="AA2886">
        <v>0.99942850000000005</v>
      </c>
      <c r="AB2886">
        <v>30</v>
      </c>
      <c r="AC2886">
        <v>0.77420000000000699</v>
      </c>
      <c r="AD2886">
        <v>-8.1631999999999899E-2</v>
      </c>
      <c r="AE2886">
        <v>-8.7159999999997198E-2</v>
      </c>
      <c r="AF2886">
        <v>-2.6115008333609701E-2</v>
      </c>
      <c r="AG2886">
        <v>-8.1631999999999899E-2</v>
      </c>
      <c r="AH2886">
        <v>0.77018780294216804</v>
      </c>
      <c r="AI2886">
        <v>96.046727121265505</v>
      </c>
      <c r="AJ2886">
        <v>91.942002614643499</v>
      </c>
      <c r="AK2886">
        <v>0.77494195194552995</v>
      </c>
      <c r="AL2886">
        <v>81.211087465475899</v>
      </c>
      <c r="AM2886">
        <v>98.792410130976293</v>
      </c>
      <c r="AN2886">
        <v>1.00000000915516</v>
      </c>
    </row>
    <row r="2887" spans="1:40" x14ac:dyDescent="0.3">
      <c r="A2887" t="str">
        <f>"20200111150906486"</f>
        <v>20200111150906486</v>
      </c>
      <c r="B2887" t="str">
        <f>"1578726546477201"</f>
        <v>1578726546477201</v>
      </c>
      <c r="C2887" t="s">
        <v>40</v>
      </c>
      <c r="D2887">
        <v>5.3147599999999997</v>
      </c>
      <c r="E2887">
        <v>0.54485360000000005</v>
      </c>
      <c r="F2887" t="s">
        <v>107</v>
      </c>
      <c r="G2887">
        <v>-269.27089999999998</v>
      </c>
      <c r="H2887" s="1">
        <v>-4.0919849999999998E-6</v>
      </c>
      <c r="I2887">
        <v>-66.295159999999996</v>
      </c>
      <c r="J2887">
        <v>-281.70060000000001</v>
      </c>
      <c r="K2887">
        <v>1.1153139999999999</v>
      </c>
      <c r="L2887">
        <v>-64.852230000000006</v>
      </c>
      <c r="M2887">
        <v>0.98966460000000001</v>
      </c>
      <c r="N2887">
        <v>0</v>
      </c>
      <c r="O2887">
        <v>-0.142807399999999</v>
      </c>
      <c r="P2887">
        <v>0.9897203</v>
      </c>
      <c r="Q2887">
        <v>0.14283109999999999</v>
      </c>
      <c r="R2887">
        <v>7.2977739999999999E-3</v>
      </c>
      <c r="S2887">
        <v>3.0716860000000001</v>
      </c>
      <c r="T2887">
        <v>-0.27254529999999999</v>
      </c>
      <c r="U2887">
        <v>-0.3569946</v>
      </c>
      <c r="V2887">
        <v>-0.15055850000000001</v>
      </c>
      <c r="W2887">
        <v>0.15366350000000001</v>
      </c>
      <c r="X2887">
        <v>0.9765857</v>
      </c>
      <c r="Y2887">
        <v>-2.6951590000000001E-2</v>
      </c>
      <c r="Z2887">
        <v>1.373603E-2</v>
      </c>
      <c r="AA2887">
        <v>0.99954240000000005</v>
      </c>
      <c r="AB2887">
        <v>30</v>
      </c>
      <c r="AC2887">
        <v>12.4297</v>
      </c>
      <c r="AD2887">
        <v>-1.1153180919850001</v>
      </c>
      <c r="AE2887">
        <v>-1.4429299999999801</v>
      </c>
      <c r="AF2887">
        <v>-0.34433039689381401</v>
      </c>
      <c r="AG2887">
        <v>-1.1153180919850001</v>
      </c>
      <c r="AH2887">
        <v>12.409770056410601</v>
      </c>
      <c r="AI2887">
        <v>95.133649085216902</v>
      </c>
      <c r="AJ2887">
        <v>91.5893620784489</v>
      </c>
      <c r="AK2887">
        <v>12.464545347565601</v>
      </c>
      <c r="AL2887">
        <v>81.160707969523301</v>
      </c>
      <c r="AM2887">
        <v>98.764188961920894</v>
      </c>
      <c r="AN2887">
        <v>0.99999998129949397</v>
      </c>
    </row>
    <row r="2888" spans="1:40" x14ac:dyDescent="0.3">
      <c r="A2888" t="str">
        <f>"20200111150906497"</f>
        <v>20200111150906497</v>
      </c>
      <c r="B2888" t="str">
        <f>"1578726546486961"</f>
        <v>1578726546486961</v>
      </c>
      <c r="C2888" t="s">
        <v>40</v>
      </c>
      <c r="D2888">
        <v>5.3585240000000001</v>
      </c>
      <c r="E2888">
        <v>0.54589330000000003</v>
      </c>
      <c r="F2888" t="s">
        <v>41</v>
      </c>
      <c r="G2888">
        <v>-280.80849999999998</v>
      </c>
      <c r="H2888">
        <v>1.036707</v>
      </c>
      <c r="I2888">
        <v>-64.956669999999903</v>
      </c>
      <c r="J2888">
        <v>-281.55579999999998</v>
      </c>
      <c r="K2888">
        <v>1.11504</v>
      </c>
      <c r="L2888">
        <v>-64.870609999999999</v>
      </c>
      <c r="M2888">
        <v>0.9900352</v>
      </c>
      <c r="N2888">
        <v>0</v>
      </c>
      <c r="O2888">
        <v>-0.1402185</v>
      </c>
      <c r="P2888">
        <v>0.98953259999999998</v>
      </c>
      <c r="Q2888">
        <v>0.1440092</v>
      </c>
      <c r="R2888">
        <v>9.3062679999999995E-3</v>
      </c>
      <c r="S2888">
        <v>3.0729060000000001</v>
      </c>
      <c r="T2888">
        <v>-0.270924</v>
      </c>
      <c r="U2888">
        <v>-0.35913089999999998</v>
      </c>
      <c r="V2888">
        <v>-0.14986949999999999</v>
      </c>
      <c r="W2888">
        <v>0.15491150000000001</v>
      </c>
      <c r="X2888">
        <v>0.97649450000000004</v>
      </c>
      <c r="Y2888">
        <v>-2.3727080000000001E-2</v>
      </c>
      <c r="Z2888">
        <v>1.3282789999999999E-2</v>
      </c>
      <c r="AA2888">
        <v>0.99963020000000002</v>
      </c>
      <c r="AB2888">
        <v>30</v>
      </c>
      <c r="AC2888">
        <v>0.74729999999999497</v>
      </c>
      <c r="AD2888">
        <v>-7.8332999999999903E-2</v>
      </c>
      <c r="AE2888">
        <v>-8.6059999999989104E-2</v>
      </c>
      <c r="AF2888">
        <v>-1.9374420901862699E-2</v>
      </c>
      <c r="AG2888">
        <v>-7.8332999999999903E-2</v>
      </c>
      <c r="AH2888">
        <v>0.74391726224018495</v>
      </c>
      <c r="AI2888">
        <v>96.008957774347394</v>
      </c>
      <c r="AJ2888">
        <v>91.491861698986497</v>
      </c>
      <c r="AK2888">
        <v>0.74828090990831397</v>
      </c>
      <c r="AL2888">
        <v>81.088336187103394</v>
      </c>
      <c r="AM2888">
        <v>98.725502273119702</v>
      </c>
      <c r="AN2888">
        <v>0.99999997419637399</v>
      </c>
    </row>
    <row r="2889" spans="1:40" x14ac:dyDescent="0.3">
      <c r="A2889" t="str">
        <f>"20200111150906509"</f>
        <v>20200111150906509</v>
      </c>
      <c r="B2889" t="str">
        <f>"1578726546506481"</f>
        <v>1578726546506481</v>
      </c>
      <c r="C2889" t="s">
        <v>40</v>
      </c>
      <c r="D2889">
        <v>5.2897949999999998</v>
      </c>
      <c r="E2889">
        <v>0.54810890000000001</v>
      </c>
      <c r="F2889" t="s">
        <v>107</v>
      </c>
      <c r="G2889">
        <v>-268.77030000000002</v>
      </c>
      <c r="H2889" s="1">
        <v>-3.9355300000000002E-6</v>
      </c>
      <c r="I2889">
        <v>-66.373570000000001</v>
      </c>
      <c r="J2889">
        <v>-281.41059999999999</v>
      </c>
      <c r="K2889">
        <v>1.114787</v>
      </c>
      <c r="L2889">
        <v>-64.888580000000005</v>
      </c>
      <c r="M2889">
        <v>0.99036539999999995</v>
      </c>
      <c r="N2889">
        <v>0</v>
      </c>
      <c r="O2889">
        <v>-0.1378704</v>
      </c>
      <c r="P2889">
        <v>0.98934129999999998</v>
      </c>
      <c r="Q2889">
        <v>0.1451991</v>
      </c>
      <c r="R2889">
        <v>1.0994149999999999E-2</v>
      </c>
      <c r="S2889">
        <v>3.0741580000000002</v>
      </c>
      <c r="T2889">
        <v>-0.26810329999999999</v>
      </c>
      <c r="U2889">
        <v>-0.36138920000000002</v>
      </c>
      <c r="V2889">
        <v>-0.14910770000000001</v>
      </c>
      <c r="W2889">
        <v>0.1561659</v>
      </c>
      <c r="X2889">
        <v>0.97641129999999998</v>
      </c>
      <c r="Y2889">
        <v>-2.071214E-2</v>
      </c>
      <c r="Z2889">
        <v>1.280686E-2</v>
      </c>
      <c r="AA2889">
        <v>0.99970349999999997</v>
      </c>
      <c r="AB2889">
        <v>30</v>
      </c>
      <c r="AC2889">
        <v>12.6402999999999</v>
      </c>
      <c r="AD2889">
        <v>-1.1147909355299901</v>
      </c>
      <c r="AE2889">
        <v>-1.48498999999999</v>
      </c>
      <c r="AF2889">
        <v>-0.26999194514125402</v>
      </c>
      <c r="AG2889">
        <v>-1.1147909355299901</v>
      </c>
      <c r="AH2889">
        <v>12.627441557228201</v>
      </c>
      <c r="AI2889">
        <v>95.044027709869994</v>
      </c>
      <c r="AJ2889">
        <v>91.224875378821693</v>
      </c>
      <c r="AK2889">
        <v>12.679429591333999</v>
      </c>
      <c r="AL2889">
        <v>81.015578760458197</v>
      </c>
      <c r="AM2889">
        <v>98.682555744610895</v>
      </c>
      <c r="AN2889">
        <v>0.99999996064489405</v>
      </c>
    </row>
    <row r="2890" spans="1:40" x14ac:dyDescent="0.3">
      <c r="A2890" t="str">
        <f>"20200111150906521"</f>
        <v>20200111150906521</v>
      </c>
      <c r="B2890" t="str">
        <f>"1578726546517218"</f>
        <v>1578726546517218</v>
      </c>
      <c r="C2890" t="s">
        <v>40</v>
      </c>
      <c r="D2890">
        <v>5.328468</v>
      </c>
      <c r="E2890">
        <v>0.54938520000000002</v>
      </c>
      <c r="F2890" t="s">
        <v>41</v>
      </c>
      <c r="G2890">
        <v>-280.54500000000002</v>
      </c>
      <c r="H2890">
        <v>1.0405219999999999</v>
      </c>
      <c r="I2890">
        <v>-64.993870000000001</v>
      </c>
      <c r="J2890">
        <v>-281.25900000000001</v>
      </c>
      <c r="K2890">
        <v>1.1145240000000001</v>
      </c>
      <c r="L2890">
        <v>-64.907290000000003</v>
      </c>
      <c r="M2890">
        <v>0.99069479999999999</v>
      </c>
      <c r="N2890">
        <v>0</v>
      </c>
      <c r="O2890">
        <v>-0.1354881</v>
      </c>
      <c r="P2890">
        <v>0.9891894</v>
      </c>
      <c r="Q2890">
        <v>0.1461016</v>
      </c>
      <c r="R2890">
        <v>1.25923999999999E-2</v>
      </c>
      <c r="S2890">
        <v>3.0751949999999999</v>
      </c>
      <c r="T2890">
        <v>-0.2639512</v>
      </c>
      <c r="U2890">
        <v>-0.37359619999999999</v>
      </c>
      <c r="V2890">
        <v>-0.1482232</v>
      </c>
      <c r="W2890">
        <v>0.1571361</v>
      </c>
      <c r="X2890">
        <v>0.97639039999999999</v>
      </c>
      <c r="Y2890">
        <v>-1.448344E-2</v>
      </c>
      <c r="Z2890">
        <v>1.213436E-2</v>
      </c>
      <c r="AA2890">
        <v>0.99982150000000003</v>
      </c>
      <c r="AB2890">
        <v>30</v>
      </c>
      <c r="AC2890">
        <v>0.71399999999999797</v>
      </c>
      <c r="AD2890">
        <v>-7.4002000000000095E-2</v>
      </c>
      <c r="AE2890">
        <v>-8.6579999999997798E-2</v>
      </c>
      <c r="AF2890">
        <v>-1.08501968178165E-2</v>
      </c>
      <c r="AG2890">
        <v>-7.4002000000000095E-2</v>
      </c>
      <c r="AH2890">
        <v>0.71161315235484901</v>
      </c>
      <c r="AI2890">
        <v>95.936271601554694</v>
      </c>
      <c r="AJ2890">
        <v>90.873539666463401</v>
      </c>
      <c r="AK2890">
        <v>0.715532879314005</v>
      </c>
      <c r="AL2890">
        <v>80.959296261153099</v>
      </c>
      <c r="AM2890">
        <v>98.632011255229301</v>
      </c>
      <c r="AN2890">
        <v>1.0000000420768</v>
      </c>
    </row>
    <row r="2891" spans="1:40" x14ac:dyDescent="0.3">
      <c r="A2891" t="str">
        <f>"20200111150906531"</f>
        <v>20200111150906531</v>
      </c>
      <c r="B2891" t="str">
        <f>"1578726546526977"</f>
        <v>1578726546526977</v>
      </c>
      <c r="C2891" t="s">
        <v>40</v>
      </c>
      <c r="D2891">
        <v>5.3237079999999999</v>
      </c>
      <c r="E2891">
        <v>0.55044230000000005</v>
      </c>
      <c r="F2891" t="s">
        <v>41</v>
      </c>
      <c r="G2891">
        <v>-280.29320000000001</v>
      </c>
      <c r="H2891">
        <v>1.0319499999999999</v>
      </c>
      <c r="I2891">
        <v>-65.026229999999998</v>
      </c>
      <c r="J2891">
        <v>-281.1078</v>
      </c>
      <c r="K2891">
        <v>1.1142799999999999</v>
      </c>
      <c r="L2891">
        <v>-64.925569999999993</v>
      </c>
      <c r="M2891">
        <v>0.99098529999999996</v>
      </c>
      <c r="N2891">
        <v>0</v>
      </c>
      <c r="O2891">
        <v>-0.13335069999999999</v>
      </c>
      <c r="P2891">
        <v>0.98919619999999997</v>
      </c>
      <c r="Q2891">
        <v>0.1459144</v>
      </c>
      <c r="R2891">
        <v>1.413551E-2</v>
      </c>
      <c r="S2891">
        <v>3.076416</v>
      </c>
      <c r="T2891">
        <v>-0.2631</v>
      </c>
      <c r="U2891">
        <v>-0.37853999999999999</v>
      </c>
      <c r="V2891">
        <v>-0.1475446</v>
      </c>
      <c r="W2891">
        <v>0.15700939999999999</v>
      </c>
      <c r="X2891">
        <v>0.97651350000000003</v>
      </c>
      <c r="Y2891">
        <v>-1.0815409999999999E-2</v>
      </c>
      <c r="Z2891">
        <v>1.1753370000000001E-2</v>
      </c>
      <c r="AA2891">
        <v>0.99987239999999999</v>
      </c>
      <c r="AB2891">
        <v>30</v>
      </c>
      <c r="AC2891">
        <v>0.814599999999984</v>
      </c>
      <c r="AD2891">
        <v>-8.233E-2</v>
      </c>
      <c r="AE2891">
        <v>-0.100660000000004</v>
      </c>
      <c r="AF2891">
        <v>-8.7872261290792893E-3</v>
      </c>
      <c r="AG2891">
        <v>-8.233E-2</v>
      </c>
      <c r="AH2891">
        <v>0.81257233624640801</v>
      </c>
      <c r="AI2891">
        <v>95.785140884295501</v>
      </c>
      <c r="AJ2891">
        <v>90.6195772655566</v>
      </c>
      <c r="AK2891">
        <v>0.81677980256369598</v>
      </c>
      <c r="AL2891">
        <v>80.966646388129902</v>
      </c>
      <c r="AM2891">
        <v>98.592016111252505</v>
      </c>
      <c r="AN2891">
        <v>0.999999988179885</v>
      </c>
    </row>
    <row r="2892" spans="1:40" x14ac:dyDescent="0.3">
      <c r="A2892" t="str">
        <f>"20200111150906543"</f>
        <v>20200111150906543</v>
      </c>
      <c r="B2892" t="str">
        <f>"1578726546536737"</f>
        <v>1578726546536737</v>
      </c>
      <c r="C2892" t="s">
        <v>40</v>
      </c>
      <c r="D2892">
        <v>5.3332620000000004</v>
      </c>
      <c r="E2892">
        <v>0.55159990000000003</v>
      </c>
      <c r="F2892" t="s">
        <v>107</v>
      </c>
      <c r="G2892">
        <v>-268.06060000000002</v>
      </c>
      <c r="H2892" s="1">
        <v>-3.7242179999999999E-6</v>
      </c>
      <c r="I2892">
        <v>-66.543790000000001</v>
      </c>
      <c r="J2892">
        <v>-280.9597</v>
      </c>
      <c r="K2892">
        <v>1.114047</v>
      </c>
      <c r="L2892">
        <v>-64.943359999999998</v>
      </c>
      <c r="M2892">
        <v>0.99125549999999996</v>
      </c>
      <c r="N2892">
        <v>0</v>
      </c>
      <c r="O2892">
        <v>-0.1313299</v>
      </c>
      <c r="P2892">
        <v>0.98924440000000002</v>
      </c>
      <c r="Q2892">
        <v>0.14549300000000001</v>
      </c>
      <c r="R2892">
        <v>1.5081819999999999E-2</v>
      </c>
      <c r="S2892">
        <v>3.0769959999999998</v>
      </c>
      <c r="T2892">
        <v>-0.2627892</v>
      </c>
      <c r="U2892">
        <v>-0.38165280000000001</v>
      </c>
      <c r="V2892">
        <v>-0.1464</v>
      </c>
      <c r="W2892">
        <v>0.1566505</v>
      </c>
      <c r="X2892">
        <v>0.97674340000000004</v>
      </c>
      <c r="Y2892">
        <v>-7.8223790000000008E-3</v>
      </c>
      <c r="Z2892">
        <v>1.143956E-2</v>
      </c>
      <c r="AA2892">
        <v>0.99990400000000002</v>
      </c>
      <c r="AB2892">
        <v>30</v>
      </c>
      <c r="AC2892">
        <v>12.899099999999899</v>
      </c>
      <c r="AD2892">
        <v>-1.114050724218</v>
      </c>
      <c r="AE2892">
        <v>-1.60043</v>
      </c>
      <c r="AF2892">
        <v>-0.106826592871704</v>
      </c>
      <c r="AG2892">
        <v>-1.114050724218</v>
      </c>
      <c r="AH2892">
        <v>12.902775417867201</v>
      </c>
      <c r="AI2892">
        <v>94.934622189539795</v>
      </c>
      <c r="AJ2892">
        <v>90.474360970053098</v>
      </c>
      <c r="AK2892">
        <v>12.951221348621701</v>
      </c>
      <c r="AL2892">
        <v>80.987467638468701</v>
      </c>
      <c r="AM2892">
        <v>98.524368262800806</v>
      </c>
      <c r="AN2892">
        <v>1.0000000042968999</v>
      </c>
    </row>
    <row r="2893" spans="1:40" x14ac:dyDescent="0.3">
      <c r="A2893" t="str">
        <f>"20200111150906554"</f>
        <v>20200111150906554</v>
      </c>
      <c r="B2893" t="str">
        <f>"1578726546546497"</f>
        <v>1578726546546497</v>
      </c>
      <c r="C2893" t="s">
        <v>40</v>
      </c>
      <c r="D2893">
        <v>5.2750430000000001</v>
      </c>
      <c r="E2893">
        <v>0.55265839999999999</v>
      </c>
      <c r="F2893" t="s">
        <v>41</v>
      </c>
      <c r="G2893">
        <v>-280.03019999999998</v>
      </c>
      <c r="H2893">
        <v>1.0343199999999999</v>
      </c>
      <c r="I2893">
        <v>-65.060670000000002</v>
      </c>
      <c r="J2893">
        <v>-280.81490000000002</v>
      </c>
      <c r="K2893">
        <v>1.1138410000000001</v>
      </c>
      <c r="L2893">
        <v>-64.960509999999999</v>
      </c>
      <c r="M2893">
        <v>0.99149909999999997</v>
      </c>
      <c r="N2893">
        <v>0</v>
      </c>
      <c r="O2893">
        <v>-0.1294805</v>
      </c>
      <c r="P2893">
        <v>0.98931400000000003</v>
      </c>
      <c r="Q2893">
        <v>0.1449107</v>
      </c>
      <c r="R2893">
        <v>1.608186E-2</v>
      </c>
      <c r="S2893">
        <v>3.0773619999999999</v>
      </c>
      <c r="T2893">
        <v>-0.2640382</v>
      </c>
      <c r="U2893">
        <v>-0.38787840000000001</v>
      </c>
      <c r="V2893">
        <v>-0.1454887</v>
      </c>
      <c r="W2893">
        <v>0.1561216</v>
      </c>
      <c r="X2893">
        <v>0.97696419999999995</v>
      </c>
      <c r="Y2893">
        <v>-3.9956330000000002E-3</v>
      </c>
      <c r="Z2893">
        <v>1.1171250000000001E-2</v>
      </c>
      <c r="AA2893">
        <v>0.99992959999999997</v>
      </c>
      <c r="AB2893">
        <v>30</v>
      </c>
      <c r="AC2893">
        <v>0.78470000000004303</v>
      </c>
      <c r="AD2893">
        <v>-7.9520999999999897E-2</v>
      </c>
      <c r="AE2893">
        <v>-0.100160000000002</v>
      </c>
      <c r="AF2893">
        <v>-2.2720281550761001E-3</v>
      </c>
      <c r="AG2893">
        <v>-7.9520999999999897E-2</v>
      </c>
      <c r="AH2893">
        <v>0.783149362658774</v>
      </c>
      <c r="AI2893">
        <v>95.797918392985807</v>
      </c>
      <c r="AJ2893">
        <v>90.166222773343904</v>
      </c>
      <c r="AK2893">
        <v>0.78717957022891605</v>
      </c>
      <c r="AL2893">
        <v>81.0181486758554</v>
      </c>
      <c r="AM2893">
        <v>98.470191854651802</v>
      </c>
      <c r="AN2893">
        <v>0.99999998194794404</v>
      </c>
    </row>
    <row r="2894" spans="1:40" x14ac:dyDescent="0.3">
      <c r="A2894" t="str">
        <f>"20200111150906566"</f>
        <v>20200111150906566</v>
      </c>
      <c r="B2894" t="str">
        <f>"1578726546557233"</f>
        <v>1578726546557233</v>
      </c>
      <c r="C2894" t="s">
        <v>40</v>
      </c>
      <c r="D2894">
        <v>5.2128439999999996</v>
      </c>
      <c r="E2894">
        <v>0.55365609999999998</v>
      </c>
      <c r="F2894" t="s">
        <v>41</v>
      </c>
      <c r="G2894">
        <v>-280.01130000000001</v>
      </c>
      <c r="H2894">
        <v>1.0442560000000001</v>
      </c>
      <c r="I2894">
        <v>-65.063220000000001</v>
      </c>
      <c r="J2894">
        <v>-280.6628</v>
      </c>
      <c r="K2894">
        <v>1.1136410000000001</v>
      </c>
      <c r="L2894">
        <v>-64.978390000000005</v>
      </c>
      <c r="M2894">
        <v>0.99173920000000004</v>
      </c>
      <c r="N2894">
        <v>0</v>
      </c>
      <c r="O2894">
        <v>-0.1276331</v>
      </c>
      <c r="P2894">
        <v>0.98935580000000001</v>
      </c>
      <c r="Q2894">
        <v>0.14450669999999999</v>
      </c>
      <c r="R2894">
        <v>1.7113659999999999E-2</v>
      </c>
      <c r="S2894">
        <v>3.0778500000000002</v>
      </c>
      <c r="T2894">
        <v>-0.26659100000000002</v>
      </c>
      <c r="U2894">
        <v>-0.39282230000000001</v>
      </c>
      <c r="V2894">
        <v>-0.14461260000000001</v>
      </c>
      <c r="W2894">
        <v>0.15576599999999999</v>
      </c>
      <c r="X2894">
        <v>0.97715099999999999</v>
      </c>
      <c r="Y2894">
        <v>-5.8161780000000004E-4</v>
      </c>
      <c r="Z2894">
        <v>1.097125E-2</v>
      </c>
      <c r="AA2894">
        <v>0.99993960000000004</v>
      </c>
      <c r="AB2894">
        <v>30</v>
      </c>
      <c r="AC2894">
        <v>0.65149999999999797</v>
      </c>
      <c r="AD2894">
        <v>-6.9385000000000002E-2</v>
      </c>
      <c r="AE2894">
        <v>-8.4829999999996603E-2</v>
      </c>
      <c r="AF2894">
        <v>9.6558196757377704E-4</v>
      </c>
      <c r="AG2894">
        <v>-6.9385000000000002E-2</v>
      </c>
      <c r="AH2894">
        <v>0.64975196189226003</v>
      </c>
      <c r="AI2894">
        <v>96.095332945887407</v>
      </c>
      <c r="AJ2894">
        <v>89.914854076579203</v>
      </c>
      <c r="AK2894">
        <v>0.65344687814418101</v>
      </c>
      <c r="AL2894">
        <v>81.038775240593694</v>
      </c>
      <c r="AM2894">
        <v>98.418333064638603</v>
      </c>
      <c r="AN2894">
        <v>0.99999996381787903</v>
      </c>
    </row>
    <row r="2895" spans="1:40" x14ac:dyDescent="0.3">
      <c r="A2895" t="str">
        <f>"20200111150906575"</f>
        <v>20200111150906575</v>
      </c>
      <c r="B2895" t="str">
        <f>"1578726546566993"</f>
        <v>1578726546566993</v>
      </c>
      <c r="C2895" t="s">
        <v>40</v>
      </c>
      <c r="D2895">
        <v>5.2321980000000003</v>
      </c>
      <c r="E2895">
        <v>0.55473300000000003</v>
      </c>
      <c r="F2895" t="s">
        <v>41</v>
      </c>
      <c r="G2895">
        <v>-279.76760000000002</v>
      </c>
      <c r="H2895">
        <v>1.03559</v>
      </c>
      <c r="I2895">
        <v>-65.093950000000007</v>
      </c>
      <c r="J2895">
        <v>-280.52890000000002</v>
      </c>
      <c r="K2895">
        <v>1.1134759999999999</v>
      </c>
      <c r="L2895">
        <v>-64.993960000000001</v>
      </c>
      <c r="M2895">
        <v>0.99193949999999997</v>
      </c>
      <c r="N2895">
        <v>0</v>
      </c>
      <c r="O2895">
        <v>-0.12606869999999901</v>
      </c>
      <c r="P2895">
        <v>0.98935220000000001</v>
      </c>
      <c r="Q2895">
        <v>0.14445239999999901</v>
      </c>
      <c r="R2895">
        <v>1.7771840000000001E-2</v>
      </c>
      <c r="S2895">
        <v>3.0783689999999999</v>
      </c>
      <c r="T2895">
        <v>-0.26841690000000001</v>
      </c>
      <c r="U2895">
        <v>-0.39724730000000003</v>
      </c>
      <c r="V2895">
        <v>-0.14365720000000001</v>
      </c>
      <c r="W2895">
        <v>0.15575240000000001</v>
      </c>
      <c r="X2895">
        <v>0.97729410000000005</v>
      </c>
      <c r="Y2895">
        <v>2.3780289999999998E-3</v>
      </c>
      <c r="Z2895">
        <v>1.078054E-2</v>
      </c>
      <c r="AA2895">
        <v>0.99993909999999997</v>
      </c>
      <c r="AB2895">
        <v>30</v>
      </c>
      <c r="AC2895">
        <v>0.76130000000000497</v>
      </c>
      <c r="AD2895">
        <v>-7.7886000000000094E-2</v>
      </c>
      <c r="AE2895">
        <v>-9.9990000000005297E-2</v>
      </c>
      <c r="AF2895">
        <v>3.1755169595911801E-3</v>
      </c>
      <c r="AG2895">
        <v>-7.7886000000000094E-2</v>
      </c>
      <c r="AH2895">
        <v>0.76001175050143699</v>
      </c>
      <c r="AI2895">
        <v>95.851193952682095</v>
      </c>
      <c r="AJ2895">
        <v>89.760605463439305</v>
      </c>
      <c r="AK2895">
        <v>0.76399880484475802</v>
      </c>
      <c r="AL2895">
        <v>81.039564233283997</v>
      </c>
      <c r="AM2895">
        <v>98.362298289990704</v>
      </c>
      <c r="AN2895">
        <v>0.99999997955620401</v>
      </c>
    </row>
    <row r="2896" spans="1:40" x14ac:dyDescent="0.3">
      <c r="A2896" t="str">
        <f>"20200111150906586"</f>
        <v>20200111150906586</v>
      </c>
      <c r="B2896" t="str">
        <f>"1578726546576753"</f>
        <v>1578726546576753</v>
      </c>
      <c r="C2896" t="s">
        <v>40</v>
      </c>
      <c r="D2896">
        <v>5.1454120000000003</v>
      </c>
      <c r="E2896">
        <v>0.55568549999999906</v>
      </c>
      <c r="F2896" t="s">
        <v>41</v>
      </c>
      <c r="G2896">
        <v>-279.75220000000002</v>
      </c>
      <c r="H2896">
        <v>1.045318</v>
      </c>
      <c r="I2896">
        <v>-65.095730000000003</v>
      </c>
      <c r="J2896">
        <v>-280.38889999999998</v>
      </c>
      <c r="K2896">
        <v>1.1133299999999999</v>
      </c>
      <c r="L2896">
        <v>-65.010009999999994</v>
      </c>
      <c r="M2896">
        <v>0.99213609999999997</v>
      </c>
      <c r="N2896">
        <v>0</v>
      </c>
      <c r="O2896">
        <v>-0.124514899999999</v>
      </c>
      <c r="P2896">
        <v>0.9893788</v>
      </c>
      <c r="Q2896">
        <v>0.14419570000000001</v>
      </c>
      <c r="R2896">
        <v>1.8360810000000002E-2</v>
      </c>
      <c r="S2896">
        <v>3.0789490000000002</v>
      </c>
      <c r="T2896">
        <v>-0.2701789</v>
      </c>
      <c r="U2896">
        <v>-0.40328979999999998</v>
      </c>
      <c r="V2896">
        <v>-0.1426509</v>
      </c>
      <c r="W2896">
        <v>0.1555319</v>
      </c>
      <c r="X2896">
        <v>0.97747660000000003</v>
      </c>
      <c r="Y2896">
        <v>5.8371619999999999E-3</v>
      </c>
      <c r="Z2896">
        <v>1.056234E-2</v>
      </c>
      <c r="AA2896">
        <v>0.99992720000000002</v>
      </c>
      <c r="AB2896">
        <v>30</v>
      </c>
      <c r="AC2896">
        <v>0.63669999999996196</v>
      </c>
      <c r="AD2896">
        <v>-6.8011999999999906E-2</v>
      </c>
      <c r="AE2896">
        <v>-8.5720000000009094E-2</v>
      </c>
      <c r="AF2896">
        <v>5.7038126717869897E-3</v>
      </c>
      <c r="AG2896">
        <v>-6.8011999999999906E-2</v>
      </c>
      <c r="AH2896">
        <v>0.63529854475438197</v>
      </c>
      <c r="AI2896">
        <v>96.110292598625506</v>
      </c>
      <c r="AJ2896">
        <v>89.4856030831467</v>
      </c>
      <c r="AK2896">
        <v>0.63895415061648198</v>
      </c>
      <c r="AL2896">
        <v>81.052353793366805</v>
      </c>
      <c r="AM2896">
        <v>98.303012362368094</v>
      </c>
      <c r="AN2896">
        <v>0.99999997736798896</v>
      </c>
    </row>
    <row r="2897" spans="1:40" x14ac:dyDescent="0.3">
      <c r="A2897" t="str">
        <f>"20200111150906597"</f>
        <v>20200111150906597</v>
      </c>
      <c r="B2897" t="str">
        <f>"1578726546586513"</f>
        <v>1578726546586513</v>
      </c>
      <c r="C2897" t="s">
        <v>40</v>
      </c>
      <c r="D2897">
        <v>5.1953969999999998</v>
      </c>
      <c r="E2897">
        <v>0.55654769999999998</v>
      </c>
      <c r="F2897" t="s">
        <v>41</v>
      </c>
      <c r="G2897">
        <v>-279.50639999999999</v>
      </c>
      <c r="H2897">
        <v>1.0339449999999999</v>
      </c>
      <c r="I2897">
        <v>-65.12724</v>
      </c>
      <c r="J2897">
        <v>-280.24270000000001</v>
      </c>
      <c r="K2897">
        <v>1.113186</v>
      </c>
      <c r="L2897">
        <v>-65.026700000000005</v>
      </c>
      <c r="M2897">
        <v>0.99233419999999894</v>
      </c>
      <c r="N2897">
        <v>0</v>
      </c>
      <c r="O2897">
        <v>-0.122929</v>
      </c>
      <c r="P2897">
        <v>0.98944279999999996</v>
      </c>
      <c r="Q2897">
        <v>0.14371030000000001</v>
      </c>
      <c r="R2897">
        <v>1.8718809999999999E-2</v>
      </c>
      <c r="S2897">
        <v>3.0801699999999999</v>
      </c>
      <c r="T2897">
        <v>-0.277153599999999</v>
      </c>
      <c r="U2897">
        <v>-0.40856930000000002</v>
      </c>
      <c r="V2897">
        <v>-0.1413884</v>
      </c>
      <c r="W2897">
        <v>0.15508350000000001</v>
      </c>
      <c r="X2897">
        <v>0.97773129999999997</v>
      </c>
      <c r="Y2897">
        <v>9.0727789999999996E-3</v>
      </c>
      <c r="Z2897">
        <v>1.0543159999999999E-2</v>
      </c>
      <c r="AA2897">
        <v>0.99990330000000005</v>
      </c>
      <c r="AB2897">
        <v>30</v>
      </c>
      <c r="AC2897">
        <v>0.73630000000002804</v>
      </c>
      <c r="AD2897">
        <v>-7.9240999999999895E-2</v>
      </c>
      <c r="AE2897">
        <v>-0.10053999999999499</v>
      </c>
      <c r="AF2897">
        <v>9.1533293908704298E-3</v>
      </c>
      <c r="AG2897">
        <v>-7.9240999999999895E-2</v>
      </c>
      <c r="AH2897">
        <v>0.73472097367225897</v>
      </c>
      <c r="AI2897">
        <v>96.1551865742845</v>
      </c>
      <c r="AJ2897">
        <v>89.286232418617899</v>
      </c>
      <c r="AK2897">
        <v>0.73903844871146596</v>
      </c>
      <c r="AL2897">
        <v>81.078361290045805</v>
      </c>
      <c r="AM2897">
        <v>98.228424842924298</v>
      </c>
      <c r="AN2897">
        <v>1.0000000333132399</v>
      </c>
    </row>
    <row r="2898" spans="1:40" x14ac:dyDescent="0.3">
      <c r="A2898" t="str">
        <f>"20200111150906609"</f>
        <v>20200111150906609</v>
      </c>
      <c r="B2898" t="str">
        <f>"1578726546607009"</f>
        <v>1578726546607009</v>
      </c>
      <c r="C2898" t="s">
        <v>40</v>
      </c>
      <c r="D2898">
        <v>5.1398960000000002</v>
      </c>
      <c r="E2898">
        <v>0.55832999999999999</v>
      </c>
      <c r="F2898" t="s">
        <v>41</v>
      </c>
      <c r="G2898">
        <v>-279.49709999999999</v>
      </c>
      <c r="H2898">
        <v>1.045507</v>
      </c>
      <c r="I2898">
        <v>-65.126990000000006</v>
      </c>
      <c r="J2898">
        <v>-280.09679999999997</v>
      </c>
      <c r="K2898">
        <v>1.1130660000000001</v>
      </c>
      <c r="L2898">
        <v>-65.043059999999997</v>
      </c>
      <c r="M2898">
        <v>0.99252039999999997</v>
      </c>
      <c r="N2898">
        <v>0</v>
      </c>
      <c r="O2898">
        <v>-0.1214196</v>
      </c>
      <c r="P2898">
        <v>0.98950899999999997</v>
      </c>
      <c r="Q2898">
        <v>0.14324619999999999</v>
      </c>
      <c r="R2898">
        <v>1.877788E-2</v>
      </c>
      <c r="S2898">
        <v>3.080444</v>
      </c>
      <c r="T2898">
        <v>-0.27966580000000002</v>
      </c>
      <c r="U2898">
        <v>-0.4135742</v>
      </c>
      <c r="V2898">
        <v>-0.13991579999999901</v>
      </c>
      <c r="W2898">
        <v>0.1546496</v>
      </c>
      <c r="X2898">
        <v>0.97801179999999999</v>
      </c>
      <c r="Y2898">
        <v>1.216767E-2</v>
      </c>
      <c r="Z2898">
        <v>1.036159E-2</v>
      </c>
      <c r="AA2898">
        <v>0.99987230000000005</v>
      </c>
      <c r="AB2898">
        <v>30</v>
      </c>
      <c r="AC2898">
        <v>0.59969999999998402</v>
      </c>
      <c r="AD2898">
        <v>-6.7558999999999897E-2</v>
      </c>
      <c r="AE2898">
        <v>-8.3930000000009303E-2</v>
      </c>
      <c r="AF2898">
        <v>1.03588060741406E-2</v>
      </c>
      <c r="AG2898">
        <v>-6.7558999999999897E-2</v>
      </c>
      <c r="AH2898">
        <v>0.59801023735443304</v>
      </c>
      <c r="AI2898">
        <v>96.444587858963899</v>
      </c>
      <c r="AJ2898">
        <v>89.007614786817896</v>
      </c>
      <c r="AK2898">
        <v>0.60190345349149399</v>
      </c>
      <c r="AL2898">
        <v>81.1035252742994</v>
      </c>
      <c r="AM2898">
        <v>98.141574634955703</v>
      </c>
      <c r="AN2898">
        <v>1.0000000054045199</v>
      </c>
    </row>
    <row r="2899" spans="1:40" x14ac:dyDescent="0.3">
      <c r="A2899" t="str">
        <f>"20200111150906620"</f>
        <v>20200111150906620</v>
      </c>
      <c r="B2899" t="str">
        <f>"1578726546616768"</f>
        <v>1578726546616768</v>
      </c>
      <c r="C2899" t="s">
        <v>40</v>
      </c>
      <c r="D2899">
        <v>5.1392329999999999</v>
      </c>
      <c r="E2899">
        <v>0.55919839999999998</v>
      </c>
      <c r="F2899" t="s">
        <v>41</v>
      </c>
      <c r="G2899">
        <v>-279.2441</v>
      </c>
      <c r="H2899">
        <v>1.0343039999999999</v>
      </c>
      <c r="I2899">
        <v>-65.16131</v>
      </c>
      <c r="J2899">
        <v>-279.94959999999998</v>
      </c>
      <c r="K2899">
        <v>1.1129530000000001</v>
      </c>
      <c r="L2899">
        <v>-65.059510000000003</v>
      </c>
      <c r="M2899">
        <v>0.99270420000000004</v>
      </c>
      <c r="N2899">
        <v>0</v>
      </c>
      <c r="O2899">
        <v>-0.11991110000000001</v>
      </c>
      <c r="P2899">
        <v>0.98966149999999997</v>
      </c>
      <c r="Q2899">
        <v>0.1421685</v>
      </c>
      <c r="R2899">
        <v>1.892506E-2</v>
      </c>
      <c r="S2899">
        <v>3.0811160000000002</v>
      </c>
      <c r="T2899">
        <v>-0.2847211</v>
      </c>
      <c r="U2899">
        <v>-0.4266663</v>
      </c>
      <c r="V2899">
        <v>-0.13854</v>
      </c>
      <c r="W2899">
        <v>0.1536013</v>
      </c>
      <c r="X2899">
        <v>0.97837280000000004</v>
      </c>
      <c r="Y2899">
        <v>1.7815190000000002E-2</v>
      </c>
      <c r="Z2899">
        <v>1.014586E-2</v>
      </c>
      <c r="AA2899">
        <v>0.99978979999999995</v>
      </c>
      <c r="AB2899">
        <v>30</v>
      </c>
      <c r="AC2899">
        <v>0.70549999999997204</v>
      </c>
      <c r="AD2899">
        <v>-7.86489999999999E-2</v>
      </c>
      <c r="AE2899">
        <v>-0.101799999999997</v>
      </c>
      <c r="AF2899">
        <v>1.6263326929112198E-2</v>
      </c>
      <c r="AG2899">
        <v>-7.86489999999999E-2</v>
      </c>
      <c r="AH2899">
        <v>0.70404543135869702</v>
      </c>
      <c r="AI2899">
        <v>96.372405731985594</v>
      </c>
      <c r="AJ2899">
        <v>88.676712801331107</v>
      </c>
      <c r="AK2899">
        <v>0.708611410027285</v>
      </c>
      <c r="AL2899">
        <v>81.164314870193195</v>
      </c>
      <c r="AM2899">
        <v>98.059640011973102</v>
      </c>
      <c r="AN2899">
        <v>1.0000000133707601</v>
      </c>
    </row>
    <row r="2900" spans="1:40" x14ac:dyDescent="0.3">
      <c r="A2900" t="str">
        <f>"20200111150906632"</f>
        <v>20200111150906632</v>
      </c>
      <c r="B2900" t="str">
        <f>"1578726546626528"</f>
        <v>1578726546626528</v>
      </c>
      <c r="C2900" t="s">
        <v>40</v>
      </c>
      <c r="D2900">
        <v>5.1062190000000003</v>
      </c>
      <c r="E2900">
        <v>0.55998059999999905</v>
      </c>
      <c r="F2900" t="s">
        <v>41</v>
      </c>
      <c r="G2900">
        <v>-278.98790000000002</v>
      </c>
      <c r="H2900">
        <v>1.022373</v>
      </c>
      <c r="I2900">
        <v>-65.194810000000004</v>
      </c>
      <c r="J2900">
        <v>-279.79000000000002</v>
      </c>
      <c r="K2900">
        <v>1.11286</v>
      </c>
      <c r="L2900">
        <v>-65.076999999999998</v>
      </c>
      <c r="M2900">
        <v>0.99289459999999996</v>
      </c>
      <c r="N2900">
        <v>0</v>
      </c>
      <c r="O2900">
        <v>-0.1183254</v>
      </c>
      <c r="P2900">
        <v>0.98977119999999996</v>
      </c>
      <c r="Q2900">
        <v>0.14138310000000001</v>
      </c>
      <c r="R2900">
        <v>1.9078080000000001E-2</v>
      </c>
      <c r="S2900">
        <v>3.0813290000000002</v>
      </c>
      <c r="T2900">
        <v>-0.29032740000000001</v>
      </c>
      <c r="U2900">
        <v>-0.43234250000000002</v>
      </c>
      <c r="V2900">
        <v>-0.13709839999999901</v>
      </c>
      <c r="W2900">
        <v>0.152838</v>
      </c>
      <c r="X2900">
        <v>0.97869530000000005</v>
      </c>
      <c r="Y2900">
        <v>2.120445E-2</v>
      </c>
      <c r="Z2900">
        <v>1.0036969999999999E-2</v>
      </c>
      <c r="AA2900">
        <v>0.99972479999999997</v>
      </c>
      <c r="AB2900">
        <v>30</v>
      </c>
      <c r="AC2900">
        <v>0.80209999999999504</v>
      </c>
      <c r="AD2900">
        <v>-9.0486999999999901E-2</v>
      </c>
      <c r="AE2900">
        <v>-0.11781000000000499</v>
      </c>
      <c r="AF2900">
        <v>2.1794355714116899E-2</v>
      </c>
      <c r="AG2900">
        <v>-9.0486999999999901E-2</v>
      </c>
      <c r="AH2900">
        <v>0.80043352353356201</v>
      </c>
      <c r="AI2900">
        <v>96.4473922155141</v>
      </c>
      <c r="AJ2900">
        <v>88.440325012210394</v>
      </c>
      <c r="AK2900">
        <v>0.80582672871179195</v>
      </c>
      <c r="AL2900">
        <v>81.208570820720595</v>
      </c>
      <c r="AM2900">
        <v>97.974264500070404</v>
      </c>
      <c r="AN2900">
        <v>0.99999995788432405</v>
      </c>
    </row>
    <row r="2901" spans="1:40" x14ac:dyDescent="0.3">
      <c r="A2901" t="str">
        <f>"20200111150906643"</f>
        <v>20200111150906643</v>
      </c>
      <c r="B2901" t="str">
        <f>"1578726546637264"</f>
        <v>1578726546637264</v>
      </c>
      <c r="C2901" t="s">
        <v>40</v>
      </c>
      <c r="D2901">
        <v>5.0940059999999896</v>
      </c>
      <c r="E2901">
        <v>0.56063960000000002</v>
      </c>
      <c r="F2901" t="s">
        <v>41</v>
      </c>
      <c r="G2901">
        <v>-278.98099999999999</v>
      </c>
      <c r="H2901">
        <v>1.0356609999999999</v>
      </c>
      <c r="I2901">
        <v>-65.192119999999903</v>
      </c>
      <c r="J2901">
        <v>-279.64980000000003</v>
      </c>
      <c r="K2901">
        <v>1.112787</v>
      </c>
      <c r="L2901">
        <v>-65.092219999999998</v>
      </c>
      <c r="M2901">
        <v>0.99305900000000003</v>
      </c>
      <c r="N2901">
        <v>0</v>
      </c>
      <c r="O2901">
        <v>-0.11694019999999999</v>
      </c>
      <c r="P2901">
        <v>0.98985919999999905</v>
      </c>
      <c r="Q2901">
        <v>0.14075850000000001</v>
      </c>
      <c r="R2901">
        <v>1.9133379999999998E-2</v>
      </c>
      <c r="S2901">
        <v>3.0814509999999999</v>
      </c>
      <c r="T2901">
        <v>-0.29415370000000002</v>
      </c>
      <c r="U2901">
        <v>-0.43710329999999997</v>
      </c>
      <c r="V2901">
        <v>-0.13576379999999999</v>
      </c>
      <c r="W2901">
        <v>0.15222959999999999</v>
      </c>
      <c r="X2901">
        <v>0.97897619999999996</v>
      </c>
      <c r="Y2901">
        <v>2.4100090000000001E-2</v>
      </c>
      <c r="Z2901">
        <v>9.899662E-3</v>
      </c>
      <c r="AA2901">
        <v>0.99966060000000001</v>
      </c>
      <c r="AB2901">
        <v>30</v>
      </c>
      <c r="AC2901">
        <v>0.66880000000003204</v>
      </c>
      <c r="AD2901">
        <v>-7.7125999999999806E-2</v>
      </c>
      <c r="AE2901">
        <v>-9.9899999999990996E-2</v>
      </c>
      <c r="AF2901">
        <v>2.0729003572147499E-2</v>
      </c>
      <c r="AG2901">
        <v>-7.7125999999999806E-2</v>
      </c>
      <c r="AH2901">
        <v>0.66721443027701699</v>
      </c>
      <c r="AI2901">
        <v>96.590632948357793</v>
      </c>
      <c r="AJ2901">
        <v>88.220508340102398</v>
      </c>
      <c r="AK2901">
        <v>0.67197708847473303</v>
      </c>
      <c r="AL2901">
        <v>81.2438429524844</v>
      </c>
      <c r="AM2901">
        <v>97.895384852774001</v>
      </c>
      <c r="AN2901">
        <v>1.00000003033651</v>
      </c>
    </row>
    <row r="2902" spans="1:40" x14ac:dyDescent="0.3">
      <c r="A2902" t="str">
        <f>"20200111150906665"</f>
        <v>20200111150906665</v>
      </c>
      <c r="B2902" t="str">
        <f>"1578726546656785"</f>
        <v>1578726546656785</v>
      </c>
      <c r="C2902" t="s">
        <v>40</v>
      </c>
      <c r="D2902">
        <v>5.2748920000000004</v>
      </c>
      <c r="E2902">
        <v>0.56063960000000002</v>
      </c>
      <c r="F2902" t="s">
        <v>41</v>
      </c>
      <c r="G2902">
        <v>-278.72489999999999</v>
      </c>
      <c r="H2902">
        <v>1.023183</v>
      </c>
      <c r="I2902">
        <v>-65.224879999999999</v>
      </c>
      <c r="J2902">
        <v>-279.35570000000001</v>
      </c>
      <c r="K2902">
        <v>1.1126830000000001</v>
      </c>
      <c r="L2902">
        <v>-65.123570000000001</v>
      </c>
      <c r="M2902">
        <v>0.99339460000000002</v>
      </c>
      <c r="N2902">
        <v>0</v>
      </c>
      <c r="O2902">
        <v>-0.11405800000000001</v>
      </c>
      <c r="P2902">
        <v>0.98983319999999997</v>
      </c>
      <c r="Q2902">
        <v>0.1408422</v>
      </c>
      <c r="R2902">
        <v>1.9849829999999999E-2</v>
      </c>
      <c r="S2902">
        <v>3.0817260000000002</v>
      </c>
      <c r="T2902">
        <v>-0.29867850000000001</v>
      </c>
      <c r="U2902">
        <v>-0.44128420000000002</v>
      </c>
      <c r="V2902">
        <v>-0.1335875</v>
      </c>
      <c r="W2902">
        <v>0.15232860000000001</v>
      </c>
      <c r="X2902">
        <v>0.97926009999999997</v>
      </c>
      <c r="Y2902">
        <v>2.829808E-2</v>
      </c>
      <c r="Z2902">
        <v>9.5724929999999996E-3</v>
      </c>
      <c r="AA2902">
        <v>0.99955369999999999</v>
      </c>
      <c r="AB2902">
        <v>30</v>
      </c>
      <c r="AC2902">
        <v>0.63080000000002201</v>
      </c>
      <c r="AD2902">
        <v>-8.9500000000000093E-2</v>
      </c>
      <c r="AE2902">
        <v>-0.101309999999998</v>
      </c>
      <c r="AF2902">
        <v>2.8142989664069199E-2</v>
      </c>
      <c r="AG2902">
        <v>-8.9500000000000093E-2</v>
      </c>
      <c r="AH2902">
        <v>0.62595477453053505</v>
      </c>
      <c r="AI2902">
        <v>98.128987178622197</v>
      </c>
      <c r="AJ2902">
        <v>87.425709618360301</v>
      </c>
      <c r="AK2902">
        <v>0.63294680473544196</v>
      </c>
      <c r="AL2902">
        <v>81.238103318983704</v>
      </c>
      <c r="AM2902">
        <v>97.768154763873</v>
      </c>
      <c r="AN2902">
        <v>0.99999998299310899</v>
      </c>
    </row>
    <row r="2903" spans="1:40" x14ac:dyDescent="0.3">
      <c r="A2903" t="str">
        <f>"20200111150906676"</f>
        <v>20200111150906676</v>
      </c>
      <c r="B2903" t="str">
        <f>"1578726546666545"</f>
        <v>1578726546666545</v>
      </c>
      <c r="C2903" t="s">
        <v>40</v>
      </c>
      <c r="D2903">
        <v>5.1439440000000003</v>
      </c>
      <c r="E2903">
        <v>0.50613920000000001</v>
      </c>
      <c r="F2903" t="s">
        <v>41</v>
      </c>
      <c r="G2903">
        <v>-278.4606</v>
      </c>
      <c r="H2903">
        <v>1.0257860000000001</v>
      </c>
      <c r="I2903">
        <v>-65.25076</v>
      </c>
      <c r="J2903">
        <v>-279.209</v>
      </c>
      <c r="K2903">
        <v>1.1126480000000001</v>
      </c>
      <c r="L2903">
        <v>-65.138919999999999</v>
      </c>
      <c r="M2903">
        <v>0.99355950000000004</v>
      </c>
      <c r="N2903">
        <v>0</v>
      </c>
      <c r="O2903">
        <v>-0.11261549999999999</v>
      </c>
      <c r="P2903">
        <v>0.98983160000000003</v>
      </c>
      <c r="Q2903">
        <v>0.14074310000000001</v>
      </c>
      <c r="R2903">
        <v>2.061352E-2</v>
      </c>
      <c r="S2903">
        <v>3.0821839999999998</v>
      </c>
      <c r="T2903">
        <v>-0.29927510000000002</v>
      </c>
      <c r="U2903">
        <v>-0.43780520000000001</v>
      </c>
      <c r="V2903">
        <v>-0.13290779999999999</v>
      </c>
      <c r="W2903">
        <v>0.15222959999999999</v>
      </c>
      <c r="X2903">
        <v>0.97936800000000002</v>
      </c>
      <c r="Y2903">
        <v>2.86164E-2</v>
      </c>
      <c r="Z2903">
        <v>9.4378919999999998E-3</v>
      </c>
      <c r="AA2903">
        <v>0.99954589999999999</v>
      </c>
      <c r="AB2903">
        <v>30</v>
      </c>
      <c r="AC2903">
        <v>0.74840000000000295</v>
      </c>
      <c r="AD2903">
        <v>-8.6861999999999703E-2</v>
      </c>
      <c r="AE2903">
        <v>-0.11183999999999999</v>
      </c>
      <c r="AF2903">
        <v>2.64913022275465E-2</v>
      </c>
      <c r="AG2903">
        <v>-8.6861999999999703E-2</v>
      </c>
      <c r="AH2903">
        <v>0.74639938232311898</v>
      </c>
      <c r="AI2903">
        <v>96.633780672791403</v>
      </c>
      <c r="AJ2903">
        <v>87.967304110639901</v>
      </c>
      <c r="AK2903">
        <v>0.75190347390475898</v>
      </c>
      <c r="AL2903">
        <v>81.243842745838805</v>
      </c>
      <c r="AM2903">
        <v>97.728267707817594</v>
      </c>
      <c r="AN2903">
        <v>1.0000000069205</v>
      </c>
    </row>
    <row r="2904" spans="1:40" x14ac:dyDescent="0.3">
      <c r="A2904" t="str">
        <f>"20200111150906688"</f>
        <v>20200111150906688</v>
      </c>
      <c r="B2904" t="str">
        <f>"1578726546677281"</f>
        <v>1578726546677281</v>
      </c>
      <c r="C2904" t="s">
        <v>40</v>
      </c>
      <c r="D2904">
        <v>4.9984060000000001</v>
      </c>
      <c r="E2904">
        <v>0.50613920000000001</v>
      </c>
      <c r="F2904" t="s">
        <v>70</v>
      </c>
      <c r="G2904">
        <v>-157.3501</v>
      </c>
      <c r="H2904">
        <v>1.3032010000000001</v>
      </c>
      <c r="I2904">
        <v>-64.940089999999998</v>
      </c>
      <c r="J2904">
        <v>-279.06670000000003</v>
      </c>
      <c r="K2904">
        <v>1.11263</v>
      </c>
      <c r="L2904">
        <v>-65.153530000000003</v>
      </c>
      <c r="M2904">
        <v>0.99371980000000004</v>
      </c>
      <c r="N2904">
        <v>0</v>
      </c>
      <c r="O2904">
        <v>-0.11119320000000001</v>
      </c>
      <c r="P2904">
        <v>0.9898922</v>
      </c>
      <c r="Q2904">
        <v>0.1402033</v>
      </c>
      <c r="R2904">
        <v>2.1366059999999999E-2</v>
      </c>
      <c r="S2904">
        <v>3.0300289999999999</v>
      </c>
      <c r="T2904">
        <v>4.737616E-3</v>
      </c>
      <c r="U2904">
        <v>4.9438479999999998E-3</v>
      </c>
      <c r="V2904">
        <v>-0.132248799999999</v>
      </c>
      <c r="W2904">
        <v>0.15168709999999999</v>
      </c>
      <c r="X2904">
        <v>0.97954140000000001</v>
      </c>
      <c r="Y2904">
        <v>-0.11282300000000001</v>
      </c>
      <c r="Z2904">
        <v>-2.6180600000000001E-4</v>
      </c>
      <c r="AA2904">
        <v>0.99361509999999997</v>
      </c>
      <c r="AB2904">
        <v>30</v>
      </c>
      <c r="AC2904">
        <v>121.7166</v>
      </c>
      <c r="AD2904">
        <v>0.19057099999999999</v>
      </c>
      <c r="AE2904">
        <v>0.21344000000000499</v>
      </c>
      <c r="AF2904">
        <v>-13.7472035175222</v>
      </c>
      <c r="AG2904">
        <v>0.19057099999999999</v>
      </c>
      <c r="AH2904">
        <v>120.937661765458</v>
      </c>
      <c r="AI2904">
        <v>89.910292309727595</v>
      </c>
      <c r="AJ2904">
        <v>96.485079004614605</v>
      </c>
      <c r="AK2904">
        <v>121.71663795535299</v>
      </c>
      <c r="AL2904">
        <v>81.275291189301001</v>
      </c>
      <c r="AM2904">
        <v>97.689063067855699</v>
      </c>
      <c r="AN2904">
        <v>1.0000000378609</v>
      </c>
    </row>
    <row r="2905" spans="1:40" x14ac:dyDescent="0.3">
      <c r="A2905" t="str">
        <f>"20200111150906709"</f>
        <v>20200111150906709</v>
      </c>
      <c r="B2905" t="str">
        <f>"1578726546706561"</f>
        <v>1578726546706561</v>
      </c>
      <c r="C2905" t="s">
        <v>40</v>
      </c>
      <c r="D2905">
        <v>5.0956219999999997</v>
      </c>
      <c r="E2905">
        <v>0.48157850000000002</v>
      </c>
      <c r="F2905" t="s">
        <v>70</v>
      </c>
      <c r="G2905">
        <v>-157.3501</v>
      </c>
      <c r="H2905">
        <v>1.236132</v>
      </c>
      <c r="I2905">
        <v>-64.856859999999998</v>
      </c>
      <c r="J2905">
        <v>-278.77730000000003</v>
      </c>
      <c r="K2905">
        <v>1.112625</v>
      </c>
      <c r="L2905">
        <v>-65.18262</v>
      </c>
      <c r="M2905">
        <v>0.99404559999999997</v>
      </c>
      <c r="N2905">
        <v>0</v>
      </c>
      <c r="O2905">
        <v>-0.10824400000000001</v>
      </c>
      <c r="P2905">
        <v>0.98999970000000004</v>
      </c>
      <c r="Q2905">
        <v>0.13906070000000001</v>
      </c>
      <c r="R2905">
        <v>2.372968E-2</v>
      </c>
      <c r="S2905">
        <v>3.0299990000000001</v>
      </c>
      <c r="T2905">
        <v>3.0739309999999998E-3</v>
      </c>
      <c r="U2905">
        <v>7.385254E-3</v>
      </c>
      <c r="V2905">
        <v>-0.13168949999999999</v>
      </c>
      <c r="W2905">
        <v>0.1505262</v>
      </c>
      <c r="X2905">
        <v>0.97979579999999999</v>
      </c>
      <c r="Y2905">
        <v>-0.1106751</v>
      </c>
      <c r="Z2905">
        <v>-1.6580349999999999E-4</v>
      </c>
      <c r="AA2905">
        <v>0.99385659999999998</v>
      </c>
      <c r="AB2905">
        <v>30</v>
      </c>
      <c r="AC2905">
        <v>121.4272</v>
      </c>
      <c r="AD2905">
        <v>0.12350700000000001</v>
      </c>
      <c r="AE2905">
        <v>0.32576000000000199</v>
      </c>
      <c r="AF2905">
        <v>-13.4686267094265</v>
      </c>
      <c r="AG2905">
        <v>0.12350700000000001</v>
      </c>
      <c r="AH2905">
        <v>120.67823584254501</v>
      </c>
      <c r="AI2905">
        <v>89.941723030294895</v>
      </c>
      <c r="AJ2905">
        <v>96.368298664041802</v>
      </c>
      <c r="AK2905">
        <v>121.427574156308</v>
      </c>
      <c r="AL2905">
        <v>81.342578469356496</v>
      </c>
      <c r="AM2905">
        <v>97.654966944649502</v>
      </c>
      <c r="AN2905">
        <v>1.0000000354971601</v>
      </c>
    </row>
    <row r="2906" spans="1:40" x14ac:dyDescent="0.3">
      <c r="A2906" t="str">
        <f>"20200111150906722"</f>
        <v>20200111150906722</v>
      </c>
      <c r="B2906" t="str">
        <f>"1578726546717297"</f>
        <v>1578726546717297</v>
      </c>
      <c r="C2906" t="s">
        <v>40</v>
      </c>
      <c r="D2906">
        <v>5.1142089999999998</v>
      </c>
      <c r="E2906">
        <v>0.4808615</v>
      </c>
      <c r="F2906" t="s">
        <v>43</v>
      </c>
      <c r="G2906">
        <v>-267.83800000000002</v>
      </c>
      <c r="H2906" s="1">
        <v>-3.2775419999999998E-6</v>
      </c>
      <c r="I2906">
        <v>-64.452830000000006</v>
      </c>
      <c r="J2906">
        <v>-278.62400000000002</v>
      </c>
      <c r="K2906">
        <v>1.1126389999999999</v>
      </c>
      <c r="L2906">
        <v>-65.197749999999999</v>
      </c>
      <c r="M2906">
        <v>0.99421850000000001</v>
      </c>
      <c r="N2906">
        <v>0</v>
      </c>
      <c r="O2906">
        <v>-0.1066455</v>
      </c>
      <c r="P2906">
        <v>0.99010719999999997</v>
      </c>
      <c r="Q2906">
        <v>0.13805020000000001</v>
      </c>
      <c r="R2906">
        <v>2.5094490000000001E-2</v>
      </c>
      <c r="S2906">
        <v>3.0692750000000002</v>
      </c>
      <c r="T2906">
        <v>-0.31217410000000001</v>
      </c>
      <c r="U2906">
        <v>0.20474239999999999</v>
      </c>
      <c r="V2906">
        <v>-0.1314775</v>
      </c>
      <c r="W2906">
        <v>0.14950359999999999</v>
      </c>
      <c r="X2906">
        <v>0.97998079999999999</v>
      </c>
      <c r="Y2906">
        <v>-0.17116889999999901</v>
      </c>
      <c r="Z2906">
        <v>1.9474749999999999E-2</v>
      </c>
      <c r="AA2906">
        <v>0.98504919999999996</v>
      </c>
      <c r="AB2906">
        <v>30</v>
      </c>
      <c r="AC2906">
        <v>10.786</v>
      </c>
      <c r="AD2906">
        <v>-1.112642277542</v>
      </c>
      <c r="AE2906">
        <v>0.74491999999999303</v>
      </c>
      <c r="AF2906">
        <v>-1.8712219028848001</v>
      </c>
      <c r="AG2906">
        <v>-1.112642277542</v>
      </c>
      <c r="AH2906">
        <v>10.5334737611264</v>
      </c>
      <c r="AI2906">
        <v>95.937467783849797</v>
      </c>
      <c r="AJ2906">
        <v>100.07323887435101</v>
      </c>
      <c r="AK2906">
        <v>10.756091935454499</v>
      </c>
      <c r="AL2906">
        <v>81.401839563299205</v>
      </c>
      <c r="AM2906">
        <v>97.641363643882102</v>
      </c>
      <c r="AN2906">
        <v>1.00000001389392</v>
      </c>
    </row>
    <row r="2907" spans="1:40" x14ac:dyDescent="0.3">
      <c r="A2907" t="str">
        <f>"20200111150906732"</f>
        <v>20200111150906732</v>
      </c>
      <c r="B2907" t="str">
        <f>"1578726546727056"</f>
        <v>1578726546727056</v>
      </c>
      <c r="C2907" t="s">
        <v>40</v>
      </c>
      <c r="D2907">
        <v>5.1064100000000003</v>
      </c>
      <c r="E2907">
        <v>0.48148669999999999</v>
      </c>
      <c r="F2907" t="s">
        <v>43</v>
      </c>
      <c r="G2907">
        <v>-267.65370000000001</v>
      </c>
      <c r="H2907" s="1">
        <v>-3.2107780000000001E-6</v>
      </c>
      <c r="I2907">
        <v>-64.42989</v>
      </c>
      <c r="J2907">
        <v>-278.47210000000001</v>
      </c>
      <c r="K2907">
        <v>1.1126640000000001</v>
      </c>
      <c r="L2907">
        <v>-65.212339999999998</v>
      </c>
      <c r="M2907">
        <v>0.99439290000000002</v>
      </c>
      <c r="N2907">
        <v>0</v>
      </c>
      <c r="O2907">
        <v>-0.10500859999999999</v>
      </c>
      <c r="P2907">
        <v>0.99020370000000002</v>
      </c>
      <c r="Q2907">
        <v>0.13708699999999999</v>
      </c>
      <c r="R2907">
        <v>2.6528349999999999E-2</v>
      </c>
      <c r="S2907">
        <v>3.0679319999999999</v>
      </c>
      <c r="T2907">
        <v>-0.31116129999999997</v>
      </c>
      <c r="U2907">
        <v>0.21472169999999999</v>
      </c>
      <c r="V2907">
        <v>-0.131300799999999</v>
      </c>
      <c r="W2907">
        <v>0.14852470000000001</v>
      </c>
      <c r="X2907">
        <v>0.98015330000000001</v>
      </c>
      <c r="Y2907">
        <v>-0.17277329999999999</v>
      </c>
      <c r="Z2907">
        <v>1.93347E-2</v>
      </c>
      <c r="AA2907">
        <v>0.98477179999999997</v>
      </c>
      <c r="AB2907">
        <v>30</v>
      </c>
      <c r="AC2907">
        <v>10.818399999999899</v>
      </c>
      <c r="AD2907">
        <v>-1.11266721077799</v>
      </c>
      <c r="AE2907">
        <v>0.78244999999999698</v>
      </c>
      <c r="AF2907">
        <v>-1.89430332500457</v>
      </c>
      <c r="AG2907">
        <v>-1.11266721077799</v>
      </c>
      <c r="AH2907">
        <v>10.565231034998</v>
      </c>
      <c r="AI2907">
        <v>95.918201495525594</v>
      </c>
      <c r="AJ2907">
        <v>100.164896802831</v>
      </c>
      <c r="AK2907">
        <v>10.7912242230411</v>
      </c>
      <c r="AL2907">
        <v>81.458559466181796</v>
      </c>
      <c r="AM2907">
        <v>97.629887871624206</v>
      </c>
      <c r="AN2907">
        <v>0.999999989045809</v>
      </c>
    </row>
    <row r="2908" spans="1:40" x14ac:dyDescent="0.3">
      <c r="A2908" t="str">
        <f>"20200111150906743"</f>
        <v>20200111150906743</v>
      </c>
      <c r="B2908" t="str">
        <f>"1578726546736816"</f>
        <v>1578726546736816</v>
      </c>
      <c r="C2908" t="s">
        <v>40</v>
      </c>
      <c r="D2908">
        <v>5.115958</v>
      </c>
      <c r="E2908">
        <v>0.481209</v>
      </c>
      <c r="F2908" t="s">
        <v>43</v>
      </c>
      <c r="G2908">
        <v>-267.63729999999998</v>
      </c>
      <c r="H2908" s="1">
        <v>-3.2097910000000001E-6</v>
      </c>
      <c r="I2908">
        <v>-64.455799999999996</v>
      </c>
      <c r="J2908">
        <v>-278.3279</v>
      </c>
      <c r="K2908">
        <v>1.112689</v>
      </c>
      <c r="L2908">
        <v>-65.225980000000007</v>
      </c>
      <c r="M2908">
        <v>0.99455830000000001</v>
      </c>
      <c r="N2908">
        <v>0</v>
      </c>
      <c r="O2908">
        <v>-0.10343139999999899</v>
      </c>
      <c r="P2908">
        <v>0.99022350000000003</v>
      </c>
      <c r="Q2908">
        <v>0.1365981</v>
      </c>
      <c r="R2908">
        <v>2.826037E-2</v>
      </c>
      <c r="S2908">
        <v>3.0675349999999999</v>
      </c>
      <c r="T2908">
        <v>-0.31501829999999997</v>
      </c>
      <c r="U2908">
        <v>0.21417240000000001</v>
      </c>
      <c r="V2908">
        <v>-0.13147539999999999</v>
      </c>
      <c r="W2908">
        <v>0.14801689999999901</v>
      </c>
      <c r="X2908">
        <v>0.98020669999999999</v>
      </c>
      <c r="Y2908">
        <v>-0.1710264</v>
      </c>
      <c r="Z2908">
        <v>1.932538E-2</v>
      </c>
      <c r="AA2908">
        <v>0.98507690000000003</v>
      </c>
      <c r="AB2908">
        <v>30</v>
      </c>
      <c r="AC2908">
        <v>10.6906</v>
      </c>
      <c r="AD2908">
        <v>-1.1126922097909999</v>
      </c>
      <c r="AE2908">
        <v>0.77018000000000997</v>
      </c>
      <c r="AF2908">
        <v>-1.85192026236268</v>
      </c>
      <c r="AG2908">
        <v>-1.1126922097909999</v>
      </c>
      <c r="AH2908">
        <v>10.4410626839496</v>
      </c>
      <c r="AI2908">
        <v>95.9901879843774</v>
      </c>
      <c r="AJ2908">
        <v>100.057889585251</v>
      </c>
      <c r="AK2908">
        <v>10.662245663182</v>
      </c>
      <c r="AL2908">
        <v>81.487979363465996</v>
      </c>
      <c r="AM2908">
        <v>97.639502822523596</v>
      </c>
      <c r="AN2908">
        <v>0.99999997910782901</v>
      </c>
    </row>
    <row r="2909" spans="1:40" x14ac:dyDescent="0.3">
      <c r="A2909" t="str">
        <f>"20200111150906754"</f>
        <v>20200111150906754</v>
      </c>
      <c r="B2909" t="str">
        <f>"1578726546746577"</f>
        <v>1578726546746577</v>
      </c>
      <c r="C2909" t="s">
        <v>40</v>
      </c>
      <c r="D2909">
        <v>5.1202480000000001</v>
      </c>
      <c r="E2909">
        <v>0.48103439999999997</v>
      </c>
      <c r="F2909" t="s">
        <v>43</v>
      </c>
      <c r="G2909">
        <v>-267.27109999999999</v>
      </c>
      <c r="H2909" s="1">
        <v>-3.0799649999999998E-6</v>
      </c>
      <c r="I2909">
        <v>-64.426559999999995</v>
      </c>
      <c r="J2909">
        <v>-278.1816</v>
      </c>
      <c r="K2909">
        <v>1.1127229999999999</v>
      </c>
      <c r="L2909">
        <v>-65.239559999999997</v>
      </c>
      <c r="M2909">
        <v>0.99472740000000004</v>
      </c>
      <c r="N2909">
        <v>0</v>
      </c>
      <c r="O2909">
        <v>-0.10179299999999999</v>
      </c>
      <c r="P2909">
        <v>0.9902455</v>
      </c>
      <c r="Q2909">
        <v>0.13603299999999999</v>
      </c>
      <c r="R2909">
        <v>3.0149229999999999E-2</v>
      </c>
      <c r="S2909">
        <v>3.065887</v>
      </c>
      <c r="T2909">
        <v>-0.30853190000000003</v>
      </c>
      <c r="U2909">
        <v>0.22164919999999999</v>
      </c>
      <c r="V2909">
        <v>-0.1317479</v>
      </c>
      <c r="W2909">
        <v>0.14743210000000001</v>
      </c>
      <c r="X2909">
        <v>0.98025830000000003</v>
      </c>
      <c r="Y2909">
        <v>-0.17189199999999999</v>
      </c>
      <c r="Z2909">
        <v>1.8817759999999999E-2</v>
      </c>
      <c r="AA2909">
        <v>0.98493609999999998</v>
      </c>
      <c r="AB2909">
        <v>30</v>
      </c>
      <c r="AC2909">
        <v>10.910500000000001</v>
      </c>
      <c r="AD2909">
        <v>-1.1127260799649901</v>
      </c>
      <c r="AE2909">
        <v>0.81300000000000205</v>
      </c>
      <c r="AF2909">
        <v>-1.8998237263907001</v>
      </c>
      <c r="AG2909">
        <v>-1.1127260799649901</v>
      </c>
      <c r="AH2909">
        <v>10.6607799566354</v>
      </c>
      <c r="AI2909">
        <v>95.866937351688406</v>
      </c>
      <c r="AJ2909">
        <v>100.104425577564</v>
      </c>
      <c r="AK2909">
        <v>10.885757612779599</v>
      </c>
      <c r="AL2909">
        <v>81.521858099023405</v>
      </c>
      <c r="AM2909">
        <v>97.6547509394114</v>
      </c>
      <c r="AN2909">
        <v>1.00000003399185</v>
      </c>
    </row>
    <row r="2910" spans="1:40" x14ac:dyDescent="0.3">
      <c r="A2910" t="str">
        <f>"20200111150906767"</f>
        <v>20200111150906767</v>
      </c>
      <c r="B2910" t="str">
        <f>"1578726546756337"</f>
        <v>1578726546756337</v>
      </c>
      <c r="C2910" t="s">
        <v>40</v>
      </c>
      <c r="D2910">
        <v>5.123818</v>
      </c>
      <c r="E2910">
        <v>0.48088969999999998</v>
      </c>
      <c r="F2910" t="s">
        <v>43</v>
      </c>
      <c r="G2910">
        <v>-266.97820000000002</v>
      </c>
      <c r="H2910" s="1">
        <v>-2.9760299999999999E-6</v>
      </c>
      <c r="I2910">
        <v>-64.40249</v>
      </c>
      <c r="J2910">
        <v>-278.02969999999999</v>
      </c>
      <c r="K2910">
        <v>1.1127640000000001</v>
      </c>
      <c r="L2910">
        <v>-65.253330000000005</v>
      </c>
      <c r="M2910">
        <v>0.99490429999999996</v>
      </c>
      <c r="N2910">
        <v>0</v>
      </c>
      <c r="O2910">
        <v>-0.10004929999999999</v>
      </c>
      <c r="P2910">
        <v>0.99024650000000003</v>
      </c>
      <c r="Q2910">
        <v>0.13556799999999999</v>
      </c>
      <c r="R2910">
        <v>3.2137440000000003E-2</v>
      </c>
      <c r="S2910">
        <v>3.0643919999999998</v>
      </c>
      <c r="T2910">
        <v>-0.30435709999999999</v>
      </c>
      <c r="U2910">
        <v>0.2289429</v>
      </c>
      <c r="V2910">
        <v>-0.13201640000000001</v>
      </c>
      <c r="W2910">
        <v>0.1469453</v>
      </c>
      <c r="X2910">
        <v>0.98029520000000003</v>
      </c>
      <c r="Y2910">
        <v>-0.172573</v>
      </c>
      <c r="Z2910">
        <v>1.843357E-2</v>
      </c>
      <c r="AA2910">
        <v>0.98482420000000004</v>
      </c>
      <c r="AB2910">
        <v>30</v>
      </c>
      <c r="AC2910">
        <v>11.0514999999999</v>
      </c>
      <c r="AD2910">
        <v>-1.1127669760300001</v>
      </c>
      <c r="AE2910">
        <v>0.85084000000000504</v>
      </c>
      <c r="AF2910">
        <v>-1.9328704910226699</v>
      </c>
      <c r="AG2910">
        <v>-1.1127669760300001</v>
      </c>
      <c r="AH2910">
        <v>10.802038442095</v>
      </c>
      <c r="AI2910">
        <v>95.790226031773798</v>
      </c>
      <c r="AJ2910">
        <v>100.144897555548</v>
      </c>
      <c r="AK2910">
        <v>11.0298809233149</v>
      </c>
      <c r="AL2910">
        <v>81.550056225701894</v>
      </c>
      <c r="AM2910">
        <v>97.669880381370803</v>
      </c>
      <c r="AN2910">
        <v>0.99999996510204403</v>
      </c>
    </row>
    <row r="2911" spans="1:40" x14ac:dyDescent="0.3">
      <c r="A2911" t="str">
        <f>"20200111150906777"</f>
        <v>20200111150906777</v>
      </c>
      <c r="B2911" t="str">
        <f>"1578726546767074"</f>
        <v>1578726546767074</v>
      </c>
      <c r="C2911" t="s">
        <v>40</v>
      </c>
      <c r="D2911">
        <v>5.4214830000000003</v>
      </c>
      <c r="E2911">
        <v>0.48088969999999998</v>
      </c>
      <c r="F2911" t="s">
        <v>43</v>
      </c>
      <c r="G2911">
        <v>-266.9325</v>
      </c>
      <c r="H2911" s="1">
        <v>-2.9596290000000002E-6</v>
      </c>
      <c r="I2911">
        <v>-64.397750000000002</v>
      </c>
      <c r="J2911">
        <v>-277.87779999999998</v>
      </c>
      <c r="K2911">
        <v>1.112808</v>
      </c>
      <c r="L2911">
        <v>-65.266909999999996</v>
      </c>
      <c r="M2911">
        <v>0.99508110000000005</v>
      </c>
      <c r="N2911">
        <v>0</v>
      </c>
      <c r="O2911">
        <v>-9.8277379999999998E-2</v>
      </c>
      <c r="P2911">
        <v>0.99019559999999995</v>
      </c>
      <c r="Q2911">
        <v>0.135486</v>
      </c>
      <c r="R2911">
        <v>3.4000429999999998E-2</v>
      </c>
      <c r="S2911">
        <v>3.0639340000000002</v>
      </c>
      <c r="T2911">
        <v>-0.30723339999999999</v>
      </c>
      <c r="U2911">
        <v>0.2362061</v>
      </c>
      <c r="V2911">
        <v>-0.13213169999999999</v>
      </c>
      <c r="W2911">
        <v>0.14684159999999999</v>
      </c>
      <c r="X2911">
        <v>0.98029520000000003</v>
      </c>
      <c r="Y2911">
        <v>-0.17313190000000001</v>
      </c>
      <c r="Z2911">
        <v>1.845956E-2</v>
      </c>
      <c r="AA2911">
        <v>0.98472570000000004</v>
      </c>
      <c r="AB2911">
        <v>30</v>
      </c>
      <c r="AC2911">
        <v>10.9452999999999</v>
      </c>
      <c r="AD2911">
        <v>-1.1128109596289999</v>
      </c>
      <c r="AE2911">
        <v>0.86915999999999305</v>
      </c>
      <c r="AF2911">
        <v>-1.9209782638439901</v>
      </c>
      <c r="AG2911">
        <v>-1.1128109596289999</v>
      </c>
      <c r="AH2911">
        <v>10.697000624762101</v>
      </c>
      <c r="AI2911">
        <v>95.846269211418999</v>
      </c>
      <c r="AJ2911">
        <v>100.180719516512</v>
      </c>
      <c r="AK2911">
        <v>10.9249406446073</v>
      </c>
      <c r="AL2911">
        <v>81.556062917263105</v>
      </c>
      <c r="AM2911">
        <v>97.676499230811103</v>
      </c>
      <c r="AN2911">
        <v>0.99999996038924399</v>
      </c>
    </row>
    <row r="2912" spans="1:40" x14ac:dyDescent="0.3">
      <c r="A2912" t="str">
        <f>"20200111150906789"</f>
        <v>20200111150906789</v>
      </c>
      <c r="B2912" t="str">
        <f>"1578726546776833"</f>
        <v>1578726546776833</v>
      </c>
      <c r="C2912" t="s">
        <v>40</v>
      </c>
      <c r="D2912">
        <v>5.1460670000000004</v>
      </c>
      <c r="E2912">
        <v>0.48128199999999999</v>
      </c>
      <c r="F2912" t="s">
        <v>43</v>
      </c>
      <c r="G2912">
        <v>-266.78879999999998</v>
      </c>
      <c r="H2912" s="1">
        <v>-2.909292E-6</v>
      </c>
      <c r="I2912">
        <v>-64.389529999999993</v>
      </c>
      <c r="J2912">
        <v>-277.73910000000001</v>
      </c>
      <c r="K2912">
        <v>1.112852</v>
      </c>
      <c r="L2912">
        <v>-65.278869999999998</v>
      </c>
      <c r="M2912">
        <v>0.99524579999999996</v>
      </c>
      <c r="N2912">
        <v>0</v>
      </c>
      <c r="O2912">
        <v>-9.6597219999999998E-2</v>
      </c>
      <c r="P2912">
        <v>0.9901896</v>
      </c>
      <c r="Q2912">
        <v>0.13518089999999999</v>
      </c>
      <c r="R2912">
        <v>3.5369949999999997E-2</v>
      </c>
      <c r="S2912">
        <v>3.063507</v>
      </c>
      <c r="T2912">
        <v>-0.30743209999999999</v>
      </c>
      <c r="U2912">
        <v>0.24237059999999999</v>
      </c>
      <c r="V2912">
        <v>-0.13184999999999999</v>
      </c>
      <c r="W2912">
        <v>0.14651989999999901</v>
      </c>
      <c r="X2912">
        <v>0.98038130000000001</v>
      </c>
      <c r="Y2912">
        <v>-0.17345429999999901</v>
      </c>
      <c r="Z2912">
        <v>1.8321250000000001E-2</v>
      </c>
      <c r="AA2912">
        <v>0.98467150000000003</v>
      </c>
      <c r="AB2912">
        <v>30</v>
      </c>
      <c r="AC2912">
        <v>10.9503</v>
      </c>
      <c r="AD2912">
        <v>-1.1128549092919999</v>
      </c>
      <c r="AE2912">
        <v>0.88933999999999003</v>
      </c>
      <c r="AF2912">
        <v>-1.92329676364725</v>
      </c>
      <c r="AG2912">
        <v>-1.1128549092919999</v>
      </c>
      <c r="AH2912">
        <v>10.7033471217719</v>
      </c>
      <c r="AI2912">
        <v>95.8429446378221</v>
      </c>
      <c r="AJ2912">
        <v>100.186832402696</v>
      </c>
      <c r="AK2912">
        <v>10.931566955351499</v>
      </c>
      <c r="AL2912">
        <v>81.574696836860696</v>
      </c>
      <c r="AM2912">
        <v>97.659662984555595</v>
      </c>
      <c r="AN2912">
        <v>0.99999999849284904</v>
      </c>
    </row>
    <row r="2913" spans="1:40" x14ac:dyDescent="0.3">
      <c r="A2913" t="str">
        <f>"20200111150906799"</f>
        <v>20200111150906799</v>
      </c>
      <c r="B2913" t="str">
        <f>"1578726546797330"</f>
        <v>1578726546797330</v>
      </c>
      <c r="C2913" t="s">
        <v>40</v>
      </c>
      <c r="D2913">
        <v>5.0954110000000004</v>
      </c>
      <c r="E2913">
        <v>0.48146610000000001</v>
      </c>
      <c r="F2913" t="s">
        <v>43</v>
      </c>
      <c r="G2913">
        <v>-266.5797</v>
      </c>
      <c r="H2913" s="1">
        <v>-2.8381119999999999E-6</v>
      </c>
      <c r="I2913">
        <v>-64.389469999999903</v>
      </c>
      <c r="J2913">
        <v>-277.59699999999998</v>
      </c>
      <c r="K2913">
        <v>1.1129009999999999</v>
      </c>
      <c r="L2913">
        <v>-65.291110000000003</v>
      </c>
      <c r="M2913">
        <v>0.99541239999999998</v>
      </c>
      <c r="N2913">
        <v>0</v>
      </c>
      <c r="O2913">
        <v>-9.4865690000000003E-2</v>
      </c>
      <c r="P2913">
        <v>0.99011760000000004</v>
      </c>
      <c r="Q2913">
        <v>0.13529289999999999</v>
      </c>
      <c r="R2913">
        <v>3.6927210000000002E-2</v>
      </c>
      <c r="S2913">
        <v>3.0627140000000002</v>
      </c>
      <c r="T2913">
        <v>-0.30542469999999999</v>
      </c>
      <c r="U2913">
        <v>0.24407960000000001</v>
      </c>
      <c r="V2913">
        <v>-0.13170279999999901</v>
      </c>
      <c r="W2913">
        <v>0.14661279999999999</v>
      </c>
      <c r="X2913">
        <v>0.98038720000000001</v>
      </c>
      <c r="Y2913">
        <v>-0.172338299999999</v>
      </c>
      <c r="Z2913">
        <v>1.7979419999999999E-2</v>
      </c>
      <c r="AA2913">
        <v>0.98487369999999996</v>
      </c>
      <c r="AB2913">
        <v>30</v>
      </c>
      <c r="AC2913">
        <v>11.017299999999899</v>
      </c>
      <c r="AD2913">
        <v>-1.112903838112</v>
      </c>
      <c r="AE2913">
        <v>0.90164000000001399</v>
      </c>
      <c r="AF2913">
        <v>-1.9233228716883599</v>
      </c>
      <c r="AG2913">
        <v>-1.112903838112</v>
      </c>
      <c r="AH2913">
        <v>10.7728702075445</v>
      </c>
      <c r="AI2913">
        <v>95.8069070045904</v>
      </c>
      <c r="AJ2913">
        <v>100.122589609277</v>
      </c>
      <c r="AK2913">
        <v>10.9996571914876</v>
      </c>
      <c r="AL2913">
        <v>81.569315973617506</v>
      </c>
      <c r="AM2913">
        <v>97.651167438703098</v>
      </c>
      <c r="AN2913">
        <v>1.0000000012877599</v>
      </c>
    </row>
    <row r="2914" spans="1:40" x14ac:dyDescent="0.3">
      <c r="A2914" t="str">
        <f>"20200111150906810"</f>
        <v>20200111150906810</v>
      </c>
      <c r="B2914" t="str">
        <f>"1578726546807089"</f>
        <v>1578726546807089</v>
      </c>
      <c r="C2914" t="s">
        <v>40</v>
      </c>
      <c r="D2914">
        <v>5.067704</v>
      </c>
      <c r="E2914">
        <v>0.48171120000000001</v>
      </c>
      <c r="F2914" t="s">
        <v>43</v>
      </c>
      <c r="G2914">
        <v>-266.2133</v>
      </c>
      <c r="H2914" s="1">
        <v>-2.7097399999999999E-6</v>
      </c>
      <c r="I2914">
        <v>-64.368639999999999</v>
      </c>
      <c r="J2914">
        <v>-277.45049999999998</v>
      </c>
      <c r="K2914">
        <v>1.1129599999999999</v>
      </c>
      <c r="L2914">
        <v>-65.303129999999996</v>
      </c>
      <c r="M2914">
        <v>0.99558829999999998</v>
      </c>
      <c r="N2914">
        <v>0</v>
      </c>
      <c r="O2914">
        <v>-9.2999760000000001E-2</v>
      </c>
      <c r="P2914">
        <v>0.99009899999999995</v>
      </c>
      <c r="Q2914">
        <v>0.1349255</v>
      </c>
      <c r="R2914">
        <v>3.8721869999999999E-2</v>
      </c>
      <c r="S2914">
        <v>3.0615839999999999</v>
      </c>
      <c r="T2914">
        <v>-0.29931149999999901</v>
      </c>
      <c r="U2914">
        <v>0.2480774</v>
      </c>
      <c r="V2914">
        <v>-0.13166420000000001</v>
      </c>
      <c r="W2914">
        <v>0.14622460000000001</v>
      </c>
      <c r="X2914">
        <v>0.9804503</v>
      </c>
      <c r="Y2914">
        <v>-0.1718615</v>
      </c>
      <c r="Z2914">
        <v>1.742229E-2</v>
      </c>
      <c r="AA2914">
        <v>0.98496709999999998</v>
      </c>
      <c r="AB2914">
        <v>30</v>
      </c>
      <c r="AC2914">
        <v>11.2371999999999</v>
      </c>
      <c r="AD2914">
        <v>-1.1129627097399999</v>
      </c>
      <c r="AE2914">
        <v>0.93449000000001003</v>
      </c>
      <c r="AF2914">
        <v>-1.9565167559552901</v>
      </c>
      <c r="AG2914">
        <v>-1.1129627097399999</v>
      </c>
      <c r="AH2914">
        <v>10.994468753161399</v>
      </c>
      <c r="AI2914">
        <v>95.6915070080519</v>
      </c>
      <c r="AJ2914">
        <v>100.090420827893</v>
      </c>
      <c r="AK2914">
        <v>11.222521417838699</v>
      </c>
      <c r="AL2914">
        <v>81.591800024124097</v>
      </c>
      <c r="AM2914">
        <v>97.648465110141998</v>
      </c>
      <c r="AN2914">
        <v>0.99999994298844297</v>
      </c>
    </row>
    <row r="2915" spans="1:40" x14ac:dyDescent="0.3">
      <c r="A2915" t="str">
        <f>"20200111150906822"</f>
        <v>20200111150906822</v>
      </c>
      <c r="B2915" t="str">
        <f>"1578726546816379"</f>
        <v>1578726546816379</v>
      </c>
      <c r="C2915" t="s">
        <v>40</v>
      </c>
      <c r="D2915">
        <v>5.5770670000000004</v>
      </c>
      <c r="E2915">
        <v>0.48171120000000001</v>
      </c>
      <c r="F2915" t="s">
        <v>43</v>
      </c>
      <c r="G2915">
        <v>-266.26029999999997</v>
      </c>
      <c r="H2915" s="1">
        <v>-2.7280399999999998E-6</v>
      </c>
      <c r="I2915">
        <v>-64.381630000000001</v>
      </c>
      <c r="J2915">
        <v>-277.29759999999999</v>
      </c>
      <c r="K2915">
        <v>1.113024</v>
      </c>
      <c r="L2915">
        <v>-65.315550000000002</v>
      </c>
      <c r="M2915">
        <v>0.9957703</v>
      </c>
      <c r="N2915">
        <v>0</v>
      </c>
      <c r="O2915">
        <v>-9.1030340000000001E-2</v>
      </c>
      <c r="P2915">
        <v>0.99001689999999998</v>
      </c>
      <c r="Q2915">
        <v>0.13501489999999999</v>
      </c>
      <c r="R2915">
        <v>4.0460320000000001E-2</v>
      </c>
      <c r="S2915">
        <v>3.0616150000000002</v>
      </c>
      <c r="T2915">
        <v>-0.30450559999999899</v>
      </c>
      <c r="U2915">
        <v>0.25210569999999999</v>
      </c>
      <c r="V2915">
        <v>-0.1314679</v>
      </c>
      <c r="W2915">
        <v>0.14629249999999999</v>
      </c>
      <c r="X2915">
        <v>0.98046650000000002</v>
      </c>
      <c r="Y2915">
        <v>-0.1711693</v>
      </c>
      <c r="Z2915">
        <v>1.7493089999999999E-2</v>
      </c>
      <c r="AA2915">
        <v>0.98508629999999997</v>
      </c>
      <c r="AB2915">
        <v>30</v>
      </c>
      <c r="AC2915">
        <v>11.0373</v>
      </c>
      <c r="AD2915">
        <v>-1.1130267280399999</v>
      </c>
      <c r="AE2915">
        <v>0.93391999999999997</v>
      </c>
      <c r="AF2915">
        <v>-1.9155082585841701</v>
      </c>
      <c r="AG2915">
        <v>-1.1130267280399999</v>
      </c>
      <c r="AH2915">
        <v>10.7974253874941</v>
      </c>
      <c r="AI2915">
        <v>95.7955481661009</v>
      </c>
      <c r="AJ2915">
        <v>100.05984616008701</v>
      </c>
      <c r="AK2915">
        <v>11.022358884764101</v>
      </c>
      <c r="AL2915">
        <v>81.587867248091896</v>
      </c>
      <c r="AM2915">
        <v>97.637071897494295</v>
      </c>
      <c r="AN2915">
        <v>0.99999993095445205</v>
      </c>
    </row>
    <row r="2916" spans="1:40" x14ac:dyDescent="0.3">
      <c r="A2916" t="str">
        <f>"20200111150906833"</f>
        <v>20200111150906833</v>
      </c>
      <c r="B2916" t="str">
        <f>"1578726546827115"</f>
        <v>1578726546827115</v>
      </c>
      <c r="C2916" t="s">
        <v>40</v>
      </c>
      <c r="D2916">
        <v>5.3666799999999997</v>
      </c>
      <c r="E2916">
        <v>0.48168569999999999</v>
      </c>
      <c r="F2916" t="s">
        <v>43</v>
      </c>
      <c r="G2916">
        <v>-266.09530000000001</v>
      </c>
      <c r="H2916" s="1">
        <v>-2.6700280000000002E-6</v>
      </c>
      <c r="I2916">
        <v>-64.371160000000003</v>
      </c>
      <c r="J2916">
        <v>-277.14049999999997</v>
      </c>
      <c r="K2916">
        <v>1.113094</v>
      </c>
      <c r="L2916">
        <v>-65.327819999999903</v>
      </c>
      <c r="M2916">
        <v>0.99595979999999995</v>
      </c>
      <c r="N2916">
        <v>0</v>
      </c>
      <c r="O2916">
        <v>-8.8935130000000001E-2</v>
      </c>
      <c r="P2916">
        <v>0.98993070000000005</v>
      </c>
      <c r="Q2916">
        <v>0.13505210000000001</v>
      </c>
      <c r="R2916">
        <v>4.2406020000000003E-2</v>
      </c>
      <c r="S2916">
        <v>3.0612490000000001</v>
      </c>
      <c r="T2916">
        <v>-0.30415629999999999</v>
      </c>
      <c r="U2916">
        <v>0.25805660000000002</v>
      </c>
      <c r="V2916">
        <v>-0.13135629999999901</v>
      </c>
      <c r="W2916">
        <v>0.1463062</v>
      </c>
      <c r="X2916">
        <v>0.98047949999999995</v>
      </c>
      <c r="Y2916">
        <v>-0.17102210000000001</v>
      </c>
      <c r="Z2916">
        <v>1.725964E-2</v>
      </c>
      <c r="AA2916">
        <v>0.98511599999999999</v>
      </c>
      <c r="AB2916">
        <v>30</v>
      </c>
      <c r="AC2916">
        <v>11.0451999999999</v>
      </c>
      <c r="AD2916">
        <v>-1.1130966700280001</v>
      </c>
      <c r="AE2916">
        <v>0.95665999999998497</v>
      </c>
      <c r="AF2916">
        <v>-1.9159376250981499</v>
      </c>
      <c r="AG2916">
        <v>-1.1130966700280001</v>
      </c>
      <c r="AH2916">
        <v>10.8073968485</v>
      </c>
      <c r="AI2916">
        <v>95.790721198456495</v>
      </c>
      <c r="AJ2916">
        <v>100.052960709795</v>
      </c>
      <c r="AK2916">
        <v>11.0322086556166</v>
      </c>
      <c r="AL2916">
        <v>81.587074477289704</v>
      </c>
      <c r="AM2916">
        <v>97.630565404473998</v>
      </c>
      <c r="AN2916">
        <v>1.00000001581418</v>
      </c>
    </row>
    <row r="2917" spans="1:40" x14ac:dyDescent="0.3">
      <c r="A2917" t="str">
        <f>"20200111150906844"</f>
        <v>20200111150906844</v>
      </c>
      <c r="B2917" t="str">
        <f>"1578726546836876"</f>
        <v>1578726546836876</v>
      </c>
      <c r="C2917" t="s">
        <v>40</v>
      </c>
      <c r="D2917">
        <v>5.7092710000000002</v>
      </c>
      <c r="E2917">
        <v>0.48168569999999999</v>
      </c>
      <c r="F2917" t="s">
        <v>43</v>
      </c>
      <c r="G2917">
        <v>-265.90359999999998</v>
      </c>
      <c r="H2917" s="1">
        <v>-2.5946410000000002E-6</v>
      </c>
      <c r="I2917">
        <v>-64.355289999999997</v>
      </c>
      <c r="J2917">
        <v>-277.0025</v>
      </c>
      <c r="K2917">
        <v>1.113159</v>
      </c>
      <c r="L2917">
        <v>-65.338319999999996</v>
      </c>
      <c r="M2917">
        <v>0.99612560000000006</v>
      </c>
      <c r="N2917">
        <v>0</v>
      </c>
      <c r="O2917">
        <v>-8.7057999999999996E-2</v>
      </c>
      <c r="P2917">
        <v>0.98990909999999999</v>
      </c>
      <c r="Q2917">
        <v>0.1347679</v>
      </c>
      <c r="R2917">
        <v>4.3790719999999998E-2</v>
      </c>
      <c r="S2917">
        <v>3.0605159999999998</v>
      </c>
      <c r="T2917">
        <v>-0.30316589999999999</v>
      </c>
      <c r="U2917">
        <v>0.26486209999999999</v>
      </c>
      <c r="V2917">
        <v>-0.13090309999999999</v>
      </c>
      <c r="W2917">
        <v>0.14600569999999999</v>
      </c>
      <c r="X2917">
        <v>0.98058489999999998</v>
      </c>
      <c r="Y2917">
        <v>-0.17137549999999999</v>
      </c>
      <c r="Z2917">
        <v>1.7038859999999999E-2</v>
      </c>
      <c r="AA2917">
        <v>0.9850584</v>
      </c>
      <c r="AB2917">
        <v>30</v>
      </c>
      <c r="AC2917">
        <v>11.0989</v>
      </c>
      <c r="AD2917">
        <v>-1.1131615946410001</v>
      </c>
      <c r="AE2917">
        <v>0.98302999999999896</v>
      </c>
      <c r="AF2917">
        <v>-1.92639304057758</v>
      </c>
      <c r="AG2917">
        <v>-1.1131615946410001</v>
      </c>
      <c r="AH2917">
        <v>10.862748096059899</v>
      </c>
      <c r="AI2917">
        <v>95.761689101568706</v>
      </c>
      <c r="AJ2917">
        <v>100.05624749306401</v>
      </c>
      <c r="AK2917">
        <v>11.0882557276166</v>
      </c>
      <c r="AL2917">
        <v>81.604478755686799</v>
      </c>
      <c r="AM2917">
        <v>97.603739534588598</v>
      </c>
      <c r="AN2917">
        <v>1.00000001606505</v>
      </c>
    </row>
    <row r="2918" spans="1:40" x14ac:dyDescent="0.3">
      <c r="A2918" t="str">
        <f>"20200111150906855"</f>
        <v>20200111150906855</v>
      </c>
      <c r="B2918" t="str">
        <f>"1578726546846635"</f>
        <v>1578726546846635</v>
      </c>
      <c r="C2918" t="s">
        <v>40</v>
      </c>
      <c r="D2918">
        <v>5.1636009999999999</v>
      </c>
      <c r="E2918">
        <v>0.48168569999999999</v>
      </c>
      <c r="F2918" t="s">
        <v>43</v>
      </c>
      <c r="G2918">
        <v>-265.79419999999999</v>
      </c>
      <c r="H2918" s="1">
        <v>-2.546165E-6</v>
      </c>
      <c r="I2918">
        <v>-64.349559999999997</v>
      </c>
      <c r="J2918">
        <v>-276.8537</v>
      </c>
      <c r="K2918">
        <v>1.1132310000000001</v>
      </c>
      <c r="L2918">
        <v>-65.349369999999993</v>
      </c>
      <c r="M2918">
        <v>0.99630390000000002</v>
      </c>
      <c r="N2918">
        <v>0</v>
      </c>
      <c r="O2918">
        <v>-8.4993700000000005E-2</v>
      </c>
      <c r="P2918">
        <v>0.98981490000000005</v>
      </c>
      <c r="Q2918">
        <v>0.13501649999999901</v>
      </c>
      <c r="R2918">
        <v>4.513329E-2</v>
      </c>
      <c r="S2918">
        <v>3.060028</v>
      </c>
      <c r="T2918">
        <v>-0.30390859999999997</v>
      </c>
      <c r="U2918">
        <v>0.269928</v>
      </c>
      <c r="V2918">
        <v>-0.1302229</v>
      </c>
      <c r="W2918">
        <v>0.14623729999999999</v>
      </c>
      <c r="X2918">
        <v>0.98064090000000004</v>
      </c>
      <c r="Y2918">
        <v>-0.17097200000000001</v>
      </c>
      <c r="Z2918">
        <v>1.6858129999999999E-2</v>
      </c>
      <c r="AA2918">
        <v>0.9851316</v>
      </c>
      <c r="AB2918">
        <v>30</v>
      </c>
      <c r="AC2918">
        <v>11.0595</v>
      </c>
      <c r="AD2918">
        <v>-1.11323354616499</v>
      </c>
      <c r="AE2918">
        <v>0.99980999999999598</v>
      </c>
      <c r="AF2918">
        <v>-1.91698637520639</v>
      </c>
      <c r="AG2918">
        <v>-1.11323354616499</v>
      </c>
      <c r="AH2918">
        <v>10.8256923939361</v>
      </c>
      <c r="AI2918">
        <v>95.781907212578005</v>
      </c>
      <c r="AJ2918">
        <v>100.041698701218</v>
      </c>
      <c r="AK2918">
        <v>11.050327664787099</v>
      </c>
      <c r="AL2918">
        <v>81.591064631697805</v>
      </c>
      <c r="AM2918">
        <v>97.564260653682794</v>
      </c>
      <c r="AN2918">
        <v>0.99999996317425399</v>
      </c>
    </row>
    <row r="2919" spans="1:40" x14ac:dyDescent="0.3">
      <c r="A2919" t="str">
        <f>"20200111150906867"</f>
        <v>20200111150906867</v>
      </c>
      <c r="B2919" t="str">
        <f>"1578726546856396"</f>
        <v>1578726546856396</v>
      </c>
      <c r="C2919" t="s">
        <v>40</v>
      </c>
      <c r="D2919">
        <v>6.4846309999999896</v>
      </c>
      <c r="E2919">
        <v>0.50520039999999999</v>
      </c>
      <c r="F2919" t="s">
        <v>43</v>
      </c>
      <c r="G2919">
        <v>-265.61149999999998</v>
      </c>
      <c r="H2919" s="1">
        <v>-2.4650309999999999E-6</v>
      </c>
      <c r="I2919">
        <v>-64.339219999999997</v>
      </c>
      <c r="J2919">
        <v>-276.71129999999999</v>
      </c>
      <c r="K2919">
        <v>1.1133</v>
      </c>
      <c r="L2919">
        <v>-65.359499999999997</v>
      </c>
      <c r="M2919">
        <v>0.99647509999999995</v>
      </c>
      <c r="N2919">
        <v>0</v>
      </c>
      <c r="O2919">
        <v>-8.2962560000000005E-2</v>
      </c>
      <c r="P2919">
        <v>0.98974470000000003</v>
      </c>
      <c r="Q2919">
        <v>0.1351435</v>
      </c>
      <c r="R2919">
        <v>4.6280920000000003E-2</v>
      </c>
      <c r="S2919">
        <v>3.0596619999999999</v>
      </c>
      <c r="T2919">
        <v>-0.30297439999999998</v>
      </c>
      <c r="U2919">
        <v>0.27490229999999999</v>
      </c>
      <c r="V2919">
        <v>-0.12938369999999999</v>
      </c>
      <c r="W2919">
        <v>0.14635010000000001</v>
      </c>
      <c r="X2919">
        <v>0.98073520000000003</v>
      </c>
      <c r="Y2919">
        <v>-0.1705827</v>
      </c>
      <c r="Z2919">
        <v>1.6588209999999999E-2</v>
      </c>
      <c r="AA2919">
        <v>0.98520370000000002</v>
      </c>
      <c r="AB2919">
        <v>30</v>
      </c>
      <c r="AC2919">
        <v>11.0998</v>
      </c>
      <c r="AD2919">
        <v>-1.1133024650309999</v>
      </c>
      <c r="AE2919">
        <v>1.0202799999999901</v>
      </c>
      <c r="AF2919">
        <v>-1.91856227381428</v>
      </c>
      <c r="AG2919">
        <v>-1.1133024650309999</v>
      </c>
      <c r="AH2919">
        <v>10.868457612671801</v>
      </c>
      <c r="AI2919">
        <v>95.760205156050901</v>
      </c>
      <c r="AJ2919">
        <v>100.011043028134</v>
      </c>
      <c r="AK2919">
        <v>11.0925062296846</v>
      </c>
      <c r="AL2919">
        <v>81.584531800387097</v>
      </c>
      <c r="AM2919">
        <v>97.515358678736902</v>
      </c>
      <c r="AN2919">
        <v>1.0000000130573601</v>
      </c>
    </row>
    <row r="2920" spans="1:40" x14ac:dyDescent="0.3">
      <c r="A2920" t="str">
        <f>"20200111150906876"</f>
        <v>20200111150906876</v>
      </c>
      <c r="B2920" t="str">
        <f>"1578726546867132"</f>
        <v>1578726546867132</v>
      </c>
      <c r="C2920" t="s">
        <v>40</v>
      </c>
      <c r="D2920">
        <v>4.7431650000000003</v>
      </c>
      <c r="E2920">
        <v>0.4996157</v>
      </c>
      <c r="F2920" t="s">
        <v>41</v>
      </c>
      <c r="G2920">
        <v>-275.88189999999997</v>
      </c>
      <c r="H2920">
        <v>0.88272299999999904</v>
      </c>
      <c r="I2920">
        <v>-65.336939999999998</v>
      </c>
      <c r="J2920">
        <v>-276.57330000000002</v>
      </c>
      <c r="K2920">
        <v>1.113367</v>
      </c>
      <c r="L2920">
        <v>-65.369140000000002</v>
      </c>
      <c r="M2920">
        <v>0.99663930000000001</v>
      </c>
      <c r="N2920">
        <v>0</v>
      </c>
      <c r="O2920">
        <v>-8.0968139999999994E-2</v>
      </c>
      <c r="P2920">
        <v>0.98968420000000001</v>
      </c>
      <c r="Q2920">
        <v>0.1353183</v>
      </c>
      <c r="R2920">
        <v>4.7059650000000001E-2</v>
      </c>
      <c r="S2920">
        <v>3.1464840000000001</v>
      </c>
      <c r="T2920">
        <v>-0.87531099999999995</v>
      </c>
      <c r="U2920">
        <v>8.7127689999999994E-2</v>
      </c>
      <c r="V2920">
        <v>-0.1282132</v>
      </c>
      <c r="W2920">
        <v>0.1465147</v>
      </c>
      <c r="X2920">
        <v>0.98086430000000002</v>
      </c>
      <c r="Y2920">
        <v>-0.1016056</v>
      </c>
      <c r="Z2920">
        <v>3.5956699999999897E-2</v>
      </c>
      <c r="AA2920">
        <v>0.99417469999999997</v>
      </c>
      <c r="AB2920">
        <v>30</v>
      </c>
      <c r="AC2920">
        <v>0.69140000000004398</v>
      </c>
      <c r="AD2920">
        <v>-0.23064399999999999</v>
      </c>
      <c r="AE2920">
        <v>3.2200000000003101E-2</v>
      </c>
      <c r="AF2920">
        <v>-7.9276935864166301E-2</v>
      </c>
      <c r="AG2920">
        <v>-0.23064399999999999</v>
      </c>
      <c r="AH2920">
        <v>0.61790878536244198</v>
      </c>
      <c r="AI2920">
        <v>110.31610335215601</v>
      </c>
      <c r="AJ2920">
        <v>97.311037874059494</v>
      </c>
      <c r="AK2920">
        <v>0.66429869360409</v>
      </c>
      <c r="AL2920">
        <v>81.574997855579099</v>
      </c>
      <c r="AM2920">
        <v>97.447166700938595</v>
      </c>
      <c r="AN2920">
        <v>0.99999997849240896</v>
      </c>
    </row>
    <row r="2921" spans="1:40" x14ac:dyDescent="0.3">
      <c r="A2921" t="str">
        <f>"20200111150906888"</f>
        <v>20200111150906888</v>
      </c>
      <c r="B2921" t="str">
        <f>"1578726546876893"</f>
        <v>1578726546876893</v>
      </c>
      <c r="C2921" t="s">
        <v>40</v>
      </c>
      <c r="D2921">
        <v>5.6133739999999896</v>
      </c>
      <c r="E2921">
        <v>0.4971681</v>
      </c>
      <c r="F2921" t="s">
        <v>41</v>
      </c>
      <c r="G2921">
        <v>-275.8648</v>
      </c>
      <c r="H2921">
        <v>0.92429209999999995</v>
      </c>
      <c r="I2921">
        <v>-65.338909999999998</v>
      </c>
      <c r="J2921">
        <v>-276.42910000000001</v>
      </c>
      <c r="K2921">
        <v>1.1134440000000001</v>
      </c>
      <c r="L2921">
        <v>-65.378690000000006</v>
      </c>
      <c r="M2921">
        <v>0.99681200000000003</v>
      </c>
      <c r="N2921">
        <v>0</v>
      </c>
      <c r="O2921">
        <v>-7.8809329999999997E-2</v>
      </c>
      <c r="P2921">
        <v>0.98964070000000004</v>
      </c>
      <c r="Q2921">
        <v>0.13525609999999999</v>
      </c>
      <c r="R2921">
        <v>4.8137270000000003E-2</v>
      </c>
      <c r="S2921">
        <v>3.1394959999999998</v>
      </c>
      <c r="T2921">
        <v>-0.83846010000000004</v>
      </c>
      <c r="U2921">
        <v>0.13574220000000001</v>
      </c>
      <c r="V2921">
        <v>-0.1271813</v>
      </c>
      <c r="W2921">
        <v>0.1464406</v>
      </c>
      <c r="X2921">
        <v>0.98100969999999998</v>
      </c>
      <c r="Y2921">
        <v>-0.11502130000000001</v>
      </c>
      <c r="Z2921">
        <v>3.5757770000000001E-2</v>
      </c>
      <c r="AA2921">
        <v>0.99271920000000002</v>
      </c>
      <c r="AB2921">
        <v>30</v>
      </c>
      <c r="AC2921">
        <v>0.56430000000000202</v>
      </c>
      <c r="AD2921">
        <v>-0.18915190000000001</v>
      </c>
      <c r="AE2921">
        <v>3.97800000000074E-2</v>
      </c>
      <c r="AF2921">
        <v>-7.5671590360953805E-2</v>
      </c>
      <c r="AG2921">
        <v>-0.18915190000000001</v>
      </c>
      <c r="AH2921">
        <v>0.50315564920150102</v>
      </c>
      <c r="AI2921">
        <v>110.39264256082799</v>
      </c>
      <c r="AJ2921">
        <v>98.552842081342902</v>
      </c>
      <c r="AK2921">
        <v>0.54283536931997201</v>
      </c>
      <c r="AL2921">
        <v>81.579289794856095</v>
      </c>
      <c r="AM2921">
        <v>97.386811459086005</v>
      </c>
      <c r="AN2921">
        <v>0.99999998194606898</v>
      </c>
    </row>
    <row r="2922" spans="1:40" x14ac:dyDescent="0.3">
      <c r="A2922" t="str">
        <f>"20200111150906900"</f>
        <v>20200111150906900</v>
      </c>
      <c r="B2922" t="str">
        <f>"1578726546896413"</f>
        <v>1578726546896413</v>
      </c>
      <c r="C2922" t="s">
        <v>40</v>
      </c>
      <c r="D2922">
        <v>5.7972710000000003</v>
      </c>
      <c r="E2922">
        <v>0.48072619999999999</v>
      </c>
      <c r="F2922" t="s">
        <v>41</v>
      </c>
      <c r="G2922">
        <v>-275.60169999999999</v>
      </c>
      <c r="H2922">
        <v>0.91512700000000002</v>
      </c>
      <c r="I2922">
        <v>-65.336460000000002</v>
      </c>
      <c r="J2922">
        <v>-276.27809999999999</v>
      </c>
      <c r="K2922">
        <v>1.113523</v>
      </c>
      <c r="L2922">
        <v>-65.388549999999995</v>
      </c>
      <c r="M2922">
        <v>0.99699000000000004</v>
      </c>
      <c r="N2922">
        <v>0</v>
      </c>
      <c r="O2922">
        <v>-7.6527490000000004E-2</v>
      </c>
      <c r="P2922">
        <v>0.98958729999999995</v>
      </c>
      <c r="Q2922">
        <v>0.1351945</v>
      </c>
      <c r="R2922">
        <v>4.9391079999999997E-2</v>
      </c>
      <c r="S2922">
        <v>3.1260379999999999</v>
      </c>
      <c r="T2922">
        <v>-0.74940499999999999</v>
      </c>
      <c r="U2922">
        <v>0.1598511</v>
      </c>
      <c r="V2922">
        <v>-0.12620499999999901</v>
      </c>
      <c r="W2922">
        <v>0.14636559999999901</v>
      </c>
      <c r="X2922">
        <v>0.98114699999999999</v>
      </c>
      <c r="Y2922">
        <v>-0.12174649999999999</v>
      </c>
      <c r="Z2922">
        <v>3.2455280000000003E-2</v>
      </c>
      <c r="AA2922">
        <v>0.99203039999999998</v>
      </c>
      <c r="AB2922">
        <v>30</v>
      </c>
      <c r="AC2922">
        <v>0.676400000000001</v>
      </c>
      <c r="AD2922">
        <v>-0.19839599999999999</v>
      </c>
      <c r="AE2922">
        <v>5.2089999999992601E-2</v>
      </c>
      <c r="AF2922">
        <v>-9.5533922157997095E-2</v>
      </c>
      <c r="AG2922">
        <v>-0.19839599999999999</v>
      </c>
      <c r="AH2922">
        <v>0.61760881542125201</v>
      </c>
      <c r="AI2922">
        <v>107.61240593885501</v>
      </c>
      <c r="AJ2922">
        <v>98.793026098221205</v>
      </c>
      <c r="AK2922">
        <v>0.65568921905498201</v>
      </c>
      <c r="AL2922">
        <v>81.583634050187996</v>
      </c>
      <c r="AM2922">
        <v>97.329711485104895</v>
      </c>
      <c r="AN2922">
        <v>1.0000000132486799</v>
      </c>
    </row>
    <row r="2923" spans="1:40" x14ac:dyDescent="0.3">
      <c r="A2923" t="str">
        <f>"20200111150906911"</f>
        <v>20200111150906911</v>
      </c>
      <c r="B2923" t="str">
        <f>"1578726546907148"</f>
        <v>1578726546907148</v>
      </c>
      <c r="C2923" t="s">
        <v>40</v>
      </c>
      <c r="D2923">
        <v>4.743506</v>
      </c>
      <c r="E2923">
        <v>0.48254029999999998</v>
      </c>
      <c r="F2923" t="s">
        <v>106</v>
      </c>
      <c r="G2923">
        <v>-259.15390000000002</v>
      </c>
      <c r="H2923" s="1">
        <v>-3.5828510000000002E-6</v>
      </c>
      <c r="I2923">
        <v>-63.710239999999999</v>
      </c>
      <c r="J2923">
        <v>-276.12880000000001</v>
      </c>
      <c r="K2923">
        <v>1.113599</v>
      </c>
      <c r="L2923">
        <v>-65.39761</v>
      </c>
      <c r="M2923">
        <v>0.99716760000000004</v>
      </c>
      <c r="N2923">
        <v>0</v>
      </c>
      <c r="O2923">
        <v>-7.4174489999999996E-2</v>
      </c>
      <c r="P2923">
        <v>0.98945919999999998</v>
      </c>
      <c r="Q2923">
        <v>0.1355181</v>
      </c>
      <c r="R2923">
        <v>5.1039670000000002E-2</v>
      </c>
      <c r="S2923">
        <v>3.0437319999999999</v>
      </c>
      <c r="T2923">
        <v>-0.1979226</v>
      </c>
      <c r="U2923">
        <v>0.2983093</v>
      </c>
      <c r="V2923">
        <v>-0.1255513</v>
      </c>
      <c r="W2923">
        <v>0.14667269999999999</v>
      </c>
      <c r="X2923">
        <v>0.98118499999999997</v>
      </c>
      <c r="Y2923">
        <v>-0.1705855</v>
      </c>
      <c r="Z2923">
        <v>1.033536E-2</v>
      </c>
      <c r="AA2923">
        <v>0.98528870000000002</v>
      </c>
      <c r="AB2923">
        <v>30</v>
      </c>
      <c r="AC2923">
        <v>16.974899999999899</v>
      </c>
      <c r="AD2923">
        <v>-1.1136025828509999</v>
      </c>
      <c r="AE2923">
        <v>1.68737</v>
      </c>
      <c r="AF2923">
        <v>-2.9294389520718802</v>
      </c>
      <c r="AG2923">
        <v>-1.1136025828509999</v>
      </c>
      <c r="AH2923">
        <v>16.731657975107101</v>
      </c>
      <c r="AI2923">
        <v>93.750907315242401</v>
      </c>
      <c r="AJ2923">
        <v>99.9308931675601</v>
      </c>
      <c r="AK2923">
        <v>17.022634986464801</v>
      </c>
      <c r="AL2923">
        <v>81.565846498076894</v>
      </c>
      <c r="AM2923">
        <v>97.291876337960105</v>
      </c>
      <c r="AN2923">
        <v>1.00000000704099</v>
      </c>
    </row>
    <row r="2924" spans="1:40" x14ac:dyDescent="0.3">
      <c r="A2924" t="str">
        <f>"20200111150906922"</f>
        <v>20200111150906922</v>
      </c>
      <c r="B2924" t="str">
        <f>"1578726546916910"</f>
        <v>1578726546916910</v>
      </c>
      <c r="C2924" t="s">
        <v>40</v>
      </c>
      <c r="D2924">
        <v>4.7151680000000002</v>
      </c>
      <c r="E2924">
        <v>0.48737710000000001</v>
      </c>
      <c r="F2924" t="s">
        <v>106</v>
      </c>
      <c r="G2924">
        <v>-251.7433</v>
      </c>
      <c r="H2924" s="1">
        <v>-4.8208550000000003E-7</v>
      </c>
      <c r="I2924">
        <v>-63.073140000000002</v>
      </c>
      <c r="J2924">
        <v>-275.98099999999999</v>
      </c>
      <c r="K2924">
        <v>1.113677</v>
      </c>
      <c r="L2924">
        <v>-65.406400000000005</v>
      </c>
      <c r="M2924">
        <v>0.99734009999999995</v>
      </c>
      <c r="N2924">
        <v>0</v>
      </c>
      <c r="O2924">
        <v>-7.1819949999999994E-2</v>
      </c>
      <c r="P2924">
        <v>0.98935459999999997</v>
      </c>
      <c r="Q2924">
        <v>0.13559009999999999</v>
      </c>
      <c r="R2924">
        <v>5.2848190000000003E-2</v>
      </c>
      <c r="S2924">
        <v>3.0360109999999998</v>
      </c>
      <c r="T2924">
        <v>-0.13864370000000001</v>
      </c>
      <c r="U2924">
        <v>0.28939819999999999</v>
      </c>
      <c r="V2924">
        <v>-0.1250561</v>
      </c>
      <c r="W2924">
        <v>0.146727</v>
      </c>
      <c r="X2924">
        <v>0.98124009999999995</v>
      </c>
      <c r="Y2924">
        <v>-0.1659022</v>
      </c>
      <c r="Z2924">
        <v>7.0491429999999999E-3</v>
      </c>
      <c r="AA2924">
        <v>0.98611700000000002</v>
      </c>
      <c r="AB2924">
        <v>30</v>
      </c>
      <c r="AC2924">
        <v>24.237699999999901</v>
      </c>
      <c r="AD2924">
        <v>-1.1136774820855</v>
      </c>
      <c r="AE2924">
        <v>2.3332600000000001</v>
      </c>
      <c r="AF2924">
        <v>-4.0596265633156596</v>
      </c>
      <c r="AG2924">
        <v>-1.1136774820855</v>
      </c>
      <c r="AH2924">
        <v>23.957396402294101</v>
      </c>
      <c r="AI2924">
        <v>92.624166094802803</v>
      </c>
      <c r="AJ2924">
        <v>99.617521336695802</v>
      </c>
      <c r="AK2924">
        <v>24.324425743362099</v>
      </c>
      <c r="AL2924">
        <v>81.562701141544593</v>
      </c>
      <c r="AM2924">
        <v>97.263019922507496</v>
      </c>
      <c r="AN2924">
        <v>0.99999998726210904</v>
      </c>
    </row>
    <row r="2925" spans="1:40" x14ac:dyDescent="0.3">
      <c r="A2925" t="str">
        <f>"20200111150906933"</f>
        <v>20200111150906933</v>
      </c>
      <c r="B2925" t="str">
        <f>"1578726546926667"</f>
        <v>1578726546926667</v>
      </c>
      <c r="C2925" t="s">
        <v>40</v>
      </c>
      <c r="D2925">
        <v>4.7676020000000001</v>
      </c>
      <c r="E2925">
        <v>0.48820980000000003</v>
      </c>
      <c r="F2925" t="s">
        <v>105</v>
      </c>
      <c r="G2925">
        <v>-245.67689999999999</v>
      </c>
      <c r="H2925" s="1">
        <v>-2.0764120000000001E-6</v>
      </c>
      <c r="I2925">
        <v>-62.841189999999997</v>
      </c>
      <c r="J2925">
        <v>-275.8252</v>
      </c>
      <c r="K2925">
        <v>1.1137619999999999</v>
      </c>
      <c r="L2925">
        <v>-65.415130000000005</v>
      </c>
      <c r="M2925">
        <v>0.99752059999999998</v>
      </c>
      <c r="N2925">
        <v>0</v>
      </c>
      <c r="O2925">
        <v>-6.9266339999999996E-2</v>
      </c>
      <c r="P2925">
        <v>0.98921919999999997</v>
      </c>
      <c r="Q2925">
        <v>0.13573879999999999</v>
      </c>
      <c r="R2925">
        <v>5.495796E-2</v>
      </c>
      <c r="S2925">
        <v>3.0338440000000002</v>
      </c>
      <c r="T2925">
        <v>-0.1114941</v>
      </c>
      <c r="U2925">
        <v>0.25680540000000002</v>
      </c>
      <c r="V2925">
        <v>-0.12466720000000001</v>
      </c>
      <c r="W2925">
        <v>0.14685670000000001</v>
      </c>
      <c r="X2925">
        <v>0.98127019999999998</v>
      </c>
      <c r="Y2925">
        <v>-0.1530183</v>
      </c>
      <c r="Z2925">
        <v>5.3464369999999999E-3</v>
      </c>
      <c r="AA2925">
        <v>0.98820889999999995</v>
      </c>
      <c r="AB2925">
        <v>30</v>
      </c>
      <c r="AC2925">
        <v>30.148299999999999</v>
      </c>
      <c r="AD2925">
        <v>-1.113764076412</v>
      </c>
      <c r="AE2925">
        <v>2.5739399999999999</v>
      </c>
      <c r="AF2925">
        <v>-4.6498809210271199</v>
      </c>
      <c r="AG2925">
        <v>-1.113764076412</v>
      </c>
      <c r="AH2925">
        <v>29.857124101925901</v>
      </c>
      <c r="AI2925">
        <v>92.110898841542607</v>
      </c>
      <c r="AJ2925">
        <v>98.852005856673898</v>
      </c>
      <c r="AK2925">
        <v>30.2375548388993</v>
      </c>
      <c r="AL2925">
        <v>81.555188633394806</v>
      </c>
      <c r="AM2925">
        <v>97.240453681186906</v>
      </c>
      <c r="AN2925">
        <v>1.0000000032493801</v>
      </c>
    </row>
    <row r="2926" spans="1:40" x14ac:dyDescent="0.3">
      <c r="A2926" t="str">
        <f>"20200111150906945"</f>
        <v>20200111150906945</v>
      </c>
      <c r="B2926" t="str">
        <f>"1578726546936427"</f>
        <v>1578726546936427</v>
      </c>
      <c r="C2926" t="s">
        <v>40</v>
      </c>
      <c r="D2926">
        <v>5.308954</v>
      </c>
      <c r="E2926">
        <v>0.48925770000000002</v>
      </c>
      <c r="F2926" t="s">
        <v>104</v>
      </c>
      <c r="G2926">
        <v>-232.48830000000001</v>
      </c>
      <c r="H2926" s="1">
        <v>-4.158007E-7</v>
      </c>
      <c r="I2926">
        <v>-61.741019999999899</v>
      </c>
      <c r="J2926">
        <v>-275.68650000000002</v>
      </c>
      <c r="K2926">
        <v>1.1138380000000001</v>
      </c>
      <c r="L2926">
        <v>-65.422519999999906</v>
      </c>
      <c r="M2926">
        <v>0.99767890000000004</v>
      </c>
      <c r="N2926">
        <v>0</v>
      </c>
      <c r="O2926">
        <v>-6.6947259999999995E-2</v>
      </c>
      <c r="P2926">
        <v>0.98910399999999998</v>
      </c>
      <c r="Q2926">
        <v>0.1358056</v>
      </c>
      <c r="R2926">
        <v>5.6836900000000003E-2</v>
      </c>
      <c r="S2926">
        <v>3.0291139999999999</v>
      </c>
      <c r="T2926">
        <v>-7.7848550000000002E-2</v>
      </c>
      <c r="U2926">
        <v>0.25680540000000002</v>
      </c>
      <c r="V2926">
        <v>-0.124277</v>
      </c>
      <c r="W2926">
        <v>0.14690710000000001</v>
      </c>
      <c r="X2926">
        <v>0.98131219999999997</v>
      </c>
      <c r="Y2926">
        <v>-0.15092809999999901</v>
      </c>
      <c r="Z2926">
        <v>3.65322E-3</v>
      </c>
      <c r="AA2926">
        <v>0.98853800000000003</v>
      </c>
      <c r="AB2926">
        <v>30</v>
      </c>
      <c r="AC2926">
        <v>43.1982</v>
      </c>
      <c r="AD2926">
        <v>-1.1138384158007</v>
      </c>
      <c r="AE2926">
        <v>3.6815000000000002</v>
      </c>
      <c r="AF2926">
        <v>-6.5611338261977696</v>
      </c>
      <c r="AG2926">
        <v>-1.1138384158007</v>
      </c>
      <c r="AH2926">
        <v>42.826517846065002</v>
      </c>
      <c r="AI2926">
        <v>91.472646918662605</v>
      </c>
      <c r="AJ2926">
        <v>98.710138342678405</v>
      </c>
      <c r="AK2926">
        <v>43.340509271593902</v>
      </c>
      <c r="AL2926">
        <v>81.552269671734194</v>
      </c>
      <c r="AM2926">
        <v>97.217725255614596</v>
      </c>
      <c r="AN2926">
        <v>1.0000000513141201</v>
      </c>
    </row>
    <row r="2927" spans="1:40" x14ac:dyDescent="0.3">
      <c r="A2927" t="str">
        <f>"20200111150906954"</f>
        <v>20200111150906954</v>
      </c>
      <c r="B2927" t="str">
        <f>"1578726546947163"</f>
        <v>1578726546947163</v>
      </c>
      <c r="C2927" t="s">
        <v>40</v>
      </c>
      <c r="D2927">
        <v>6.9145839999999996</v>
      </c>
      <c r="E2927">
        <v>0.48925770000000002</v>
      </c>
      <c r="F2927" t="s">
        <v>89</v>
      </c>
      <c r="G2927">
        <v>-179.95769999999999</v>
      </c>
      <c r="H2927">
        <v>2.275858E-2</v>
      </c>
      <c r="I2927">
        <v>-57.362250000000003</v>
      </c>
      <c r="J2927">
        <v>-275.54329999999999</v>
      </c>
      <c r="K2927">
        <v>1.1139139999999901</v>
      </c>
      <c r="L2927">
        <v>-65.429869999999994</v>
      </c>
      <c r="M2927">
        <v>0.99783949999999999</v>
      </c>
      <c r="N2927">
        <v>0</v>
      </c>
      <c r="O2927">
        <v>-6.4509449999999996E-2</v>
      </c>
      <c r="P2927">
        <v>0.98899590000000004</v>
      </c>
      <c r="Q2927">
        <v>0.135663899999999</v>
      </c>
      <c r="R2927">
        <v>5.9015829999999998E-2</v>
      </c>
      <c r="S2927">
        <v>3.0231629999999998</v>
      </c>
      <c r="T2927">
        <v>-3.4456849999999997E-2</v>
      </c>
      <c r="U2927">
        <v>0.25454710000000003</v>
      </c>
      <c r="V2927">
        <v>-0.1240694</v>
      </c>
      <c r="W2927">
        <v>0.14674719999999999</v>
      </c>
      <c r="X2927">
        <v>0.98136230000000002</v>
      </c>
      <c r="Y2927">
        <v>-0.14800050000000001</v>
      </c>
      <c r="Z2927">
        <v>1.5760139999999999E-3</v>
      </c>
      <c r="AA2927">
        <v>0.98898600000000003</v>
      </c>
      <c r="AB2927">
        <v>30</v>
      </c>
      <c r="AC2927">
        <v>95.585599999999999</v>
      </c>
      <c r="AD2927">
        <v>-1.09115541999999</v>
      </c>
      <c r="AE2927">
        <v>8.0676199999999891</v>
      </c>
      <c r="AF2927">
        <v>-14.215625933930699</v>
      </c>
      <c r="AG2927">
        <v>-1.09115541999999</v>
      </c>
      <c r="AH2927">
        <v>94.853722230169296</v>
      </c>
      <c r="AI2927">
        <v>90.651797697769794</v>
      </c>
      <c r="AJ2927">
        <v>98.523421007698701</v>
      </c>
      <c r="AK2927">
        <v>95.919253863664693</v>
      </c>
      <c r="AL2927">
        <v>81.561530872478997</v>
      </c>
      <c r="AM2927">
        <v>97.205431157526505</v>
      </c>
      <c r="AN2927">
        <v>0.99999996029274396</v>
      </c>
    </row>
    <row r="2928" spans="1:40" x14ac:dyDescent="0.3">
      <c r="A2928" t="str">
        <f>"20200111150906967"</f>
        <v>20200111150906967</v>
      </c>
      <c r="B2928" t="str">
        <f>"1578726546956924"</f>
        <v>1578726546956924</v>
      </c>
      <c r="C2928" t="s">
        <v>40</v>
      </c>
      <c r="D2928">
        <v>4.7443660000000003</v>
      </c>
      <c r="E2928">
        <v>0.48905969999999999</v>
      </c>
      <c r="F2928" t="s">
        <v>89</v>
      </c>
      <c r="G2928">
        <v>-179.95769999999999</v>
      </c>
      <c r="H2928">
        <v>1.087041E-2</v>
      </c>
      <c r="I2928">
        <v>-57.166849999999997</v>
      </c>
      <c r="J2928">
        <v>-275.39420000000001</v>
      </c>
      <c r="K2928">
        <v>1.1139969999999999</v>
      </c>
      <c r="L2928">
        <v>-65.436920000000001</v>
      </c>
      <c r="M2928">
        <v>0.99800480000000003</v>
      </c>
      <c r="N2928">
        <v>0</v>
      </c>
      <c r="O2928">
        <v>-6.1899509999999998E-2</v>
      </c>
      <c r="P2928">
        <v>0.98890919999999904</v>
      </c>
      <c r="Q2928">
        <v>0.13537579999999999</v>
      </c>
      <c r="R2928">
        <v>6.1092309999999997E-2</v>
      </c>
      <c r="S2928">
        <v>3.022583</v>
      </c>
      <c r="T2928">
        <v>-3.488016E-2</v>
      </c>
      <c r="U2928">
        <v>0.26129150000000001</v>
      </c>
      <c r="V2928">
        <v>-0.12359249999999999</v>
      </c>
      <c r="W2928">
        <v>0.14644389999999999</v>
      </c>
      <c r="X2928">
        <v>0.9814678</v>
      </c>
      <c r="Y2928">
        <v>-0.14762049999999999</v>
      </c>
      <c r="Z2928">
        <v>1.5632930000000001E-3</v>
      </c>
      <c r="AA2928">
        <v>0.98904289999999995</v>
      </c>
      <c r="AB2928">
        <v>30</v>
      </c>
      <c r="AC2928">
        <v>95.436499999999995</v>
      </c>
      <c r="AD2928">
        <v>-1.10312658999999</v>
      </c>
      <c r="AE2928">
        <v>8.2700700000000005</v>
      </c>
      <c r="AF2928">
        <v>-14.160261052188</v>
      </c>
      <c r="AG2928">
        <v>-1.10312658999999</v>
      </c>
      <c r="AH2928">
        <v>94.7289464971862</v>
      </c>
      <c r="AI2928">
        <v>90.659853270866705</v>
      </c>
      <c r="AJ2928">
        <v>98.501730578680807</v>
      </c>
      <c r="AK2928">
        <v>95.787802907293099</v>
      </c>
      <c r="AL2928">
        <v>81.579098660078699</v>
      </c>
      <c r="AM2928">
        <v>97.177260706978402</v>
      </c>
      <c r="AN2928">
        <v>0.99999998217014896</v>
      </c>
    </row>
    <row r="2929" spans="1:40" x14ac:dyDescent="0.3">
      <c r="A2929" t="str">
        <f>"20200111150906977"</f>
        <v>20200111150906977</v>
      </c>
      <c r="B2929" t="str">
        <f>"1578726546966683"</f>
        <v>1578726546966683</v>
      </c>
      <c r="C2929" t="s">
        <v>40</v>
      </c>
      <c r="D2929">
        <v>8.2798850000000002</v>
      </c>
      <c r="E2929">
        <v>0.48905969999999999</v>
      </c>
      <c r="F2929" t="s">
        <v>70</v>
      </c>
      <c r="G2929">
        <v>-157.3501</v>
      </c>
      <c r="H2929">
        <v>1.0820449999999999</v>
      </c>
      <c r="I2929">
        <v>-54.89743</v>
      </c>
      <c r="J2929">
        <v>-275.25599999999997</v>
      </c>
      <c r="K2929">
        <v>1.114079</v>
      </c>
      <c r="L2929">
        <v>-65.443240000000003</v>
      </c>
      <c r="M2929">
        <v>0.99815379999999998</v>
      </c>
      <c r="N2929">
        <v>0</v>
      </c>
      <c r="O2929">
        <v>-5.9446829999999999E-2</v>
      </c>
      <c r="P2929">
        <v>0.98886689999999999</v>
      </c>
      <c r="Q2929">
        <v>0.13486129999999999</v>
      </c>
      <c r="R2929">
        <v>6.288908E-2</v>
      </c>
      <c r="S2929">
        <v>3.01709</v>
      </c>
      <c r="T2929">
        <v>-8.1717970000000004E-4</v>
      </c>
      <c r="U2929">
        <v>0.26937870000000003</v>
      </c>
      <c r="V2929">
        <v>-0.1229905</v>
      </c>
      <c r="W2929">
        <v>0.14591699999999999</v>
      </c>
      <c r="X2929">
        <v>0.98162190000000005</v>
      </c>
      <c r="Y2929">
        <v>-0.14798910000000001</v>
      </c>
      <c r="Z2929" s="1">
        <v>3.6075670000000002E-5</v>
      </c>
      <c r="AA2929">
        <v>0.98898900000000001</v>
      </c>
      <c r="AB2929">
        <v>30</v>
      </c>
      <c r="AC2929">
        <v>117.90589999999899</v>
      </c>
      <c r="AD2929">
        <v>-3.2033999999999799E-2</v>
      </c>
      <c r="AE2929">
        <v>10.5458099999999</v>
      </c>
      <c r="AF2929">
        <v>-17.5368307701102</v>
      </c>
      <c r="AG2929">
        <v>-3.2033999999999799E-2</v>
      </c>
      <c r="AH2929">
        <v>117.070375747037</v>
      </c>
      <c r="AI2929">
        <v>90.015504866305406</v>
      </c>
      <c r="AJ2929">
        <v>98.5194091684928</v>
      </c>
      <c r="AK2929">
        <v>118.37657849925</v>
      </c>
      <c r="AL2929">
        <v>81.609615724457598</v>
      </c>
      <c r="AM2929">
        <v>97.141553607876503</v>
      </c>
      <c r="AN2929">
        <v>0.99999999426942998</v>
      </c>
    </row>
    <row r="2930" spans="1:40" x14ac:dyDescent="0.3">
      <c r="A2930" t="str">
        <f>"20200111150906989"</f>
        <v>20200111150906989</v>
      </c>
      <c r="B2930" t="str">
        <f>"1578726546987179"</f>
        <v>1578726546987179</v>
      </c>
      <c r="C2930" t="s">
        <v>40</v>
      </c>
      <c r="D2930">
        <v>5.1852210000000003</v>
      </c>
      <c r="E2930">
        <v>0.44012820000000002</v>
      </c>
      <c r="F2930" t="s">
        <v>70</v>
      </c>
      <c r="G2930">
        <v>-157.3501</v>
      </c>
      <c r="H2930">
        <v>1.022994</v>
      </c>
      <c r="I2930">
        <v>-54.690249999999999</v>
      </c>
      <c r="J2930">
        <v>-275.11040000000003</v>
      </c>
      <c r="K2930">
        <v>1.114171</v>
      </c>
      <c r="L2930">
        <v>-65.449280000000002</v>
      </c>
      <c r="M2930">
        <v>0.99830929999999996</v>
      </c>
      <c r="N2930">
        <v>0</v>
      </c>
      <c r="O2930">
        <v>-5.6773490000000003E-2</v>
      </c>
      <c r="P2930">
        <v>0.9887357</v>
      </c>
      <c r="Q2930">
        <v>0.13503670000000001</v>
      </c>
      <c r="R2930">
        <v>6.4550410000000003E-2</v>
      </c>
      <c r="S2930">
        <v>3.016632</v>
      </c>
      <c r="T2930">
        <v>-2.330899E-3</v>
      </c>
      <c r="U2930">
        <v>0.27511600000000003</v>
      </c>
      <c r="V2930">
        <v>-0.122041</v>
      </c>
      <c r="W2930">
        <v>0.14608209999999999</v>
      </c>
      <c r="X2930">
        <v>0.98171589999999997</v>
      </c>
      <c r="Y2930">
        <v>-0.1472195</v>
      </c>
      <c r="Z2930">
        <v>1.005503E-4</v>
      </c>
      <c r="AA2930">
        <v>0.98910390000000004</v>
      </c>
      <c r="AB2930">
        <v>30</v>
      </c>
      <c r="AC2930">
        <v>117.7603</v>
      </c>
      <c r="AD2930">
        <v>-9.1176999999999994E-2</v>
      </c>
      <c r="AE2930">
        <v>10.759029999999999</v>
      </c>
      <c r="AF2930">
        <v>-17.427845994676598</v>
      </c>
      <c r="AG2930">
        <v>-9.1176999999999994E-2</v>
      </c>
      <c r="AH2930">
        <v>116.959388422396</v>
      </c>
      <c r="AI2930">
        <v>90.044177803567393</v>
      </c>
      <c r="AJ2930">
        <v>98.475152347518403</v>
      </c>
      <c r="AK2930">
        <v>118.250736443374</v>
      </c>
      <c r="AL2930">
        <v>81.600054177005703</v>
      </c>
      <c r="AM2930">
        <v>97.086311126315195</v>
      </c>
      <c r="AN2930">
        <v>1.0000000469671</v>
      </c>
    </row>
    <row r="2931" spans="1:40" x14ac:dyDescent="0.3">
      <c r="A2931" t="str">
        <f>"20200111150907000"</f>
        <v>20200111150907000</v>
      </c>
      <c r="B2931" t="str">
        <f>"1578726546996939"</f>
        <v>1578726546996939</v>
      </c>
      <c r="C2931" t="s">
        <v>40</v>
      </c>
      <c r="D2931">
        <v>5.1635749999999998</v>
      </c>
      <c r="E2931">
        <v>0.49992609999999899</v>
      </c>
      <c r="F2931" t="s">
        <v>70</v>
      </c>
      <c r="G2931">
        <v>-157.3501</v>
      </c>
      <c r="H2931">
        <v>25.887049999999999</v>
      </c>
      <c r="I2931">
        <v>-38.300620000000002</v>
      </c>
      <c r="J2931">
        <v>-274.95319999999998</v>
      </c>
      <c r="K2931">
        <v>1.1142700000000001</v>
      </c>
      <c r="L2931">
        <v>-65.455539999999999</v>
      </c>
      <c r="M2931">
        <v>0.998471</v>
      </c>
      <c r="N2931">
        <v>0</v>
      </c>
      <c r="O2931">
        <v>-5.3853159999999997E-2</v>
      </c>
      <c r="P2931">
        <v>0.98860680000000001</v>
      </c>
      <c r="Q2931">
        <v>0.13513220000000001</v>
      </c>
      <c r="R2931">
        <v>6.6300100000000001E-2</v>
      </c>
      <c r="S2931">
        <v>2.9069210000000001</v>
      </c>
      <c r="T2931">
        <v>0.61151949999999999</v>
      </c>
      <c r="U2931">
        <v>0.67016600000000004</v>
      </c>
      <c r="V2931">
        <v>-0.1209398</v>
      </c>
      <c r="W2931">
        <v>0.14616750000000001</v>
      </c>
      <c r="X2931">
        <v>0.98183940000000003</v>
      </c>
      <c r="Y2931">
        <v>-0.2700478</v>
      </c>
      <c r="Z2931">
        <v>-3.8823959999999998E-2</v>
      </c>
      <c r="AA2931">
        <v>0.96206389999999997</v>
      </c>
      <c r="AB2931">
        <v>30</v>
      </c>
      <c r="AC2931">
        <v>117.603099999999</v>
      </c>
      <c r="AD2931">
        <v>24.772780000000001</v>
      </c>
      <c r="AE2931">
        <v>27.154920000000001</v>
      </c>
      <c r="AF2931">
        <v>-32.097165104360101</v>
      </c>
      <c r="AG2931">
        <v>24.772780000000001</v>
      </c>
      <c r="AH2931">
        <v>111.28202516407001</v>
      </c>
      <c r="AI2931">
        <v>77.926747845555695</v>
      </c>
      <c r="AJ2931">
        <v>106.089191183943</v>
      </c>
      <c r="AK2931">
        <v>118.43820228828901</v>
      </c>
      <c r="AL2931">
        <v>81.595107547079706</v>
      </c>
      <c r="AM2931">
        <v>97.022136776431395</v>
      </c>
      <c r="AN2931">
        <v>0.99999999033632403</v>
      </c>
    </row>
    <row r="2932" spans="1:40" x14ac:dyDescent="0.3">
      <c r="A2932" t="str">
        <f>"20200111150907011"</f>
        <v>20200111150907011</v>
      </c>
      <c r="B2932" t="str">
        <f>"1578726547006702"</f>
        <v>1578726547006702</v>
      </c>
      <c r="C2932" t="s">
        <v>40</v>
      </c>
      <c r="D2932">
        <v>5.240259</v>
      </c>
      <c r="E2932">
        <v>0.499886</v>
      </c>
      <c r="F2932" t="s">
        <v>106</v>
      </c>
      <c r="G2932">
        <v>-258.42910000000001</v>
      </c>
      <c r="H2932" s="1">
        <v>-3.4244409999999998E-6</v>
      </c>
      <c r="I2932">
        <v>-64.370329999999996</v>
      </c>
      <c r="J2932">
        <v>-274.81130000000002</v>
      </c>
      <c r="K2932">
        <v>1.1143670000000001</v>
      </c>
      <c r="L2932">
        <v>-65.460449999999994</v>
      </c>
      <c r="M2932">
        <v>0.99861460000000002</v>
      </c>
      <c r="N2932">
        <v>0</v>
      </c>
      <c r="O2932">
        <v>-5.1118219999999999E-2</v>
      </c>
      <c r="P2932">
        <v>0.98845930000000004</v>
      </c>
      <c r="Q2932">
        <v>0.13553599999999999</v>
      </c>
      <c r="R2932">
        <v>6.7660590000000007E-2</v>
      </c>
      <c r="S2932">
        <v>3.049255</v>
      </c>
      <c r="T2932">
        <v>-0.20562059999999999</v>
      </c>
      <c r="U2932">
        <v>0.2002563</v>
      </c>
      <c r="V2932">
        <v>-0.1196343</v>
      </c>
      <c r="W2932">
        <v>0.14656559999999999</v>
      </c>
      <c r="X2932">
        <v>0.98194000000000004</v>
      </c>
      <c r="Y2932">
        <v>-0.116081</v>
      </c>
      <c r="Z2932">
        <v>7.3452550000000002E-3</v>
      </c>
      <c r="AA2932">
        <v>0.9932126</v>
      </c>
      <c r="AB2932">
        <v>30</v>
      </c>
      <c r="AC2932">
        <v>16.382200000000001</v>
      </c>
      <c r="AD2932">
        <v>-1.114370424441</v>
      </c>
      <c r="AE2932">
        <v>1.09011999999998</v>
      </c>
      <c r="AF2932">
        <v>-1.9173559102175299</v>
      </c>
      <c r="AG2932">
        <v>-1.114370424441</v>
      </c>
      <c r="AH2932">
        <v>16.2302803241876</v>
      </c>
      <c r="AI2932">
        <v>93.900721841959495</v>
      </c>
      <c r="AJ2932">
        <v>96.737381805725406</v>
      </c>
      <c r="AK2932">
        <v>16.381088929952899</v>
      </c>
      <c r="AL2932">
        <v>81.572049875329398</v>
      </c>
      <c r="AM2932">
        <v>96.946375376587099</v>
      </c>
      <c r="AN2932">
        <v>1.00000000221992</v>
      </c>
    </row>
    <row r="2933" spans="1:40" x14ac:dyDescent="0.3">
      <c r="A2933" t="str">
        <f>"20200111150907022"</f>
        <v>20200111150907022</v>
      </c>
      <c r="B2933" t="str">
        <f>"1578726547017042"</f>
        <v>1578726547017042</v>
      </c>
      <c r="C2933" t="s">
        <v>40</v>
      </c>
      <c r="D2933">
        <v>6.5348739999999896</v>
      </c>
      <c r="E2933">
        <v>0.499886</v>
      </c>
      <c r="F2933" t="s">
        <v>106</v>
      </c>
      <c r="G2933">
        <v>-259.71969999999999</v>
      </c>
      <c r="H2933" s="1">
        <v>-3.8739350000000002E-6</v>
      </c>
      <c r="I2933">
        <v>-64.447269999999904</v>
      </c>
      <c r="J2933">
        <v>-274.66059999999999</v>
      </c>
      <c r="K2933">
        <v>1.1144719999999999</v>
      </c>
      <c r="L2933">
        <v>-65.465419999999995</v>
      </c>
      <c r="M2933">
        <v>0.9987606</v>
      </c>
      <c r="N2933">
        <v>0</v>
      </c>
      <c r="O2933">
        <v>-4.8180639999999997E-2</v>
      </c>
      <c r="P2933">
        <v>0.98828590000000005</v>
      </c>
      <c r="Q2933">
        <v>0.1360296</v>
      </c>
      <c r="R2933">
        <v>6.9188799999999995E-2</v>
      </c>
      <c r="S2933">
        <v>3.0519409999999998</v>
      </c>
      <c r="T2933">
        <v>-0.2253568</v>
      </c>
      <c r="U2933">
        <v>0.20489499999999999</v>
      </c>
      <c r="V2933">
        <v>-0.1182995</v>
      </c>
      <c r="W2933">
        <v>0.14705289999999999</v>
      </c>
      <c r="X2933">
        <v>0.98202880000000004</v>
      </c>
      <c r="Y2933">
        <v>-0.1145422</v>
      </c>
      <c r="Z2933">
        <v>7.7679949999999998E-3</v>
      </c>
      <c r="AA2933">
        <v>0.99338800000000005</v>
      </c>
      <c r="AB2933">
        <v>30</v>
      </c>
      <c r="AC2933">
        <v>14.940899999999999</v>
      </c>
      <c r="AD2933">
        <v>-1.11447587393499</v>
      </c>
      <c r="AE2933">
        <v>1.0181500000000001</v>
      </c>
      <c r="AF2933">
        <v>-1.7273192200975001</v>
      </c>
      <c r="AG2933">
        <v>-1.11447587393499</v>
      </c>
      <c r="AH2933">
        <v>14.792561065117299</v>
      </c>
      <c r="AI2933">
        <v>94.279572785693503</v>
      </c>
      <c r="AJ2933">
        <v>96.660234949948304</v>
      </c>
      <c r="AK2933">
        <v>14.934709606380901</v>
      </c>
      <c r="AL2933">
        <v>81.543823324648102</v>
      </c>
      <c r="AM2933">
        <v>96.869001826359195</v>
      </c>
      <c r="AN2933">
        <v>0.99999994556404803</v>
      </c>
    </row>
    <row r="2934" spans="1:40" x14ac:dyDescent="0.3">
      <c r="A2934" t="str">
        <f>"20200111150907034"</f>
        <v>20200111150907034</v>
      </c>
      <c r="B2934" t="str">
        <f>"1578726547026802"</f>
        <v>1578726547026802</v>
      </c>
      <c r="C2934" t="s">
        <v>40</v>
      </c>
      <c r="D2934">
        <v>6.5737839999999998</v>
      </c>
      <c r="E2934">
        <v>0.46137980000000001</v>
      </c>
      <c r="F2934" t="s">
        <v>106</v>
      </c>
      <c r="G2934">
        <v>-259.46710000000002</v>
      </c>
      <c r="H2934" s="1">
        <v>-3.7844850000000002E-6</v>
      </c>
      <c r="I2934">
        <v>-64.421300000000002</v>
      </c>
      <c r="J2934">
        <v>-274.51150000000001</v>
      </c>
      <c r="K2934">
        <v>1.114573</v>
      </c>
      <c r="L2934">
        <v>-65.469729999999998</v>
      </c>
      <c r="M2934">
        <v>0.99889989999999995</v>
      </c>
      <c r="N2934">
        <v>0</v>
      </c>
      <c r="O2934">
        <v>-4.5199690000000001E-2</v>
      </c>
      <c r="P2934">
        <v>0.988093</v>
      </c>
      <c r="Q2934">
        <v>0.13658719999999999</v>
      </c>
      <c r="R2934">
        <v>7.0825819999999998E-2</v>
      </c>
      <c r="S2934">
        <v>3.0516969999999999</v>
      </c>
      <c r="T2934">
        <v>-0.22384770000000001</v>
      </c>
      <c r="U2934">
        <v>0.20971679999999901</v>
      </c>
      <c r="V2934">
        <v>-0.1170305</v>
      </c>
      <c r="W2934">
        <v>0.14760519999999999</v>
      </c>
      <c r="X2934">
        <v>0.98209800000000003</v>
      </c>
      <c r="Y2934">
        <v>-0.1131627</v>
      </c>
      <c r="Z2934">
        <v>7.4477639999999999E-3</v>
      </c>
      <c r="AA2934">
        <v>0.9935486</v>
      </c>
      <c r="AB2934">
        <v>30</v>
      </c>
      <c r="AC2934">
        <v>15.0443999999999</v>
      </c>
      <c r="AD2934">
        <v>-1.1145767844850001</v>
      </c>
      <c r="AE2934">
        <v>1.04842999999999</v>
      </c>
      <c r="AF2934">
        <v>-1.7180293735846599</v>
      </c>
      <c r="AG2934">
        <v>-1.1145767844850001</v>
      </c>
      <c r="AH2934">
        <v>14.900241559469</v>
      </c>
      <c r="AI2934">
        <v>94.249853598841497</v>
      </c>
      <c r="AJ2934">
        <v>96.577279822562204</v>
      </c>
      <c r="AK2934">
        <v>15.0403159829686</v>
      </c>
      <c r="AL2934">
        <v>81.511829834834202</v>
      </c>
      <c r="AM2934">
        <v>96.795536435089105</v>
      </c>
      <c r="AN2934">
        <v>0.99999995730064395</v>
      </c>
    </row>
    <row r="2935" spans="1:40" x14ac:dyDescent="0.3">
      <c r="A2935" t="str">
        <f>"20200111150907045"</f>
        <v>20200111150907045</v>
      </c>
      <c r="B2935" t="str">
        <f>"1578726547036563"</f>
        <v>1578726547036563</v>
      </c>
      <c r="C2935" t="s">
        <v>40</v>
      </c>
      <c r="D2935">
        <v>5.1930139999999998</v>
      </c>
      <c r="E2935">
        <v>0.46824549999999998</v>
      </c>
      <c r="F2935" t="s">
        <v>70</v>
      </c>
      <c r="G2935">
        <v>-157.3501</v>
      </c>
      <c r="H2935">
        <v>33.511150000000001</v>
      </c>
      <c r="I2935">
        <v>-44.420699999999997</v>
      </c>
      <c r="J2935">
        <v>-274.36919999999998</v>
      </c>
      <c r="K2935">
        <v>1.11467</v>
      </c>
      <c r="L2935">
        <v>-65.47336</v>
      </c>
      <c r="M2935">
        <v>0.999027</v>
      </c>
      <c r="N2935">
        <v>0</v>
      </c>
      <c r="O2935">
        <v>-4.2296729999999998E-2</v>
      </c>
      <c r="P2935">
        <v>0.98796830000000002</v>
      </c>
      <c r="Q2935">
        <v>0.13668</v>
      </c>
      <c r="R2935">
        <v>7.2369610000000001E-2</v>
      </c>
      <c r="S2935">
        <v>2.88855</v>
      </c>
      <c r="T2935">
        <v>0.7987185</v>
      </c>
      <c r="U2935">
        <v>0.51895139999999995</v>
      </c>
      <c r="V2935">
        <v>-0.1157424</v>
      </c>
      <c r="W2935">
        <v>0.1476952</v>
      </c>
      <c r="X2935">
        <v>0.98223720000000003</v>
      </c>
      <c r="Y2935">
        <v>-0.20913970000000001</v>
      </c>
      <c r="Z2935">
        <v>-3.9571509999999997E-2</v>
      </c>
      <c r="AA2935">
        <v>0.97708479999999998</v>
      </c>
      <c r="AB2935">
        <v>30</v>
      </c>
      <c r="AC2935">
        <v>117.019099999999</v>
      </c>
      <c r="AD2935">
        <v>32.396479999999997</v>
      </c>
      <c r="AE2935">
        <v>21.052659999999999</v>
      </c>
      <c r="AF2935">
        <v>-24.187971484208699</v>
      </c>
      <c r="AG2935">
        <v>32.396479999999997</v>
      </c>
      <c r="AH2935">
        <v>108.005331453084</v>
      </c>
      <c r="AI2935">
        <v>73.685127635131096</v>
      </c>
      <c r="AJ2935">
        <v>102.623198604257</v>
      </c>
      <c r="AK2935">
        <v>115.32450521550901</v>
      </c>
      <c r="AL2935">
        <v>81.506616830045701</v>
      </c>
      <c r="AM2935">
        <v>96.7204853948639</v>
      </c>
      <c r="AN2935">
        <v>1.00000004616231</v>
      </c>
    </row>
    <row r="2936" spans="1:40" x14ac:dyDescent="0.3">
      <c r="A2936" t="str">
        <f>"20200111150907056"</f>
        <v>20200111150907056</v>
      </c>
      <c r="B2936" t="str">
        <f>"1578726547047298"</f>
        <v>1578726547047298</v>
      </c>
      <c r="C2936" t="s">
        <v>40</v>
      </c>
      <c r="D2936">
        <v>4.7420179999999998</v>
      </c>
      <c r="E2936">
        <v>0.46824549999999998</v>
      </c>
      <c r="F2936" t="s">
        <v>70</v>
      </c>
      <c r="G2936">
        <v>-157.3501</v>
      </c>
      <c r="H2936">
        <v>31.075389999999999</v>
      </c>
      <c r="I2936">
        <v>-46.5441</v>
      </c>
      <c r="J2936">
        <v>-274.22239999999999</v>
      </c>
      <c r="K2936">
        <v>1.1147659999999999</v>
      </c>
      <c r="L2936">
        <v>-65.47672</v>
      </c>
      <c r="M2936">
        <v>0.99915100000000001</v>
      </c>
      <c r="N2936">
        <v>0</v>
      </c>
      <c r="O2936">
        <v>-3.9251809999999998E-2</v>
      </c>
      <c r="P2936">
        <v>0.98781989999999997</v>
      </c>
      <c r="Q2936">
        <v>0.13670470000000001</v>
      </c>
      <c r="R2936">
        <v>7.4322639999999995E-2</v>
      </c>
      <c r="S2936">
        <v>2.8994749999999998</v>
      </c>
      <c r="T2936">
        <v>0.74235930000000006</v>
      </c>
      <c r="U2936">
        <v>0.46902470000000002</v>
      </c>
      <c r="V2936">
        <v>-0.1147233</v>
      </c>
      <c r="W2936">
        <v>0.14771409999999999</v>
      </c>
      <c r="X2936">
        <v>0.9823539</v>
      </c>
      <c r="Y2936">
        <v>-0.19106049999999999</v>
      </c>
      <c r="Z2936">
        <v>-3.3758099999999999E-2</v>
      </c>
      <c r="AA2936">
        <v>0.98099760000000003</v>
      </c>
      <c r="AB2936">
        <v>30</v>
      </c>
      <c r="AC2936">
        <v>116.8723</v>
      </c>
      <c r="AD2936">
        <v>29.960623999999999</v>
      </c>
      <c r="AE2936">
        <v>18.93262</v>
      </c>
      <c r="AF2936">
        <v>-22.091189679128</v>
      </c>
      <c r="AG2936">
        <v>29.960623999999999</v>
      </c>
      <c r="AH2936">
        <v>109.05547179861701</v>
      </c>
      <c r="AI2936">
        <v>74.929979849108193</v>
      </c>
      <c r="AJ2936">
        <v>101.451359480395</v>
      </c>
      <c r="AK2936">
        <v>115.233482899406</v>
      </c>
      <c r="AL2936">
        <v>81.505521859543805</v>
      </c>
      <c r="AM2936">
        <v>96.661062112952706</v>
      </c>
      <c r="AN2936">
        <v>1.0000000378734499</v>
      </c>
    </row>
    <row r="2937" spans="1:40" x14ac:dyDescent="0.3">
      <c r="A2937" t="str">
        <f>"20200111150907067"</f>
        <v>20200111150907067</v>
      </c>
      <c r="B2937" t="str">
        <f>"1578726547057058"</f>
        <v>1578726547057058</v>
      </c>
      <c r="C2937" t="s">
        <v>40</v>
      </c>
      <c r="D2937">
        <v>6.5778780000000001</v>
      </c>
      <c r="E2937">
        <v>0.47061589999999998</v>
      </c>
      <c r="F2937" t="s">
        <v>70</v>
      </c>
      <c r="G2937">
        <v>-157.3501</v>
      </c>
      <c r="H2937">
        <v>31.053419999999999</v>
      </c>
      <c r="I2937">
        <v>-46.343350000000001</v>
      </c>
      <c r="J2937">
        <v>-274.07780000000002</v>
      </c>
      <c r="K2937">
        <v>1.1148610000000001</v>
      </c>
      <c r="L2937">
        <v>-65.479369999999903</v>
      </c>
      <c r="M2937">
        <v>0.99926729999999997</v>
      </c>
      <c r="N2937">
        <v>0</v>
      </c>
      <c r="O2937">
        <v>-3.616805E-2</v>
      </c>
      <c r="P2937">
        <v>0.98770020000000003</v>
      </c>
      <c r="Q2937">
        <v>0.13640369999999999</v>
      </c>
      <c r="R2937">
        <v>7.6434199999999994E-2</v>
      </c>
      <c r="S2937">
        <v>2.8984990000000002</v>
      </c>
      <c r="T2937">
        <v>0.74249419999999899</v>
      </c>
      <c r="U2937">
        <v>0.47451779999999999</v>
      </c>
      <c r="V2937">
        <v>-0.1138226</v>
      </c>
      <c r="W2937">
        <v>0.1474075</v>
      </c>
      <c r="X2937">
        <v>0.98250470000000001</v>
      </c>
      <c r="Y2937">
        <v>-0.19002459999999999</v>
      </c>
      <c r="Z2937">
        <v>-3.2867100000000003E-2</v>
      </c>
      <c r="AA2937">
        <v>0.98122900000000002</v>
      </c>
      <c r="AB2937">
        <v>30</v>
      </c>
      <c r="AC2937">
        <v>116.7277</v>
      </c>
      <c r="AD2937">
        <v>29.938559000000001</v>
      </c>
      <c r="AE2937">
        <v>19.136019999999899</v>
      </c>
      <c r="AF2937">
        <v>-21.940127492529101</v>
      </c>
      <c r="AG2937">
        <v>29.938559000000001</v>
      </c>
      <c r="AH2937">
        <v>108.97787761636501</v>
      </c>
      <c r="AI2937">
        <v>74.926872422557395</v>
      </c>
      <c r="AJ2937">
        <v>101.382989831149</v>
      </c>
      <c r="AK2937">
        <v>115.12542863829999</v>
      </c>
      <c r="AL2937">
        <v>81.523283029334095</v>
      </c>
      <c r="AM2937">
        <v>96.608224724910599</v>
      </c>
      <c r="AN2937">
        <v>1.0000000204245401</v>
      </c>
    </row>
    <row r="2938" spans="1:40" x14ac:dyDescent="0.3">
      <c r="A2938" t="str">
        <f>"20200111150907077"</f>
        <v>20200111150907077</v>
      </c>
      <c r="B2938" t="str">
        <f>"1578726547066819"</f>
        <v>1578726547066819</v>
      </c>
      <c r="C2938" t="s">
        <v>40</v>
      </c>
      <c r="D2938">
        <v>4.7979039999999999</v>
      </c>
      <c r="E2938">
        <v>0.47179090000000001</v>
      </c>
      <c r="F2938" t="s">
        <v>70</v>
      </c>
      <c r="G2938">
        <v>-157.3501</v>
      </c>
      <c r="H2938">
        <v>29.670929999999998</v>
      </c>
      <c r="I2938">
        <v>-46.911969999999997</v>
      </c>
      <c r="J2938">
        <v>-273.93810000000002</v>
      </c>
      <c r="K2938">
        <v>1.1149519999999999</v>
      </c>
      <c r="L2938">
        <v>-65.481719999999996</v>
      </c>
      <c r="M2938">
        <v>0.99937149999999997</v>
      </c>
      <c r="N2938">
        <v>0</v>
      </c>
      <c r="O2938">
        <v>-3.3161549999999998E-2</v>
      </c>
      <c r="P2938">
        <v>0.98755780000000004</v>
      </c>
      <c r="Q2938">
        <v>0.13635410000000001</v>
      </c>
      <c r="R2938">
        <v>7.8340809999999997E-2</v>
      </c>
      <c r="S2938">
        <v>2.9035340000000001</v>
      </c>
      <c r="T2938">
        <v>0.71031460000000002</v>
      </c>
      <c r="U2938">
        <v>0.46185300000000001</v>
      </c>
      <c r="V2938">
        <v>-0.1127942</v>
      </c>
      <c r="W2938">
        <v>0.14735429999999999</v>
      </c>
      <c r="X2938">
        <v>0.98263129999999999</v>
      </c>
      <c r="Y2938">
        <v>-0.1835146</v>
      </c>
      <c r="Z2938">
        <v>-2.9940310000000001E-2</v>
      </c>
      <c r="AA2938">
        <v>0.98256089999999996</v>
      </c>
      <c r="AB2938">
        <v>30</v>
      </c>
      <c r="AC2938">
        <v>116.58799999999999</v>
      </c>
      <c r="AD2938">
        <v>28.555978</v>
      </c>
      <c r="AE2938">
        <v>18.5697499999999</v>
      </c>
      <c r="AF2938">
        <v>-21.186522187336799</v>
      </c>
      <c r="AG2938">
        <v>28.555978</v>
      </c>
      <c r="AH2938">
        <v>109.50144083633499</v>
      </c>
      <c r="AI2938">
        <v>75.638864308038606</v>
      </c>
      <c r="AJ2938">
        <v>100.950378293293</v>
      </c>
      <c r="AK2938">
        <v>115.12983169954001</v>
      </c>
      <c r="AL2938">
        <v>81.526365041136202</v>
      </c>
      <c r="AM2938">
        <v>96.548203250661402</v>
      </c>
      <c r="AN2938">
        <v>1.0000000465109</v>
      </c>
    </row>
    <row r="2939" spans="1:40" x14ac:dyDescent="0.3">
      <c r="A2939" t="str">
        <f>"20200111150907090"</f>
        <v>20200111150907090</v>
      </c>
      <c r="B2939" t="str">
        <f>"1578726547087314"</f>
        <v>1578726547087314</v>
      </c>
      <c r="C2939" t="s">
        <v>40</v>
      </c>
      <c r="D2939">
        <v>6.5848409999999999</v>
      </c>
      <c r="E2939">
        <v>0.47129670000000001</v>
      </c>
      <c r="F2939" t="s">
        <v>70</v>
      </c>
      <c r="G2939">
        <v>-157.3501</v>
      </c>
      <c r="H2939">
        <v>29.83747</v>
      </c>
      <c r="I2939">
        <v>-47.086750000000002</v>
      </c>
      <c r="J2939">
        <v>-273.78660000000002</v>
      </c>
      <c r="K2939">
        <v>1.115049</v>
      </c>
      <c r="L2939">
        <v>-65.483400000000003</v>
      </c>
      <c r="M2939">
        <v>0.99947770000000002</v>
      </c>
      <c r="N2939">
        <v>0</v>
      </c>
      <c r="O2939">
        <v>-2.9792550000000001E-2</v>
      </c>
      <c r="P2939">
        <v>0.98735479999999998</v>
      </c>
      <c r="Q2939">
        <v>0.13621440000000001</v>
      </c>
      <c r="R2939">
        <v>8.1094559999999996E-2</v>
      </c>
      <c r="S2939">
        <v>2.902679</v>
      </c>
      <c r="T2939">
        <v>0.71510050000000003</v>
      </c>
      <c r="U2939">
        <v>0.45797729999999998</v>
      </c>
      <c r="V2939">
        <v>-0.11225599999999999</v>
      </c>
      <c r="W2939">
        <v>0.14720469999999999</v>
      </c>
      <c r="X2939">
        <v>0.98271529999999996</v>
      </c>
      <c r="Y2939">
        <v>-0.1791075</v>
      </c>
      <c r="Z2939">
        <v>-2.8802370000000001E-2</v>
      </c>
      <c r="AA2939">
        <v>0.98340780000000005</v>
      </c>
      <c r="AB2939">
        <v>30</v>
      </c>
      <c r="AC2939">
        <v>116.4365</v>
      </c>
      <c r="AD2939">
        <v>28.722421000000001</v>
      </c>
      <c r="AE2939">
        <v>18.396650000000001</v>
      </c>
      <c r="AF2939">
        <v>-20.6327600883297</v>
      </c>
      <c r="AG2939">
        <v>28.722421000000001</v>
      </c>
      <c r="AH2939">
        <v>109.345037024258</v>
      </c>
      <c r="AI2939">
        <v>75.526624965955705</v>
      </c>
      <c r="AJ2939">
        <v>100.685732601749</v>
      </c>
      <c r="AK2939">
        <v>114.921822900614</v>
      </c>
      <c r="AL2939">
        <v>81.535030570503807</v>
      </c>
      <c r="AM2939">
        <v>96.5166755161532</v>
      </c>
      <c r="AN2939">
        <v>0.99999999704608999</v>
      </c>
    </row>
    <row r="2940" spans="1:40" x14ac:dyDescent="0.3">
      <c r="A2940" t="str">
        <f>"20200111150907101"</f>
        <v>20200111150907101</v>
      </c>
      <c r="B2940" t="str">
        <f>"1578726547097075"</f>
        <v>1578726547097075</v>
      </c>
      <c r="C2940" t="s">
        <v>40</v>
      </c>
      <c r="D2940">
        <v>5.7061479999999998</v>
      </c>
      <c r="E2940">
        <v>0.4740992</v>
      </c>
      <c r="F2940" t="s">
        <v>70</v>
      </c>
      <c r="G2940">
        <v>-157.3501</v>
      </c>
      <c r="H2940">
        <v>31.204249999999998</v>
      </c>
      <c r="I2940">
        <v>-46.601520000000001</v>
      </c>
      <c r="J2940">
        <v>-273.63749999999999</v>
      </c>
      <c r="K2940">
        <v>1.1151470000000001</v>
      </c>
      <c r="L2940">
        <v>-65.484740000000002</v>
      </c>
      <c r="M2940">
        <v>0.9995716</v>
      </c>
      <c r="N2940">
        <v>0</v>
      </c>
      <c r="O2940">
        <v>-2.644813E-2</v>
      </c>
      <c r="P2940">
        <v>0.98704700000000001</v>
      </c>
      <c r="Q2940">
        <v>0.136521799999999</v>
      </c>
      <c r="R2940">
        <v>8.4263560000000001E-2</v>
      </c>
      <c r="S2940">
        <v>2.8966059999999998</v>
      </c>
      <c r="T2940">
        <v>0.74853210000000003</v>
      </c>
      <c r="U2940">
        <v>0.46972659999999999</v>
      </c>
      <c r="V2940">
        <v>-0.1121597</v>
      </c>
      <c r="W2940">
        <v>0.1474953</v>
      </c>
      <c r="X2940">
        <v>0.98268270000000002</v>
      </c>
      <c r="Y2940">
        <v>-0.17952389999999999</v>
      </c>
      <c r="Z2940">
        <v>-2.936604E-2</v>
      </c>
      <c r="AA2940">
        <v>0.98331519999999994</v>
      </c>
      <c r="AB2940">
        <v>30</v>
      </c>
      <c r="AC2940">
        <v>116.28740000000001</v>
      </c>
      <c r="AD2940">
        <v>30.089103000000001</v>
      </c>
      <c r="AE2940">
        <v>18.883220000000001</v>
      </c>
      <c r="AF2940">
        <v>-20.6081613776865</v>
      </c>
      <c r="AG2940">
        <v>30.089103000000001</v>
      </c>
      <c r="AH2940">
        <v>108.659359919127</v>
      </c>
      <c r="AI2940">
        <v>74.780347091679999</v>
      </c>
      <c r="AJ2940">
        <v>100.739076131619</v>
      </c>
      <c r="AK2940">
        <v>114.616346708259</v>
      </c>
      <c r="AL2940">
        <v>81.518196479559805</v>
      </c>
      <c r="AM2940">
        <v>96.511347292087805</v>
      </c>
      <c r="AN2940">
        <v>0.99999997535273399</v>
      </c>
    </row>
    <row r="2941" spans="1:40" x14ac:dyDescent="0.3">
      <c r="A2941" t="str">
        <f>"20200111150907112"</f>
        <v>20200111150907112</v>
      </c>
      <c r="B2941" t="str">
        <f>"1578726547106835"</f>
        <v>1578726547106835</v>
      </c>
      <c r="C2941" t="s">
        <v>40</v>
      </c>
      <c r="D2941">
        <v>7.9187899999999898</v>
      </c>
      <c r="E2941">
        <v>0.4695838</v>
      </c>
      <c r="F2941" t="s">
        <v>70</v>
      </c>
      <c r="G2941">
        <v>-157.3501</v>
      </c>
      <c r="H2941">
        <v>32.071919999999999</v>
      </c>
      <c r="I2941">
        <v>-47.130130000000001</v>
      </c>
      <c r="J2941">
        <v>-273.48829999999998</v>
      </c>
      <c r="K2941">
        <v>1.1152439999999999</v>
      </c>
      <c r="L2941">
        <v>-65.485290000000006</v>
      </c>
      <c r="M2941">
        <v>0.99965660000000001</v>
      </c>
      <c r="N2941">
        <v>0</v>
      </c>
      <c r="O2941">
        <v>-2.3001690000000002E-2</v>
      </c>
      <c r="P2941">
        <v>0.98674790000000001</v>
      </c>
      <c r="Q2941">
        <v>0.13679259999999999</v>
      </c>
      <c r="R2941">
        <v>8.727277E-2</v>
      </c>
      <c r="S2941">
        <v>2.8938290000000002</v>
      </c>
      <c r="T2941">
        <v>0.77036269999999996</v>
      </c>
      <c r="U2941">
        <v>0.45675660000000001</v>
      </c>
      <c r="V2941">
        <v>-0.11180569999999999</v>
      </c>
      <c r="W2941">
        <v>0.1477551</v>
      </c>
      <c r="X2941">
        <v>0.982684</v>
      </c>
      <c r="Y2941">
        <v>-0.17195550000000001</v>
      </c>
      <c r="Z2941">
        <v>-2.8350730000000001E-2</v>
      </c>
      <c r="AA2941">
        <v>0.98469669999999998</v>
      </c>
      <c r="AB2941">
        <v>30</v>
      </c>
      <c r="AC2941">
        <v>116.138199999999</v>
      </c>
      <c r="AD2941">
        <v>30.956676000000002</v>
      </c>
      <c r="AE2941">
        <v>18.355160000000001</v>
      </c>
      <c r="AF2941">
        <v>-19.659161824884499</v>
      </c>
      <c r="AG2941">
        <v>30.956676000000002</v>
      </c>
      <c r="AH2941">
        <v>108.186035383584</v>
      </c>
      <c r="AI2941">
        <v>74.276362119953802</v>
      </c>
      <c r="AJ2941">
        <v>100.299193593965</v>
      </c>
      <c r="AK2941">
        <v>114.23229265249</v>
      </c>
      <c r="AL2941">
        <v>81.503146037414595</v>
      </c>
      <c r="AM2941">
        <v>96.490963237903799</v>
      </c>
      <c r="AN2941">
        <v>0.999999963992249</v>
      </c>
    </row>
    <row r="2942" spans="1:40" x14ac:dyDescent="0.3">
      <c r="A2942" t="str">
        <f>"20200111150907124"</f>
        <v>20200111150907124</v>
      </c>
      <c r="B2942" t="str">
        <f>"1578726547116663"</f>
        <v>1578726547116663</v>
      </c>
      <c r="C2942" t="s">
        <v>40</v>
      </c>
      <c r="D2942">
        <v>7.8700839999999896</v>
      </c>
      <c r="E2942">
        <v>0.4694701</v>
      </c>
      <c r="F2942" t="s">
        <v>70</v>
      </c>
      <c r="G2942">
        <v>-157.3501</v>
      </c>
      <c r="H2942">
        <v>32.949770000000001</v>
      </c>
      <c r="I2942">
        <v>-45.310870000000001</v>
      </c>
      <c r="J2942">
        <v>-273.33510000000001</v>
      </c>
      <c r="K2942">
        <v>1.115343</v>
      </c>
      <c r="L2942">
        <v>-65.485410000000002</v>
      </c>
      <c r="M2942">
        <v>0.99973250000000002</v>
      </c>
      <c r="N2942">
        <v>0</v>
      </c>
      <c r="O2942">
        <v>-1.942079E-2</v>
      </c>
      <c r="P2942">
        <v>0.98641639999999997</v>
      </c>
      <c r="Q2942">
        <v>0.1371666</v>
      </c>
      <c r="R2942">
        <v>9.0377799999999994E-2</v>
      </c>
      <c r="S2942">
        <v>2.8862610000000002</v>
      </c>
      <c r="T2942">
        <v>0.79114899999999999</v>
      </c>
      <c r="U2942">
        <v>0.50137330000000002</v>
      </c>
      <c r="V2942">
        <v>-0.11141719999999999</v>
      </c>
      <c r="W2942">
        <v>0.14811820000000001</v>
      </c>
      <c r="X2942">
        <v>0.98267349999999998</v>
      </c>
      <c r="Y2942">
        <v>-0.18299299999999999</v>
      </c>
      <c r="Z2942">
        <v>-2.9644790000000001E-2</v>
      </c>
      <c r="AA2942">
        <v>0.98266710000000002</v>
      </c>
      <c r="AB2942">
        <v>30</v>
      </c>
      <c r="AC2942">
        <v>115.985</v>
      </c>
      <c r="AD2942">
        <v>31.834427000000002</v>
      </c>
      <c r="AE2942">
        <v>20.17454</v>
      </c>
      <c r="AF2942">
        <v>-20.895519331750599</v>
      </c>
      <c r="AG2942">
        <v>31.834427000000002</v>
      </c>
      <c r="AH2942">
        <v>107.696358530068</v>
      </c>
      <c r="AI2942">
        <v>73.818180050126301</v>
      </c>
      <c r="AJ2942">
        <v>100.980245461096</v>
      </c>
      <c r="AK2942">
        <v>114.230289814912</v>
      </c>
      <c r="AL2942">
        <v>81.482110795637695</v>
      </c>
      <c r="AM2942">
        <v>96.468668608763906</v>
      </c>
      <c r="AN2942">
        <v>1.0000000006146601</v>
      </c>
    </row>
    <row r="2943" spans="1:40" x14ac:dyDescent="0.3">
      <c r="A2943" t="str">
        <f>"20200111150907135"</f>
        <v>20200111150907135</v>
      </c>
      <c r="B2943" t="str">
        <f>"1578726547126424"</f>
        <v>1578726547126424</v>
      </c>
      <c r="C2943" t="s">
        <v>40</v>
      </c>
      <c r="D2943">
        <v>4.7553330000000003</v>
      </c>
      <c r="E2943">
        <v>0.47007310000000002</v>
      </c>
      <c r="F2943" t="s">
        <v>70</v>
      </c>
      <c r="G2943">
        <v>-157.3501</v>
      </c>
      <c r="H2943">
        <v>34.179250000000003</v>
      </c>
      <c r="I2943">
        <v>-44.898829999999997</v>
      </c>
      <c r="J2943">
        <v>-273.18759999999997</v>
      </c>
      <c r="K2943">
        <v>1.115435</v>
      </c>
      <c r="L2943">
        <v>-65.484949999999998</v>
      </c>
      <c r="M2943">
        <v>0.99979430000000002</v>
      </c>
      <c r="N2943">
        <v>0</v>
      </c>
      <c r="O2943">
        <v>-1.591155E-2</v>
      </c>
      <c r="P2943">
        <v>0.98611519999999997</v>
      </c>
      <c r="Q2943">
        <v>0.13740379999999899</v>
      </c>
      <c r="R2943">
        <v>9.3258049999999995E-2</v>
      </c>
      <c r="S2943">
        <v>2.88028</v>
      </c>
      <c r="T2943">
        <v>0.82108189999999903</v>
      </c>
      <c r="U2943">
        <v>0.51123050000000003</v>
      </c>
      <c r="V2943">
        <v>-0.1108726</v>
      </c>
      <c r="W2943">
        <v>0.14834839999999999</v>
      </c>
      <c r="X2943">
        <v>0.98270029999999997</v>
      </c>
      <c r="Y2943">
        <v>-0.18272579999999999</v>
      </c>
      <c r="Z2943">
        <v>-2.9765779999999999E-2</v>
      </c>
      <c r="AA2943">
        <v>0.98271319999999995</v>
      </c>
      <c r="AB2943">
        <v>30</v>
      </c>
      <c r="AC2943">
        <v>115.837499999999</v>
      </c>
      <c r="AD2943">
        <v>33.063814999999998</v>
      </c>
      <c r="AE2943">
        <v>20.586120000000001</v>
      </c>
      <c r="AF2943">
        <v>-20.785246263025002</v>
      </c>
      <c r="AG2943">
        <v>33.063814999999998</v>
      </c>
      <c r="AH2943">
        <v>107.041387005659</v>
      </c>
      <c r="AI2943">
        <v>73.131416529610803</v>
      </c>
      <c r="AJ2943">
        <v>100.988914639684</v>
      </c>
      <c r="AK2943">
        <v>113.943410764573</v>
      </c>
      <c r="AL2943">
        <v>81.468773364152597</v>
      </c>
      <c r="AM2943">
        <v>96.437142148200394</v>
      </c>
      <c r="AN2943">
        <v>0.99999993041670199</v>
      </c>
    </row>
    <row r="2944" spans="1:40" x14ac:dyDescent="0.3">
      <c r="A2944" t="str">
        <f>"20200111150907145"</f>
        <v>20200111150907145</v>
      </c>
      <c r="B2944" t="str">
        <f>"1578726547137159"</f>
        <v>1578726547137159</v>
      </c>
      <c r="C2944" t="s">
        <v>40</v>
      </c>
      <c r="D2944">
        <v>7.4375009999999904</v>
      </c>
      <c r="E2944">
        <v>0.46683019999999997</v>
      </c>
      <c r="F2944" t="s">
        <v>70</v>
      </c>
      <c r="G2944">
        <v>-157.3501</v>
      </c>
      <c r="H2944">
        <v>33.035229999999999</v>
      </c>
      <c r="I2944">
        <v>-44.787109999999998</v>
      </c>
      <c r="J2944">
        <v>-273.04860000000002</v>
      </c>
      <c r="K2944">
        <v>1.115518</v>
      </c>
      <c r="L2944">
        <v>-65.483919999999998</v>
      </c>
      <c r="M2944">
        <v>0.99984209999999996</v>
      </c>
      <c r="N2944">
        <v>0</v>
      </c>
      <c r="O2944">
        <v>-1.2551329999999999E-2</v>
      </c>
      <c r="P2944">
        <v>0.9858654</v>
      </c>
      <c r="Q2944">
        <v>0.1373789</v>
      </c>
      <c r="R2944">
        <v>9.5898639999999993E-2</v>
      </c>
      <c r="S2944">
        <v>2.8828429999999998</v>
      </c>
      <c r="T2944">
        <v>0.79438589999999998</v>
      </c>
      <c r="U2944">
        <v>0.51510619999999996</v>
      </c>
      <c r="V2944">
        <v>-0.1102302</v>
      </c>
      <c r="W2944">
        <v>0.1483206</v>
      </c>
      <c r="X2944">
        <v>0.98277680000000001</v>
      </c>
      <c r="Y2944">
        <v>-0.18123</v>
      </c>
      <c r="Z2944">
        <v>-2.7701460000000001E-2</v>
      </c>
      <c r="AA2944">
        <v>0.98305050000000005</v>
      </c>
      <c r="AB2944">
        <v>30</v>
      </c>
      <c r="AC2944">
        <v>115.6985</v>
      </c>
      <c r="AD2944">
        <v>31.919712000000001</v>
      </c>
      <c r="AE2944">
        <v>20.696809999999999</v>
      </c>
      <c r="AF2944">
        <v>-20.626208955732899</v>
      </c>
      <c r="AG2944">
        <v>31.919712000000001</v>
      </c>
      <c r="AH2944">
        <v>107.501014021825</v>
      </c>
      <c r="AI2944">
        <v>73.743016184106693</v>
      </c>
      <c r="AJ2944">
        <v>100.861336082054</v>
      </c>
      <c r="AK2944">
        <v>114.02094774982901</v>
      </c>
      <c r="AL2944">
        <v>81.470384327998303</v>
      </c>
      <c r="AM2944">
        <v>96.399661417907694</v>
      </c>
      <c r="AN2944">
        <v>0.99999996799731905</v>
      </c>
    </row>
    <row r="2945" spans="1:40" x14ac:dyDescent="0.3">
      <c r="A2945" t="str">
        <f>"20200111150907156"</f>
        <v>20200111150907156</v>
      </c>
      <c r="B2945" t="str">
        <f>"1578726547146919"</f>
        <v>1578726547146919</v>
      </c>
      <c r="C2945" t="s">
        <v>40</v>
      </c>
      <c r="D2945">
        <v>6.0874670000000002</v>
      </c>
      <c r="E2945">
        <v>0.466308</v>
      </c>
      <c r="F2945" t="s">
        <v>70</v>
      </c>
      <c r="G2945">
        <v>-157.3501</v>
      </c>
      <c r="H2945">
        <v>33.457320000000003</v>
      </c>
      <c r="I2945">
        <v>-43.43329</v>
      </c>
      <c r="J2945">
        <v>-272.90480000000002</v>
      </c>
      <c r="K2945">
        <v>1.115602</v>
      </c>
      <c r="L2945">
        <v>-65.482479999999995</v>
      </c>
      <c r="M2945">
        <v>0.99987979999999999</v>
      </c>
      <c r="N2945">
        <v>0</v>
      </c>
      <c r="O2945">
        <v>-9.0391289999999999E-3</v>
      </c>
      <c r="P2945">
        <v>0.98565709999999995</v>
      </c>
      <c r="Q2945">
        <v>0.1371279</v>
      </c>
      <c r="R2945">
        <v>9.8368029999999995E-2</v>
      </c>
      <c r="S2945">
        <v>2.8775940000000002</v>
      </c>
      <c r="T2945">
        <v>0.80438759999999998</v>
      </c>
      <c r="U2945">
        <v>0.54843140000000001</v>
      </c>
      <c r="V2945">
        <v>-0.1092651</v>
      </c>
      <c r="W2945">
        <v>0.1480716</v>
      </c>
      <c r="X2945">
        <v>0.98292210000000002</v>
      </c>
      <c r="Y2945">
        <v>-0.1887643</v>
      </c>
      <c r="Z2945">
        <v>-2.8127449999999998E-2</v>
      </c>
      <c r="AA2945">
        <v>0.98161949999999998</v>
      </c>
      <c r="AB2945">
        <v>30</v>
      </c>
      <c r="AC2945">
        <v>115.5547</v>
      </c>
      <c r="AD2945">
        <v>32.341718</v>
      </c>
      <c r="AE2945">
        <v>22.049189999999999</v>
      </c>
      <c r="AF2945">
        <v>-21.470125728207599</v>
      </c>
      <c r="AG2945">
        <v>32.341718</v>
      </c>
      <c r="AH2945">
        <v>107.244851688582</v>
      </c>
      <c r="AI2945">
        <v>73.526974271887397</v>
      </c>
      <c r="AJ2945">
        <v>101.320799667674</v>
      </c>
      <c r="AK2945">
        <v>114.054422253951</v>
      </c>
      <c r="AL2945">
        <v>81.484810180893405</v>
      </c>
      <c r="AM2945">
        <v>96.343159038926203</v>
      </c>
      <c r="AN2945">
        <v>0.99999995773648898</v>
      </c>
    </row>
    <row r="2946" spans="1:40" x14ac:dyDescent="0.3">
      <c r="A2946" t="str">
        <f>"20200111150907167"</f>
        <v>20200111150907167</v>
      </c>
      <c r="B2946" t="str">
        <f>"1578726547156680"</f>
        <v>1578726547156680</v>
      </c>
      <c r="C2946" t="s">
        <v>40</v>
      </c>
      <c r="D2946">
        <v>5.3403119999999999</v>
      </c>
      <c r="E2946">
        <v>0.466308</v>
      </c>
      <c r="F2946" t="s">
        <v>70</v>
      </c>
      <c r="G2946">
        <v>-157.3501</v>
      </c>
      <c r="H2946">
        <v>33.46246</v>
      </c>
      <c r="I2946">
        <v>-42.992980000000003</v>
      </c>
      <c r="J2946">
        <v>-272.76690000000002</v>
      </c>
      <c r="K2946">
        <v>1.1156759999999999</v>
      </c>
      <c r="L2946">
        <v>-65.480319999999907</v>
      </c>
      <c r="M2946">
        <v>0.99990489999999999</v>
      </c>
      <c r="N2946">
        <v>0</v>
      </c>
      <c r="O2946">
        <v>-5.6047719999999896E-3</v>
      </c>
      <c r="P2946">
        <v>0.98545400000000005</v>
      </c>
      <c r="Q2946">
        <v>0.1368017</v>
      </c>
      <c r="R2946">
        <v>0.1008271</v>
      </c>
      <c r="S2946">
        <v>2.8757929999999998</v>
      </c>
      <c r="T2946">
        <v>0.80501020000000001</v>
      </c>
      <c r="U2946">
        <v>0.55969239999999998</v>
      </c>
      <c r="V2946">
        <v>-0.1083634</v>
      </c>
      <c r="W2946">
        <v>0.14774949999999901</v>
      </c>
      <c r="X2946">
        <v>0.98307040000000001</v>
      </c>
      <c r="Y2946">
        <v>-0.18931039999999999</v>
      </c>
      <c r="Z2946">
        <v>-2.7294369999999998E-2</v>
      </c>
      <c r="AA2946">
        <v>0.98153789999999996</v>
      </c>
      <c r="AB2946">
        <v>30</v>
      </c>
      <c r="AC2946">
        <v>115.41679999999999</v>
      </c>
      <c r="AD2946">
        <v>32.346784</v>
      </c>
      <c r="AE2946">
        <v>22.48734</v>
      </c>
      <c r="AF2946">
        <v>-21.5064567727045</v>
      </c>
      <c r="AG2946">
        <v>32.346784</v>
      </c>
      <c r="AH2946">
        <v>107.178389924047</v>
      </c>
      <c r="AI2946">
        <v>73.516262934805297</v>
      </c>
      <c r="AJ2946">
        <v>101.346309733391</v>
      </c>
      <c r="AK2946">
        <v>114.00021659966301</v>
      </c>
      <c r="AL2946">
        <v>81.503470559665303</v>
      </c>
      <c r="AM2946">
        <v>96.290292722042395</v>
      </c>
      <c r="AN2946">
        <v>0.99999997628298398</v>
      </c>
    </row>
    <row r="2947" spans="1:40" x14ac:dyDescent="0.3">
      <c r="A2947" t="str">
        <f>"20200111150907178"</f>
        <v>20200111150907178</v>
      </c>
      <c r="B2947" t="str">
        <f>"1578726547166441"</f>
        <v>1578726547166441</v>
      </c>
      <c r="C2947" t="s">
        <v>40</v>
      </c>
      <c r="D2947">
        <v>5.1918240000000004</v>
      </c>
      <c r="E2947">
        <v>0.46762540000000002</v>
      </c>
      <c r="F2947" t="s">
        <v>70</v>
      </c>
      <c r="G2947">
        <v>-157.3501</v>
      </c>
      <c r="H2947">
        <v>33.39873</v>
      </c>
      <c r="I2947">
        <v>-42.7209</v>
      </c>
      <c r="J2947">
        <v>-272.62169999999998</v>
      </c>
      <c r="K2947">
        <v>1.1157520000000001</v>
      </c>
      <c r="L2947">
        <v>-65.47784</v>
      </c>
      <c r="M2947">
        <v>0.99991859999999999</v>
      </c>
      <c r="N2947">
        <v>0</v>
      </c>
      <c r="O2947">
        <v>-1.9707489999999999E-3</v>
      </c>
      <c r="P2947">
        <v>0.98527920000000002</v>
      </c>
      <c r="Q2947">
        <v>0.13627040000000001</v>
      </c>
      <c r="R2947">
        <v>0.1032247</v>
      </c>
      <c r="S2947">
        <v>2.8746640000000001</v>
      </c>
      <c r="T2947">
        <v>0.80406669999999902</v>
      </c>
      <c r="U2947">
        <v>0.56686400000000003</v>
      </c>
      <c r="V2947">
        <v>-0.1072013</v>
      </c>
      <c r="W2947">
        <v>0.14722499999999999</v>
      </c>
      <c r="X2947">
        <v>0.9832765</v>
      </c>
      <c r="Y2947">
        <v>-0.18836330000000001</v>
      </c>
      <c r="Z2947">
        <v>-2.615017E-2</v>
      </c>
      <c r="AA2947">
        <v>0.98175120000000005</v>
      </c>
      <c r="AB2947">
        <v>30</v>
      </c>
      <c r="AC2947">
        <v>115.271599999999</v>
      </c>
      <c r="AD2947">
        <v>32.282978</v>
      </c>
      <c r="AE2947">
        <v>22.75694</v>
      </c>
      <c r="AF2947">
        <v>-21.3707752254879</v>
      </c>
      <c r="AG2947">
        <v>32.282978</v>
      </c>
      <c r="AH2947">
        <v>107.138488459703</v>
      </c>
      <c r="AI2947">
        <v>73.537653094144304</v>
      </c>
      <c r="AJ2947">
        <v>101.28065916444901</v>
      </c>
      <c r="AK2947">
        <v>113.91907834825901</v>
      </c>
      <c r="AL2947">
        <v>81.533854657037097</v>
      </c>
      <c r="AM2947">
        <v>96.222072928088494</v>
      </c>
      <c r="AN2947">
        <v>0.99999999739946999</v>
      </c>
    </row>
    <row r="2948" spans="1:40" x14ac:dyDescent="0.3">
      <c r="A2948" t="str">
        <f>"20200111150907190"</f>
        <v>20200111150907190</v>
      </c>
      <c r="B2948" t="str">
        <f>"1578726547186935"</f>
        <v>1578726547186935</v>
      </c>
      <c r="C2948" t="s">
        <v>40</v>
      </c>
      <c r="D2948">
        <v>4.7407459999999997</v>
      </c>
      <c r="E2948">
        <v>0.47302519999999998</v>
      </c>
      <c r="F2948" t="s">
        <v>70</v>
      </c>
      <c r="G2948">
        <v>-157.3501</v>
      </c>
      <c r="H2948">
        <v>32.345709999999997</v>
      </c>
      <c r="I2948">
        <v>-42.903889999999997</v>
      </c>
      <c r="J2948">
        <v>-272.47430000000003</v>
      </c>
      <c r="K2948">
        <v>1.1158140000000001</v>
      </c>
      <c r="L2948">
        <v>-65.474369999999993</v>
      </c>
      <c r="M2948">
        <v>0.99991870000000005</v>
      </c>
      <c r="N2948">
        <v>0</v>
      </c>
      <c r="O2948">
        <v>1.788389E-3</v>
      </c>
      <c r="P2948">
        <v>0.98500900000000002</v>
      </c>
      <c r="Q2948">
        <v>0.1361861</v>
      </c>
      <c r="R2948">
        <v>0.1058799</v>
      </c>
      <c r="S2948">
        <v>2.8779599999999999</v>
      </c>
      <c r="T2948">
        <v>0.77971069999999998</v>
      </c>
      <c r="U2948">
        <v>0.56359859999999995</v>
      </c>
      <c r="V2948">
        <v>-0.1061771</v>
      </c>
      <c r="W2948">
        <v>0.1471481</v>
      </c>
      <c r="X2948">
        <v>0.98339920000000003</v>
      </c>
      <c r="Y2948">
        <v>-0.1840938</v>
      </c>
      <c r="Z2948">
        <v>-2.3805779999999999E-2</v>
      </c>
      <c r="AA2948">
        <v>0.98262039999999995</v>
      </c>
      <c r="AB2948">
        <v>30</v>
      </c>
      <c r="AC2948">
        <v>115.1242</v>
      </c>
      <c r="AD2948">
        <v>31.229896</v>
      </c>
      <c r="AE2948">
        <v>22.5704799999999</v>
      </c>
      <c r="AF2948">
        <v>-20.884569513708801</v>
      </c>
      <c r="AG2948">
        <v>31.229896</v>
      </c>
      <c r="AH2948">
        <v>107.54339289961101</v>
      </c>
      <c r="AI2948">
        <v>74.088850181335701</v>
      </c>
      <c r="AJ2948">
        <v>100.98986135623301</v>
      </c>
      <c r="AK2948">
        <v>113.916868831196</v>
      </c>
      <c r="AL2948">
        <v>81.538309779350996</v>
      </c>
      <c r="AM2948">
        <v>96.162323916532202</v>
      </c>
      <c r="AN2948">
        <v>1.00000006322932</v>
      </c>
    </row>
    <row r="2949" spans="1:40" x14ac:dyDescent="0.3">
      <c r="A2949" t="str">
        <f>"20200111150907202"</f>
        <v>20200111150907202</v>
      </c>
      <c r="B2949" t="str">
        <f>"1578726547196695"</f>
        <v>1578726547196695</v>
      </c>
      <c r="C2949" t="s">
        <v>40</v>
      </c>
      <c r="D2949">
        <v>6.0491409999999997</v>
      </c>
      <c r="E2949">
        <v>0.47170630000000002</v>
      </c>
      <c r="F2949" t="s">
        <v>70</v>
      </c>
      <c r="G2949">
        <v>-157.3501</v>
      </c>
      <c r="H2949">
        <v>31.7728</v>
      </c>
      <c r="I2949">
        <v>-44.36074</v>
      </c>
      <c r="J2949">
        <v>-272.32</v>
      </c>
      <c r="K2949">
        <v>1.115882</v>
      </c>
      <c r="L2949">
        <v>-65.470399999999998</v>
      </c>
      <c r="M2949">
        <v>0.99990380000000001</v>
      </c>
      <c r="N2949">
        <v>0</v>
      </c>
      <c r="O2949">
        <v>5.7412959999999999E-3</v>
      </c>
      <c r="P2949">
        <v>0.98471969999999998</v>
      </c>
      <c r="Q2949">
        <v>0.13616410000000001</v>
      </c>
      <c r="R2949">
        <v>0.108567</v>
      </c>
      <c r="S2949">
        <v>2.8827210000000001</v>
      </c>
      <c r="T2949">
        <v>0.76765249999999996</v>
      </c>
      <c r="U2949">
        <v>0.52868649999999995</v>
      </c>
      <c r="V2949">
        <v>-0.10499550000000001</v>
      </c>
      <c r="W2949">
        <v>0.1471364</v>
      </c>
      <c r="X2949">
        <v>0.98352779999999995</v>
      </c>
      <c r="Y2949">
        <v>-0.16922579999999901</v>
      </c>
      <c r="Z2949">
        <v>-2.0481139999999998E-2</v>
      </c>
      <c r="AA2949">
        <v>0.98536449999999998</v>
      </c>
      <c r="AB2949">
        <v>30</v>
      </c>
      <c r="AC2949">
        <v>114.9699</v>
      </c>
      <c r="AD2949">
        <v>30.656918000000001</v>
      </c>
      <c r="AE2949">
        <v>21.109660000000002</v>
      </c>
      <c r="AF2949">
        <v>-19.133126062261301</v>
      </c>
      <c r="AG2949">
        <v>30.656918000000001</v>
      </c>
      <c r="AH2949">
        <v>107.682364091083</v>
      </c>
      <c r="AI2949">
        <v>74.341426980858103</v>
      </c>
      <c r="AJ2949">
        <v>100.07523103446</v>
      </c>
      <c r="AK2949">
        <v>113.584394484531</v>
      </c>
      <c r="AL2949">
        <v>81.538987440756102</v>
      </c>
      <c r="AM2949">
        <v>96.0934741066025</v>
      </c>
      <c r="AN2949">
        <v>1.0000000542990199</v>
      </c>
    </row>
    <row r="2950" spans="1:40" x14ac:dyDescent="0.3">
      <c r="A2950" t="str">
        <f>"20200111150907213"</f>
        <v>20200111150907213</v>
      </c>
      <c r="B2950" t="str">
        <f>"1578726547206455"</f>
        <v>1578726547206455</v>
      </c>
      <c r="C2950" t="s">
        <v>40</v>
      </c>
      <c r="D2950">
        <v>5.3191569999999997</v>
      </c>
      <c r="E2950">
        <v>0.47170630000000002</v>
      </c>
      <c r="F2950" t="s">
        <v>70</v>
      </c>
      <c r="G2950">
        <v>-157.3501</v>
      </c>
      <c r="H2950">
        <v>31.413679999999999</v>
      </c>
      <c r="I2950">
        <v>-43.633279999999999</v>
      </c>
      <c r="J2950">
        <v>-272.16699999999997</v>
      </c>
      <c r="K2950">
        <v>1.115942</v>
      </c>
      <c r="L2950">
        <v>-65.465609999999998</v>
      </c>
      <c r="M2950">
        <v>0.99987300000000001</v>
      </c>
      <c r="N2950">
        <v>0</v>
      </c>
      <c r="O2950">
        <v>9.7159120000000002E-3</v>
      </c>
      <c r="P2950">
        <v>0.98442419999999997</v>
      </c>
      <c r="Q2950">
        <v>0.13622519999999999</v>
      </c>
      <c r="R2950">
        <v>0.1111388</v>
      </c>
      <c r="S2950">
        <v>2.8811650000000002</v>
      </c>
      <c r="T2950">
        <v>0.75926640000000001</v>
      </c>
      <c r="U2950">
        <v>0.54724119999999998</v>
      </c>
      <c r="V2950">
        <v>-0.103675</v>
      </c>
      <c r="W2950">
        <v>0.14721139999999999</v>
      </c>
      <c r="X2950">
        <v>0.98365659999999999</v>
      </c>
      <c r="Y2950">
        <v>-0.1717081</v>
      </c>
      <c r="Z2950">
        <v>-1.9561789999999999E-2</v>
      </c>
      <c r="AA2950">
        <v>0.98495359999999998</v>
      </c>
      <c r="AB2950">
        <v>30</v>
      </c>
      <c r="AC2950">
        <v>114.8169</v>
      </c>
      <c r="AD2950">
        <v>30.297737999999999</v>
      </c>
      <c r="AE2950">
        <v>21.832329999999999</v>
      </c>
      <c r="AF2950">
        <v>-19.411185481487902</v>
      </c>
      <c r="AG2950">
        <v>30.297737999999999</v>
      </c>
      <c r="AH2950">
        <v>107.780531225792</v>
      </c>
      <c r="AI2950">
        <v>74.535633515148206</v>
      </c>
      <c r="AJ2950">
        <v>100.209477980682</v>
      </c>
      <c r="AK2950">
        <v>113.62829736041699</v>
      </c>
      <c r="AL2950">
        <v>81.534642522557405</v>
      </c>
      <c r="AM2950">
        <v>96.016621815454101</v>
      </c>
      <c r="AN2950">
        <v>1.0000000043192501</v>
      </c>
    </row>
    <row r="2951" spans="1:40" x14ac:dyDescent="0.3">
      <c r="A2951" t="str">
        <f>"20200111150907225"</f>
        <v>20200111150907225</v>
      </c>
      <c r="B2951" t="str">
        <f>"1578726547217191"</f>
        <v>1578726547217191</v>
      </c>
      <c r="C2951" t="s">
        <v>40</v>
      </c>
      <c r="D2951">
        <v>6.4899579999999997</v>
      </c>
      <c r="E2951">
        <v>0.47054829999999997</v>
      </c>
      <c r="F2951" t="s">
        <v>70</v>
      </c>
      <c r="G2951">
        <v>-157.3501</v>
      </c>
      <c r="H2951">
        <v>31.394780000000001</v>
      </c>
      <c r="I2951">
        <v>-43.346159999999998</v>
      </c>
      <c r="J2951">
        <v>-272.00319999999999</v>
      </c>
      <c r="K2951">
        <v>1.116004</v>
      </c>
      <c r="L2951">
        <v>-65.459869999999995</v>
      </c>
      <c r="M2951">
        <v>0.99982210000000005</v>
      </c>
      <c r="N2951">
        <v>0</v>
      </c>
      <c r="O2951">
        <v>1.3994990000000001E-2</v>
      </c>
      <c r="P2951">
        <v>0.98402179999999995</v>
      </c>
      <c r="Q2951">
        <v>0.13653499999999999</v>
      </c>
      <c r="R2951">
        <v>0.11427660000000001</v>
      </c>
      <c r="S2951">
        <v>2.8797299999999999</v>
      </c>
      <c r="T2951">
        <v>0.75942480000000001</v>
      </c>
      <c r="U2951">
        <v>0.55477909999999997</v>
      </c>
      <c r="V2951">
        <v>-0.10262540000000001</v>
      </c>
      <c r="W2951">
        <v>0.1475321</v>
      </c>
      <c r="X2951">
        <v>0.9837186</v>
      </c>
      <c r="Y2951">
        <v>-0.17025860000000001</v>
      </c>
      <c r="Z2951">
        <v>-1.8284890000000002E-2</v>
      </c>
      <c r="AA2951">
        <v>0.98522980000000004</v>
      </c>
      <c r="AB2951">
        <v>30</v>
      </c>
      <c r="AC2951">
        <v>114.65309999999999</v>
      </c>
      <c r="AD2951">
        <v>30.278776000000001</v>
      </c>
      <c r="AE2951">
        <v>22.113710000000001</v>
      </c>
      <c r="AF2951">
        <v>-19.214800338856399</v>
      </c>
      <c r="AG2951">
        <v>30.278776000000001</v>
      </c>
      <c r="AH2951">
        <v>107.708794399957</v>
      </c>
      <c r="AI2951">
        <v>74.530691823442197</v>
      </c>
      <c r="AJ2951">
        <v>100.11492150300499</v>
      </c>
      <c r="AK2951">
        <v>113.521791825237</v>
      </c>
      <c r="AL2951">
        <v>81.516064786277099</v>
      </c>
      <c r="AM2951">
        <v>95.955777268830801</v>
      </c>
      <c r="AN2951">
        <v>0.999999988620764</v>
      </c>
    </row>
    <row r="2952" spans="1:40" x14ac:dyDescent="0.3">
      <c r="A2952" t="str">
        <f>"20200111150907247"</f>
        <v>20200111150907247</v>
      </c>
      <c r="B2952" t="str">
        <f>"1578726547236712"</f>
        <v>1578726547236712</v>
      </c>
      <c r="C2952" t="s">
        <v>40</v>
      </c>
      <c r="D2952">
        <v>3.8950909999999999</v>
      </c>
      <c r="E2952">
        <v>0.47306589999999998</v>
      </c>
      <c r="F2952" t="s">
        <v>70</v>
      </c>
      <c r="G2952">
        <v>-157.3501</v>
      </c>
      <c r="H2952">
        <v>31.268920000000001</v>
      </c>
      <c r="I2952">
        <v>-42.611440000000002</v>
      </c>
      <c r="J2952">
        <v>-271.73160000000001</v>
      </c>
      <c r="K2952">
        <v>1.11608</v>
      </c>
      <c r="L2952">
        <v>-65.448759999999993</v>
      </c>
      <c r="M2952">
        <v>0.99969609999999998</v>
      </c>
      <c r="N2952">
        <v>0</v>
      </c>
      <c r="O2952">
        <v>2.114862E-2</v>
      </c>
      <c r="P2952">
        <v>0.98341889999999998</v>
      </c>
      <c r="Q2952">
        <v>0.13649979999999901</v>
      </c>
      <c r="R2952">
        <v>0.119393899999999</v>
      </c>
      <c r="S2952">
        <v>2.8771360000000001</v>
      </c>
      <c r="T2952">
        <v>0.75666449999999996</v>
      </c>
      <c r="U2952">
        <v>0.57336430000000005</v>
      </c>
      <c r="V2952">
        <v>-0.100728</v>
      </c>
      <c r="W2952">
        <v>0.14752079999999901</v>
      </c>
      <c r="X2952">
        <v>0.98391640000000002</v>
      </c>
      <c r="Y2952">
        <v>-0.16979439999999901</v>
      </c>
      <c r="Z2952">
        <v>-1.6334950000000001E-2</v>
      </c>
      <c r="AA2952">
        <v>0.98534409999999895</v>
      </c>
      <c r="AB2952">
        <v>30</v>
      </c>
      <c r="AC2952">
        <v>114.3815</v>
      </c>
      <c r="AD2952">
        <v>30.152840000000001</v>
      </c>
      <c r="AE2952">
        <v>22.837319999999899</v>
      </c>
      <c r="AF2952">
        <v>-19.1342720700871</v>
      </c>
      <c r="AG2952">
        <v>30.152840000000001</v>
      </c>
      <c r="AH2952">
        <v>107.645061286759</v>
      </c>
      <c r="AI2952">
        <v>74.5816516527115</v>
      </c>
      <c r="AJ2952">
        <v>100.07924218929</v>
      </c>
      <c r="AK2952">
        <v>113.414167312324</v>
      </c>
      <c r="AL2952">
        <v>81.516719482494494</v>
      </c>
      <c r="AM2952">
        <v>95.845265949740494</v>
      </c>
      <c r="AN2952">
        <v>0.99999999930280004</v>
      </c>
    </row>
    <row r="2953" spans="1:40" x14ac:dyDescent="0.3">
      <c r="A2953" t="str">
        <f>"20200111150907257"</f>
        <v>20200111150907257</v>
      </c>
      <c r="B2953" t="str">
        <f>"1578726547246471"</f>
        <v>1578726547246471</v>
      </c>
      <c r="C2953" t="s">
        <v>40</v>
      </c>
      <c r="D2953">
        <v>5.3617780000000002</v>
      </c>
      <c r="E2953">
        <v>0.47306589999999998</v>
      </c>
      <c r="F2953" t="s">
        <v>70</v>
      </c>
      <c r="G2953">
        <v>-157.3501</v>
      </c>
      <c r="H2953">
        <v>30.878129999999999</v>
      </c>
      <c r="I2953">
        <v>-42.846350000000001</v>
      </c>
      <c r="J2953">
        <v>-271.59050000000002</v>
      </c>
      <c r="K2953">
        <v>1.116115</v>
      </c>
      <c r="L2953">
        <v>-65.442350000000005</v>
      </c>
      <c r="M2953">
        <v>0.99961009999999995</v>
      </c>
      <c r="N2953">
        <v>0</v>
      </c>
      <c r="O2953">
        <v>2.4882060000000001E-2</v>
      </c>
      <c r="P2953">
        <v>0.98318660000000002</v>
      </c>
      <c r="Q2953">
        <v>0.1361357</v>
      </c>
      <c r="R2953">
        <v>0.1217015</v>
      </c>
      <c r="S2953">
        <v>2.8776250000000001</v>
      </c>
      <c r="T2953">
        <v>0.74875659999999999</v>
      </c>
      <c r="U2953">
        <v>0.56863399999999997</v>
      </c>
      <c r="V2953">
        <v>-9.9365430000000005E-2</v>
      </c>
      <c r="W2953">
        <v>0.14717740000000001</v>
      </c>
      <c r="X2953">
        <v>0.98410640000000005</v>
      </c>
      <c r="Y2953">
        <v>-0.16490050000000001</v>
      </c>
      <c r="Z2953">
        <v>-1.460323E-2</v>
      </c>
      <c r="AA2953">
        <v>0.98620209999999997</v>
      </c>
      <c r="AB2953">
        <v>30</v>
      </c>
      <c r="AC2953">
        <v>114.24039999999999</v>
      </c>
      <c r="AD2953">
        <v>29.762015000000002</v>
      </c>
      <c r="AE2953">
        <v>22.596</v>
      </c>
      <c r="AF2953">
        <v>-18.535571690910398</v>
      </c>
      <c r="AG2953">
        <v>29.762015000000002</v>
      </c>
      <c r="AH2953">
        <v>107.73077746507001</v>
      </c>
      <c r="AI2953">
        <v>74.769674917585903</v>
      </c>
      <c r="AJ2953">
        <v>99.762417564540698</v>
      </c>
      <c r="AK2953">
        <v>113.292830170304</v>
      </c>
      <c r="AL2953">
        <v>81.536612345645594</v>
      </c>
      <c r="AM2953">
        <v>95.765626394244805</v>
      </c>
      <c r="AN2953">
        <v>1.0000000411354</v>
      </c>
    </row>
    <row r="2954" spans="1:40" x14ac:dyDescent="0.3">
      <c r="A2954" t="str">
        <f>"20200111150907269"</f>
        <v>20200111150907269</v>
      </c>
      <c r="B2954" t="str">
        <f>"1578726547266968"</f>
        <v>1578726547266968</v>
      </c>
      <c r="C2954" t="s">
        <v>40</v>
      </c>
      <c r="D2954">
        <v>5.1586179999999997</v>
      </c>
      <c r="E2954">
        <v>0.4735395</v>
      </c>
      <c r="F2954" t="s">
        <v>70</v>
      </c>
      <c r="G2954">
        <v>-157.3501</v>
      </c>
      <c r="H2954">
        <v>30.811959999999999</v>
      </c>
      <c r="I2954">
        <v>-42.591340000000002</v>
      </c>
      <c r="J2954">
        <v>-271.44549999999998</v>
      </c>
      <c r="K2954">
        <v>1.1161369999999999</v>
      </c>
      <c r="L2954">
        <v>-65.434839999999994</v>
      </c>
      <c r="M2954">
        <v>0.99950669999999997</v>
      </c>
      <c r="N2954">
        <v>0</v>
      </c>
      <c r="O2954">
        <v>2.8735210000000001E-2</v>
      </c>
      <c r="P2954">
        <v>0.9829</v>
      </c>
      <c r="Q2954">
        <v>0.1358212</v>
      </c>
      <c r="R2954">
        <v>0.1243382</v>
      </c>
      <c r="S2954">
        <v>2.8765260000000001</v>
      </c>
      <c r="T2954">
        <v>0.7477279</v>
      </c>
      <c r="U2954">
        <v>0.57537839999999996</v>
      </c>
      <c r="V2954">
        <v>-9.8211140000000002E-2</v>
      </c>
      <c r="W2954">
        <v>0.14688119999999999</v>
      </c>
      <c r="X2954">
        <v>0.98426650000000004</v>
      </c>
      <c r="Y2954">
        <v>-0.16357469999999999</v>
      </c>
      <c r="Z2954">
        <v>-1.3443510000000001E-2</v>
      </c>
      <c r="AA2954">
        <v>0.98643930000000002</v>
      </c>
      <c r="AB2954">
        <v>30</v>
      </c>
      <c r="AC2954">
        <v>114.095399999999</v>
      </c>
      <c r="AD2954">
        <v>29.695823000000001</v>
      </c>
      <c r="AE2954">
        <v>22.843499999999999</v>
      </c>
      <c r="AF2954">
        <v>-18.359481973435201</v>
      </c>
      <c r="AG2954">
        <v>29.695823000000001</v>
      </c>
      <c r="AH2954">
        <v>107.690774053773</v>
      </c>
      <c r="AI2954">
        <v>74.7928040890163</v>
      </c>
      <c r="AJ2954">
        <v>99.674958197294103</v>
      </c>
      <c r="AK2954">
        <v>113.208724479525</v>
      </c>
      <c r="AL2954">
        <v>81.553769716532003</v>
      </c>
      <c r="AM2954">
        <v>95.698171885010893</v>
      </c>
      <c r="AN2954">
        <v>1.0000000289778901</v>
      </c>
    </row>
    <row r="2955" spans="1:40" x14ac:dyDescent="0.3">
      <c r="A2955" t="str">
        <f>"20200111150907280"</f>
        <v>20200111150907280</v>
      </c>
      <c r="B2955" t="str">
        <f>"1578726547276727"</f>
        <v>1578726547276727</v>
      </c>
      <c r="C2955" t="s">
        <v>40</v>
      </c>
      <c r="D2955">
        <v>5.428992</v>
      </c>
      <c r="E2955">
        <v>0.47339150000000002</v>
      </c>
      <c r="F2955" t="s">
        <v>70</v>
      </c>
      <c r="G2955">
        <v>-157.3501</v>
      </c>
      <c r="H2955">
        <v>30.561579999999999</v>
      </c>
      <c r="I2955">
        <v>-42.45523</v>
      </c>
      <c r="J2955">
        <v>-271.29520000000002</v>
      </c>
      <c r="K2955">
        <v>1.1161589999999999</v>
      </c>
      <c r="L2955">
        <v>-65.426909999999907</v>
      </c>
      <c r="M2955">
        <v>0.99938389999999999</v>
      </c>
      <c r="N2955">
        <v>0</v>
      </c>
      <c r="O2955">
        <v>3.2730099999999998E-2</v>
      </c>
      <c r="P2955">
        <v>0.98261810000000005</v>
      </c>
      <c r="Q2955">
        <v>0.13538599999999901</v>
      </c>
      <c r="R2955">
        <v>0.12701399999999999</v>
      </c>
      <c r="S2955">
        <v>2.8763429999999999</v>
      </c>
      <c r="T2955">
        <v>0.74231829999999999</v>
      </c>
      <c r="U2955">
        <v>0.57931519999999903</v>
      </c>
      <c r="V2955">
        <v>-9.695455E-2</v>
      </c>
      <c r="W2955">
        <v>0.1464666</v>
      </c>
      <c r="X2955">
        <v>0.98445280000000002</v>
      </c>
      <c r="Y2955">
        <v>-0.1612065</v>
      </c>
      <c r="Z2955">
        <v>-1.204765E-2</v>
      </c>
      <c r="AA2955">
        <v>0.98684720000000004</v>
      </c>
      <c r="AB2955">
        <v>30</v>
      </c>
      <c r="AC2955">
        <v>113.9451</v>
      </c>
      <c r="AD2955">
        <v>29.445421</v>
      </c>
      <c r="AE2955">
        <v>22.9716799999999</v>
      </c>
      <c r="AF2955">
        <v>-18.070054137744599</v>
      </c>
      <c r="AG2955">
        <v>29.445421</v>
      </c>
      <c r="AH2955">
        <v>107.72320829971</v>
      </c>
      <c r="AI2955">
        <v>74.913021614259506</v>
      </c>
      <c r="AJ2955">
        <v>99.522438494655404</v>
      </c>
      <c r="AK2955">
        <v>113.127579664691</v>
      </c>
      <c r="AL2955">
        <v>81.577783872117095</v>
      </c>
      <c r="AM2955">
        <v>95.624677910120894</v>
      </c>
      <c r="AN2955">
        <v>0.99999998255455103</v>
      </c>
    </row>
    <row r="2956" spans="1:40" x14ac:dyDescent="0.3">
      <c r="A2956" t="str">
        <f>"20200111150907292"</f>
        <v>20200111150907292</v>
      </c>
      <c r="B2956" t="str">
        <f>"1578726547286487"</f>
        <v>1578726547286487</v>
      </c>
      <c r="C2956" t="s">
        <v>40</v>
      </c>
      <c r="D2956">
        <v>5.345002</v>
      </c>
      <c r="E2956">
        <v>0.47339150000000002</v>
      </c>
      <c r="F2956" t="s">
        <v>70</v>
      </c>
      <c r="G2956">
        <v>-157.3501</v>
      </c>
      <c r="H2956">
        <v>30.018809999999998</v>
      </c>
      <c r="I2956">
        <v>-42.113709999999998</v>
      </c>
      <c r="J2956">
        <v>-271.1456</v>
      </c>
      <c r="K2956">
        <v>1.11617099999999</v>
      </c>
      <c r="L2956">
        <v>-65.418000000000006</v>
      </c>
      <c r="M2956">
        <v>0.99924559999999996</v>
      </c>
      <c r="N2956">
        <v>0</v>
      </c>
      <c r="O2956">
        <v>3.6707009999999998E-2</v>
      </c>
      <c r="P2956">
        <v>0.98224040000000001</v>
      </c>
      <c r="Q2956">
        <v>0.13596259999999999</v>
      </c>
      <c r="R2956">
        <v>0.1292983</v>
      </c>
      <c r="S2956">
        <v>2.8764949999999998</v>
      </c>
      <c r="T2956">
        <v>0.72963429999999996</v>
      </c>
      <c r="U2956">
        <v>0.58853149999999999</v>
      </c>
      <c r="V2956">
        <v>-9.5337560000000002E-2</v>
      </c>
      <c r="W2956">
        <v>0.147069799999999</v>
      </c>
      <c r="X2956">
        <v>0.98452079999999997</v>
      </c>
      <c r="Y2956">
        <v>-0.1605867</v>
      </c>
      <c r="Z2956">
        <v>-1.078605E-2</v>
      </c>
      <c r="AA2956">
        <v>0.98696280000000003</v>
      </c>
      <c r="AB2956">
        <v>30</v>
      </c>
      <c r="AC2956">
        <v>113.7955</v>
      </c>
      <c r="AD2956">
        <v>28.902639000000001</v>
      </c>
      <c r="AE2956">
        <v>23.304290000000002</v>
      </c>
      <c r="AF2956">
        <v>-17.996909501814098</v>
      </c>
      <c r="AG2956">
        <v>28.902639000000001</v>
      </c>
      <c r="AH2956">
        <v>107.89423321386801</v>
      </c>
      <c r="AI2956">
        <v>75.199067647332498</v>
      </c>
      <c r="AJ2956">
        <v>99.469833236750105</v>
      </c>
      <c r="AK2956">
        <v>113.138927224848</v>
      </c>
      <c r="AL2956">
        <v>81.542844769537695</v>
      </c>
      <c r="AM2956">
        <v>95.531077570457398</v>
      </c>
      <c r="AN2956">
        <v>0.99999999102571602</v>
      </c>
    </row>
    <row r="2957" spans="1:40" x14ac:dyDescent="0.3">
      <c r="A2957" t="str">
        <f>"20200111150907304"</f>
        <v>20200111150907304</v>
      </c>
      <c r="B2957" t="str">
        <f>"1578726547297223"</f>
        <v>1578726547297223</v>
      </c>
      <c r="C2957" t="s">
        <v>40</v>
      </c>
      <c r="D2957">
        <v>5.3735189999999999</v>
      </c>
      <c r="E2957">
        <v>0.508409</v>
      </c>
      <c r="F2957" t="s">
        <v>70</v>
      </c>
      <c r="G2957">
        <v>-157.3501</v>
      </c>
      <c r="H2957">
        <v>30.067360000000001</v>
      </c>
      <c r="I2957">
        <v>-41.857219999999998</v>
      </c>
      <c r="J2957">
        <v>-270.99529999999999</v>
      </c>
      <c r="K2957">
        <v>1.1161810000000001</v>
      </c>
      <c r="L2957">
        <v>-65.408690000000007</v>
      </c>
      <c r="M2957">
        <v>0.99909099999999995</v>
      </c>
      <c r="N2957">
        <v>0</v>
      </c>
      <c r="O2957">
        <v>4.0697869999999997E-2</v>
      </c>
      <c r="P2957">
        <v>0.98185440000000002</v>
      </c>
      <c r="Q2957">
        <v>0.13692019999999999</v>
      </c>
      <c r="R2957">
        <v>0.13120499999999999</v>
      </c>
      <c r="S2957">
        <v>2.8746640000000001</v>
      </c>
      <c r="T2957">
        <v>0.73135469999999903</v>
      </c>
      <c r="U2957">
        <v>0.5951843</v>
      </c>
      <c r="V2957">
        <v>-9.3334790000000001E-2</v>
      </c>
      <c r="W2957">
        <v>0.14805969999999999</v>
      </c>
      <c r="X2957">
        <v>0.98456429999999995</v>
      </c>
      <c r="Y2957">
        <v>-0.1591089</v>
      </c>
      <c r="Z2957">
        <v>-9.644807E-3</v>
      </c>
      <c r="AA2957">
        <v>0.98721389999999998</v>
      </c>
      <c r="AB2957">
        <v>30</v>
      </c>
      <c r="AC2957">
        <v>113.6452</v>
      </c>
      <c r="AD2957">
        <v>28.951179</v>
      </c>
      <c r="AE2957">
        <v>23.551469999999998</v>
      </c>
      <c r="AF2957">
        <v>-17.798919099885801</v>
      </c>
      <c r="AG2957">
        <v>28.951179</v>
      </c>
      <c r="AH2957">
        <v>107.801598597343</v>
      </c>
      <c r="AI2957">
        <v>75.15924796454</v>
      </c>
      <c r="AJ2957">
        <v>99.375415535514307</v>
      </c>
      <c r="AK2957">
        <v>113.03166346982999</v>
      </c>
      <c r="AL2957">
        <v>81.485499613304995</v>
      </c>
      <c r="AM2957">
        <v>95.415345713680395</v>
      </c>
      <c r="AN2957">
        <v>0.99999995931146102</v>
      </c>
    </row>
    <row r="2958" spans="1:40" x14ac:dyDescent="0.3">
      <c r="A2958" t="str">
        <f>"20200111150908798"</f>
        <v>20200111150908798</v>
      </c>
      <c r="B2958" t="str">
        <f>"1578726548786872"</f>
        <v>1578726548786872</v>
      </c>
      <c r="C2958" t="s">
        <v>40</v>
      </c>
      <c r="D2958">
        <v>5.7811349999999999</v>
      </c>
      <c r="E2958">
        <v>0.43373679999999898</v>
      </c>
      <c r="F2958" t="s">
        <v>106</v>
      </c>
      <c r="G2958">
        <v>-250.65539999999999</v>
      </c>
      <c r="H2958" s="1">
        <v>-3.8253119999999997E-8</v>
      </c>
      <c r="I2958">
        <v>-63.176110000000001</v>
      </c>
      <c r="J2958">
        <v>-251.3997</v>
      </c>
      <c r="K2958">
        <v>1.1100989999999999</v>
      </c>
      <c r="L2958">
        <v>-63.912289999999999</v>
      </c>
      <c r="M2958">
        <v>0.99951769999999995</v>
      </c>
      <c r="N2958">
        <v>0</v>
      </c>
      <c r="O2958">
        <v>2.856943E-2</v>
      </c>
      <c r="P2958">
        <v>0.98790239999999996</v>
      </c>
      <c r="Q2958">
        <v>0.13133259999999999</v>
      </c>
      <c r="R2958">
        <v>8.2466280000000003E-2</v>
      </c>
      <c r="S2958">
        <v>3.0341490000000002</v>
      </c>
      <c r="T2958">
        <v>-0.16650309999999999</v>
      </c>
      <c r="U2958">
        <v>0.33303829999999901</v>
      </c>
      <c r="V2958">
        <v>-5.4206509999999999E-2</v>
      </c>
      <c r="W2958">
        <v>0.1433815</v>
      </c>
      <c r="X2958">
        <v>0.98818189999999995</v>
      </c>
      <c r="Y2958">
        <v>-8.0585240000000002E-2</v>
      </c>
      <c r="Z2958">
        <v>6.4157540000000005E-4</v>
      </c>
      <c r="AA2958">
        <v>0.99674750000000001</v>
      </c>
      <c r="AB2958">
        <v>29</v>
      </c>
      <c r="AC2958">
        <v>0.74430000000000895</v>
      </c>
      <c r="AD2958">
        <v>-1.11009903825312</v>
      </c>
      <c r="AE2958">
        <v>0.73618000000001105</v>
      </c>
      <c r="AF2958">
        <v>-0.33637782959351398</v>
      </c>
      <c r="AG2958">
        <v>-1.11009903825312</v>
      </c>
      <c r="AH2958">
        <v>0.36010942439054699</v>
      </c>
      <c r="AI2958">
        <v>156.063405569141</v>
      </c>
      <c r="AJ2958">
        <v>133.048500707735</v>
      </c>
      <c r="AK2958">
        <v>1.21455700422311</v>
      </c>
      <c r="AL2958">
        <v>81.756433626716301</v>
      </c>
      <c r="AM2958">
        <v>93.139801170236893</v>
      </c>
      <c r="AN2958">
        <v>1.0000000338781101</v>
      </c>
    </row>
    <row r="2959" spans="1:40" x14ac:dyDescent="0.3">
      <c r="A2959" t="str">
        <f>"20200111150908810"</f>
        <v>20200111150908810</v>
      </c>
      <c r="B2959" t="str">
        <f>"1578726548807369"</f>
        <v>1578726548807369</v>
      </c>
      <c r="C2959" t="s">
        <v>40</v>
      </c>
      <c r="D2959">
        <v>5.6840979999999997</v>
      </c>
      <c r="E2959">
        <v>0.44165579999999999</v>
      </c>
      <c r="F2959" t="s">
        <v>70</v>
      </c>
      <c r="G2959">
        <v>-157.3501</v>
      </c>
      <c r="H2959">
        <v>2.8198979999999998</v>
      </c>
      <c r="I2959">
        <v>-39.438310000000001</v>
      </c>
      <c r="J2959">
        <v>-251.24799999999999</v>
      </c>
      <c r="K2959">
        <v>1.1100989999999999</v>
      </c>
      <c r="L2959">
        <v>-63.90793</v>
      </c>
      <c r="M2959">
        <v>0.99951769999999995</v>
      </c>
      <c r="N2959">
        <v>0</v>
      </c>
      <c r="O2959">
        <v>2.8573080000000001E-2</v>
      </c>
      <c r="P2959">
        <v>0.98788129999999996</v>
      </c>
      <c r="Q2959">
        <v>0.13099949999999999</v>
      </c>
      <c r="R2959">
        <v>8.3246719999999996E-2</v>
      </c>
      <c r="S2959">
        <v>2.9651640000000001</v>
      </c>
      <c r="T2959">
        <v>5.3905250000000002E-2</v>
      </c>
      <c r="U2959">
        <v>0.77160640000000003</v>
      </c>
      <c r="V2959">
        <v>-5.4983379999999998E-2</v>
      </c>
      <c r="W2959">
        <v>0.143044</v>
      </c>
      <c r="X2959">
        <v>0.98818779999999995</v>
      </c>
      <c r="Y2959">
        <v>-0.22404950000000001</v>
      </c>
      <c r="Z2959">
        <v>-1.4926259999999999E-3</v>
      </c>
      <c r="AA2959">
        <v>0.97457660000000002</v>
      </c>
      <c r="AB2959">
        <v>29</v>
      </c>
      <c r="AC2959">
        <v>93.897900000000007</v>
      </c>
      <c r="AD2959">
        <v>1.7097989999999901</v>
      </c>
      <c r="AE2959">
        <v>24.469619999999999</v>
      </c>
      <c r="AF2959">
        <v>-21.7697178200251</v>
      </c>
      <c r="AG2959">
        <v>1.7097989999999901</v>
      </c>
      <c r="AH2959">
        <v>94.529430391102395</v>
      </c>
      <c r="AI2959">
        <v>88.990203055076904</v>
      </c>
      <c r="AJ2959">
        <v>102.968852586781</v>
      </c>
      <c r="AK2959">
        <v>97.018849903769706</v>
      </c>
      <c r="AL2959">
        <v>81.775971606202702</v>
      </c>
      <c r="AM2959">
        <v>93.184688826204606</v>
      </c>
      <c r="AN2959">
        <v>0.99999994304052997</v>
      </c>
    </row>
    <row r="2960" spans="1:40" x14ac:dyDescent="0.3">
      <c r="A2960" t="str">
        <f>"20200111150908822"</f>
        <v>20200111150908822</v>
      </c>
      <c r="B2960" t="str">
        <f>"1578726548817128"</f>
        <v>1578726548817128</v>
      </c>
      <c r="C2960" t="s">
        <v>40</v>
      </c>
      <c r="D2960">
        <v>5.2203889999999999</v>
      </c>
      <c r="E2960">
        <v>0.44052740000000001</v>
      </c>
      <c r="F2960" t="s">
        <v>108</v>
      </c>
      <c r="G2960">
        <v>-220.63159999999999</v>
      </c>
      <c r="H2960" s="1">
        <v>-4.960791E-7</v>
      </c>
      <c r="I2960">
        <v>-56.641240000000003</v>
      </c>
      <c r="J2960">
        <v>-251.1001</v>
      </c>
      <c r="K2960">
        <v>1.1100969999999999</v>
      </c>
      <c r="L2960">
        <v>-63.903689999999997</v>
      </c>
      <c r="M2960">
        <v>0.99951749999999995</v>
      </c>
      <c r="N2960">
        <v>0</v>
      </c>
      <c r="O2960">
        <v>2.8575900000000001E-2</v>
      </c>
      <c r="P2960">
        <v>0.98778699999999997</v>
      </c>
      <c r="Q2960">
        <v>0.13113659999999999</v>
      </c>
      <c r="R2960">
        <v>8.4142510000000004E-2</v>
      </c>
      <c r="S2960">
        <v>2.9913789999999998</v>
      </c>
      <c r="T2960">
        <v>-0.10846219999999999</v>
      </c>
      <c r="U2960">
        <v>0.7099915</v>
      </c>
      <c r="V2960">
        <v>-5.5878049999999999E-2</v>
      </c>
      <c r="W2960">
        <v>0.14317569999999999</v>
      </c>
      <c r="X2960">
        <v>0.98811859999999996</v>
      </c>
      <c r="Y2960">
        <v>-0.2029224</v>
      </c>
      <c r="Z2960">
        <v>2.6065490000000001E-3</v>
      </c>
      <c r="AA2960">
        <v>0.97919140000000005</v>
      </c>
      <c r="AB2960">
        <v>29</v>
      </c>
      <c r="AC2960">
        <v>30.468499999999999</v>
      </c>
      <c r="AD2960">
        <v>-1.1100974960790999</v>
      </c>
      <c r="AE2960">
        <v>7.2624500000000003</v>
      </c>
      <c r="AF2960">
        <v>-6.3807396465027999</v>
      </c>
      <c r="AG2960">
        <v>-1.1100974960790999</v>
      </c>
      <c r="AH2960">
        <v>30.625134070789599</v>
      </c>
      <c r="AI2960">
        <v>92.032338955455899</v>
      </c>
      <c r="AJ2960">
        <v>101.769191518223</v>
      </c>
      <c r="AK2960">
        <v>31.302475808489799</v>
      </c>
      <c r="AL2960">
        <v>81.768347766597202</v>
      </c>
      <c r="AM2960">
        <v>93.236625842511003</v>
      </c>
      <c r="AN2960">
        <v>1.00000000260412</v>
      </c>
    </row>
    <row r="2961" spans="1:40" x14ac:dyDescent="0.3">
      <c r="A2961" t="str">
        <f>"20200111150908832"</f>
        <v>20200111150908832</v>
      </c>
      <c r="B2961" t="str">
        <f>"1578726548826890"</f>
        <v>1578726548826890</v>
      </c>
      <c r="C2961" t="s">
        <v>40</v>
      </c>
      <c r="D2961">
        <v>5.2350009999999996</v>
      </c>
      <c r="E2961">
        <v>0.43954520000000002</v>
      </c>
      <c r="F2961" t="s">
        <v>108</v>
      </c>
      <c r="G2961">
        <v>-222.49019999999999</v>
      </c>
      <c r="H2961" s="1">
        <v>-1.0176189999999999E-6</v>
      </c>
      <c r="I2961">
        <v>-56.999419999999901</v>
      </c>
      <c r="J2961">
        <v>-250.9486</v>
      </c>
      <c r="K2961">
        <v>1.1100969999999999</v>
      </c>
      <c r="L2961">
        <v>-63.899349999999998</v>
      </c>
      <c r="M2961">
        <v>0.99951760000000001</v>
      </c>
      <c r="N2961">
        <v>0</v>
      </c>
      <c r="O2961">
        <v>2.8575779999999999E-2</v>
      </c>
      <c r="P2961">
        <v>0.98766580000000004</v>
      </c>
      <c r="Q2961">
        <v>0.13141159999999999</v>
      </c>
      <c r="R2961">
        <v>8.5132769999999997E-2</v>
      </c>
      <c r="S2961">
        <v>2.9909970000000001</v>
      </c>
      <c r="T2961">
        <v>-0.1160545</v>
      </c>
      <c r="U2961">
        <v>0.72180180000000005</v>
      </c>
      <c r="V2961">
        <v>-5.6871350000000001E-2</v>
      </c>
      <c r="W2961">
        <v>0.14344609999999999</v>
      </c>
      <c r="X2961">
        <v>0.98802270000000003</v>
      </c>
      <c r="Y2961">
        <v>-0.20658789999999999</v>
      </c>
      <c r="Z2961">
        <v>2.858064E-3</v>
      </c>
      <c r="AA2961">
        <v>0.97842390000000001</v>
      </c>
      <c r="AB2961">
        <v>29</v>
      </c>
      <c r="AC2961">
        <v>28.458400000000001</v>
      </c>
      <c r="AD2961">
        <v>-1.1100980176189901</v>
      </c>
      <c r="AE2961">
        <v>6.8999300000000003</v>
      </c>
      <c r="AF2961">
        <v>-6.0751000288951298</v>
      </c>
      <c r="AG2961">
        <v>-1.1100980176189901</v>
      </c>
      <c r="AH2961">
        <v>28.6028563573371</v>
      </c>
      <c r="AI2961">
        <v>92.174126006947503</v>
      </c>
      <c r="AJ2961">
        <v>101.991136063141</v>
      </c>
      <c r="AK2961">
        <v>29.2619642158256</v>
      </c>
      <c r="AL2961">
        <v>81.752693334913602</v>
      </c>
      <c r="AM2961">
        <v>93.294354215403899</v>
      </c>
      <c r="AN2961">
        <v>0.99999999488566105</v>
      </c>
    </row>
    <row r="2962" spans="1:40" x14ac:dyDescent="0.3">
      <c r="A2962" t="str">
        <f>"20200111150908844"</f>
        <v>20200111150908844</v>
      </c>
      <c r="B2962" t="str">
        <f>"1578726548836648"</f>
        <v>1578726548836648</v>
      </c>
      <c r="C2962" t="s">
        <v>40</v>
      </c>
      <c r="D2962">
        <v>6.9396459999999998</v>
      </c>
      <c r="E2962">
        <v>0.43954520000000002</v>
      </c>
      <c r="F2962" t="s">
        <v>108</v>
      </c>
      <c r="G2962">
        <v>-223.7141</v>
      </c>
      <c r="H2962" s="1">
        <v>-1.409099E-6</v>
      </c>
      <c r="I2962">
        <v>-57.227870000000003</v>
      </c>
      <c r="J2962">
        <v>-250.8049</v>
      </c>
      <c r="K2962">
        <v>1.1100989999999999</v>
      </c>
      <c r="L2962">
        <v>-63.89526</v>
      </c>
      <c r="M2962">
        <v>0.99951769999999995</v>
      </c>
      <c r="N2962">
        <v>0</v>
      </c>
      <c r="O2962">
        <v>2.857494E-2</v>
      </c>
      <c r="P2962">
        <v>0.98751829999999996</v>
      </c>
      <c r="Q2962">
        <v>0.1319409</v>
      </c>
      <c r="R2962">
        <v>8.6020310000000003E-2</v>
      </c>
      <c r="S2962">
        <v>2.9905400000000002</v>
      </c>
      <c r="T2962">
        <v>-0.12189659999999999</v>
      </c>
      <c r="U2962">
        <v>0.73257450000000002</v>
      </c>
      <c r="V2962">
        <v>-5.776249E-2</v>
      </c>
      <c r="W2962">
        <v>0.1439704</v>
      </c>
      <c r="X2962">
        <v>0.98789470000000001</v>
      </c>
      <c r="Y2962">
        <v>-0.2099338</v>
      </c>
      <c r="Z2962">
        <v>3.068234E-3</v>
      </c>
      <c r="AA2962">
        <v>0.97771079999999999</v>
      </c>
      <c r="AB2962">
        <v>29</v>
      </c>
      <c r="AC2962">
        <v>27.090800000000002</v>
      </c>
      <c r="AD2962">
        <v>-1.1101004090990001</v>
      </c>
      <c r="AE2962">
        <v>6.6673900000000001</v>
      </c>
      <c r="AF2962">
        <v>-5.8811805796147496</v>
      </c>
      <c r="AG2962">
        <v>-1.1101004090990001</v>
      </c>
      <c r="AH2962">
        <v>27.2271637153878</v>
      </c>
      <c r="AI2962">
        <v>92.282182513306694</v>
      </c>
      <c r="AJ2962">
        <v>102.188860831084</v>
      </c>
      <c r="AK2962">
        <v>27.877213847743999</v>
      </c>
      <c r="AL2962">
        <v>81.722337780142496</v>
      </c>
      <c r="AM2962">
        <v>93.346290932456796</v>
      </c>
      <c r="AN2962">
        <v>0.99999995980762402</v>
      </c>
    </row>
    <row r="2963" spans="1:40" x14ac:dyDescent="0.3">
      <c r="A2963" t="str">
        <f>"20200111150908855"</f>
        <v>20200111150908855</v>
      </c>
      <c r="B2963" t="str">
        <f>"1578726548847384"</f>
        <v>1578726548847384</v>
      </c>
      <c r="C2963" t="s">
        <v>40</v>
      </c>
      <c r="D2963">
        <v>5.9695720000000003</v>
      </c>
      <c r="E2963">
        <v>0.43594050000000001</v>
      </c>
      <c r="F2963" t="s">
        <v>108</v>
      </c>
      <c r="G2963">
        <v>-223.245</v>
      </c>
      <c r="H2963" s="1">
        <v>-1.237384E-6</v>
      </c>
      <c r="I2963">
        <v>-57.119160000000001</v>
      </c>
      <c r="J2963">
        <v>-250.6575</v>
      </c>
      <c r="K2963">
        <v>1.1100989999999999</v>
      </c>
      <c r="L2963">
        <v>-63.890990000000002</v>
      </c>
      <c r="M2963">
        <v>0.99951769999999995</v>
      </c>
      <c r="N2963">
        <v>0</v>
      </c>
      <c r="O2963">
        <v>2.8573379999999999E-2</v>
      </c>
      <c r="P2963">
        <v>0.98740240000000001</v>
      </c>
      <c r="Q2963">
        <v>0.13233159999999999</v>
      </c>
      <c r="R2963">
        <v>8.6746439999999994E-2</v>
      </c>
      <c r="S2963">
        <v>2.9899749999999998</v>
      </c>
      <c r="T2963">
        <v>-0.1204346</v>
      </c>
      <c r="U2963">
        <v>0.73513790000000001</v>
      </c>
      <c r="V2963">
        <v>-5.849261E-2</v>
      </c>
      <c r="W2963">
        <v>0.1443564</v>
      </c>
      <c r="X2963">
        <v>0.98779550000000005</v>
      </c>
      <c r="Y2963">
        <v>-0.21077129999999999</v>
      </c>
      <c r="Z2963">
        <v>3.0483900000000002E-3</v>
      </c>
      <c r="AA2963">
        <v>0.97753069999999997</v>
      </c>
      <c r="AB2963">
        <v>29</v>
      </c>
      <c r="AC2963">
        <v>27.412499999999898</v>
      </c>
      <c r="AD2963">
        <v>-1.1101002373840001</v>
      </c>
      <c r="AE2963">
        <v>6.7718299999999996</v>
      </c>
      <c r="AF2963">
        <v>-5.9765015514417197</v>
      </c>
      <c r="AG2963">
        <v>-1.1101002373840001</v>
      </c>
      <c r="AH2963">
        <v>27.552229025304801</v>
      </c>
      <c r="AI2963">
        <v>92.254860165296904</v>
      </c>
      <c r="AJ2963">
        <v>102.238731881153</v>
      </c>
      <c r="AK2963">
        <v>28.214822657501699</v>
      </c>
      <c r="AL2963">
        <v>81.699988918277697</v>
      </c>
      <c r="AM2963">
        <v>93.388829727903598</v>
      </c>
      <c r="AN2963">
        <v>1.0000000527329</v>
      </c>
    </row>
    <row r="2964" spans="1:40" x14ac:dyDescent="0.3">
      <c r="A2964" t="str">
        <f>"20200111150908866"</f>
        <v>20200111150908866</v>
      </c>
      <c r="B2964" t="str">
        <f>"1578726548857146"</f>
        <v>1578726548857146</v>
      </c>
      <c r="C2964" t="s">
        <v>40</v>
      </c>
      <c r="D2964">
        <v>4.7798920000000003</v>
      </c>
      <c r="E2964">
        <v>0.43761840000000002</v>
      </c>
      <c r="F2964" t="s">
        <v>109</v>
      </c>
      <c r="G2964">
        <v>-211.58019999999999</v>
      </c>
      <c r="H2964" s="1">
        <v>-1.2478599999999999E-6</v>
      </c>
      <c r="I2964">
        <v>-53.854190000000003</v>
      </c>
      <c r="J2964">
        <v>-250.51079999999999</v>
      </c>
      <c r="K2964">
        <v>1.1100989999999999</v>
      </c>
      <c r="L2964">
        <v>-63.886809999999997</v>
      </c>
      <c r="M2964">
        <v>0.99951780000000001</v>
      </c>
      <c r="N2964">
        <v>0</v>
      </c>
      <c r="O2964">
        <v>2.8571579999999999E-2</v>
      </c>
      <c r="P2964">
        <v>0.98730479999999998</v>
      </c>
      <c r="Q2964">
        <v>0.13284070000000001</v>
      </c>
      <c r="R2964">
        <v>8.7078710000000004E-2</v>
      </c>
      <c r="S2964">
        <v>2.9823300000000001</v>
      </c>
      <c r="T2964">
        <v>-8.4721450000000004E-2</v>
      </c>
      <c r="U2964">
        <v>0.76599119999999998</v>
      </c>
      <c r="V2964">
        <v>-5.8828749999999999E-2</v>
      </c>
      <c r="W2964">
        <v>0.14486209999999999</v>
      </c>
      <c r="X2964">
        <v>0.98770139999999995</v>
      </c>
      <c r="Y2964">
        <v>-0.22091910000000001</v>
      </c>
      <c r="Z2964">
        <v>2.28941E-3</v>
      </c>
      <c r="AA2964">
        <v>0.97528950000000003</v>
      </c>
      <c r="AB2964">
        <v>29</v>
      </c>
      <c r="AC2964">
        <v>38.930599999999998</v>
      </c>
      <c r="AD2964">
        <v>-1.1101002478599999</v>
      </c>
      <c r="AE2964">
        <v>10.0326199999999</v>
      </c>
      <c r="AF2964">
        <v>-8.9093395719346304</v>
      </c>
      <c r="AG2964">
        <v>-1.1101002478599999</v>
      </c>
      <c r="AH2964">
        <v>39.171506476310199</v>
      </c>
      <c r="AI2964">
        <v>91.582893591788803</v>
      </c>
      <c r="AJ2964">
        <v>102.813618430858</v>
      </c>
      <c r="AK2964">
        <v>40.187256360592102</v>
      </c>
      <c r="AL2964">
        <v>81.670705814132404</v>
      </c>
      <c r="AM2964">
        <v>93.408582513254004</v>
      </c>
      <c r="AN2964">
        <v>0.999999952702465</v>
      </c>
    </row>
    <row r="2965" spans="1:40" x14ac:dyDescent="0.3">
      <c r="A2965" t="str">
        <f>"20200111150908876"</f>
        <v>20200111150908876</v>
      </c>
      <c r="B2965" t="str">
        <f>"1578726548866904"</f>
        <v>1578726548866904</v>
      </c>
      <c r="C2965" t="s">
        <v>40</v>
      </c>
      <c r="D2965">
        <v>4.7600309999999997</v>
      </c>
      <c r="E2965">
        <v>0.43825360000000002</v>
      </c>
      <c r="F2965" t="s">
        <v>89</v>
      </c>
      <c r="G2965">
        <v>-194.6859</v>
      </c>
      <c r="H2965" s="1">
        <v>-2.2874100000000002E-6</v>
      </c>
      <c r="I2965">
        <v>-49.770519999999998</v>
      </c>
      <c r="J2965">
        <v>-250.36850000000001</v>
      </c>
      <c r="K2965">
        <v>1.110098</v>
      </c>
      <c r="L2965">
        <v>-63.882750000000001</v>
      </c>
      <c r="M2965">
        <v>0.99951800000000002</v>
      </c>
      <c r="N2965">
        <v>0</v>
      </c>
      <c r="O2965">
        <v>2.8569549999999999E-2</v>
      </c>
      <c r="P2965">
        <v>0.98724529999999999</v>
      </c>
      <c r="Q2965">
        <v>0.13313699999999901</v>
      </c>
      <c r="R2965">
        <v>8.7299899999999903E-2</v>
      </c>
      <c r="S2965">
        <v>2.9801030000000002</v>
      </c>
      <c r="T2965">
        <v>-5.9260609999999998E-2</v>
      </c>
      <c r="U2965">
        <v>0.75357059999999998</v>
      </c>
      <c r="V2965">
        <v>-5.9052720000000003E-2</v>
      </c>
      <c r="W2965">
        <v>0.14515510000000001</v>
      </c>
      <c r="X2965">
        <v>0.98764510000000005</v>
      </c>
      <c r="Y2965">
        <v>-0.21731619999999999</v>
      </c>
      <c r="Z2965">
        <v>1.5682840000000001E-3</v>
      </c>
      <c r="AA2965">
        <v>0.97609999999999997</v>
      </c>
      <c r="AB2965">
        <v>29</v>
      </c>
      <c r="AC2965">
        <v>55.682600000000001</v>
      </c>
      <c r="AD2965">
        <v>-1.1101002874099899</v>
      </c>
      <c r="AE2965">
        <v>14.11223</v>
      </c>
      <c r="AF2965">
        <v>-12.510852081527201</v>
      </c>
      <c r="AG2965">
        <v>-1.1101002874099899</v>
      </c>
      <c r="AH2965">
        <v>56.042147471604402</v>
      </c>
      <c r="AI2965">
        <v>91.107529306453998</v>
      </c>
      <c r="AJ2965">
        <v>102.584368882147</v>
      </c>
      <c r="AK2965">
        <v>57.432360526823402</v>
      </c>
      <c r="AL2965">
        <v>81.653739508623801</v>
      </c>
      <c r="AM2965">
        <v>93.421723312390398</v>
      </c>
      <c r="AN2965">
        <v>1.0000000351747</v>
      </c>
    </row>
    <row r="2966" spans="1:40" x14ac:dyDescent="0.3">
      <c r="A2966" t="str">
        <f>"20200111150908888"</f>
        <v>20200111150908888</v>
      </c>
      <c r="B2966" t="str">
        <f>"1578726548876664"</f>
        <v>1578726548876664</v>
      </c>
      <c r="C2966" t="s">
        <v>40</v>
      </c>
      <c r="D2966">
        <v>4.7563040000000001</v>
      </c>
      <c r="E2966">
        <v>0.4394844</v>
      </c>
      <c r="F2966" t="s">
        <v>44</v>
      </c>
      <c r="G2966">
        <v>-155.0284</v>
      </c>
      <c r="H2966">
        <v>-0.05</v>
      </c>
      <c r="I2966">
        <v>-39.896149999999999</v>
      </c>
      <c r="J2966">
        <v>-250.22829999999999</v>
      </c>
      <c r="K2966">
        <v>1.110101</v>
      </c>
      <c r="L2966">
        <v>-63.878720000000001</v>
      </c>
      <c r="M2966">
        <v>0.99951809999999996</v>
      </c>
      <c r="N2966">
        <v>0</v>
      </c>
      <c r="O2966">
        <v>2.85674E-2</v>
      </c>
      <c r="P2966">
        <v>0.98718589999999995</v>
      </c>
      <c r="Q2966">
        <v>0.13343479999999999</v>
      </c>
      <c r="R2966">
        <v>8.7516789999999997E-2</v>
      </c>
      <c r="S2966">
        <v>2.9774020000000001</v>
      </c>
      <c r="T2966">
        <v>-3.6229009999999999E-2</v>
      </c>
      <c r="U2966">
        <v>0.74908450000000004</v>
      </c>
      <c r="V2966">
        <v>-5.9272890000000002E-2</v>
      </c>
      <c r="W2966">
        <v>0.14544949999999901</v>
      </c>
      <c r="X2966">
        <v>0.98758860000000004</v>
      </c>
      <c r="Y2966">
        <v>-0.2161679</v>
      </c>
      <c r="Z2966">
        <v>9.5299070000000004E-4</v>
      </c>
      <c r="AA2966">
        <v>0.97635570000000005</v>
      </c>
      <c r="AB2966">
        <v>29</v>
      </c>
      <c r="AC2966">
        <v>95.1999</v>
      </c>
      <c r="AD2966">
        <v>-1.160101</v>
      </c>
      <c r="AE2966">
        <v>23.982569999999999</v>
      </c>
      <c r="AF2966">
        <v>-21.2499990789251</v>
      </c>
      <c r="AG2966">
        <v>-1.160101</v>
      </c>
      <c r="AH2966">
        <v>95.832828706944895</v>
      </c>
      <c r="AI2966">
        <v>90.677113126333197</v>
      </c>
      <c r="AJ2966">
        <v>102.50249167777601</v>
      </c>
      <c r="AK2966">
        <v>98.167404738839707</v>
      </c>
      <c r="AL2966">
        <v>81.636690719091703</v>
      </c>
      <c r="AM2966">
        <v>93.434646274406902</v>
      </c>
      <c r="AN2966">
        <v>1.0000000376945799</v>
      </c>
    </row>
    <row r="2967" spans="1:40" x14ac:dyDescent="0.3">
      <c r="A2967" t="str">
        <f>"20200111150908899"</f>
        <v>20200111150908899</v>
      </c>
      <c r="B2967" t="str">
        <f>"1578726548897160"</f>
        <v>1578726548897160</v>
      </c>
      <c r="C2967" t="s">
        <v>40</v>
      </c>
      <c r="D2967">
        <v>5.2093669999999896</v>
      </c>
      <c r="E2967">
        <v>0.4399749</v>
      </c>
      <c r="F2967" t="s">
        <v>70</v>
      </c>
      <c r="G2967">
        <v>-157.3501</v>
      </c>
      <c r="H2967">
        <v>0.69033049999999996</v>
      </c>
      <c r="I2967">
        <v>-40.780500000000004</v>
      </c>
      <c r="J2967">
        <v>-250.08109999999999</v>
      </c>
      <c r="K2967">
        <v>1.110101</v>
      </c>
      <c r="L2967">
        <v>-63.874510000000001</v>
      </c>
      <c r="M2967">
        <v>0.99951809999999996</v>
      </c>
      <c r="N2967">
        <v>0</v>
      </c>
      <c r="O2967">
        <v>2.8565549999999999E-2</v>
      </c>
      <c r="P2967">
        <v>0.98716630000000005</v>
      </c>
      <c r="Q2967">
        <v>0.13347870000000001</v>
      </c>
      <c r="R2967">
        <v>8.7671379999999993E-2</v>
      </c>
      <c r="S2967">
        <v>2.9751430000000001</v>
      </c>
      <c r="T2967">
        <v>-1.344705E-2</v>
      </c>
      <c r="U2967">
        <v>0.73989869999999902</v>
      </c>
      <c r="V2967">
        <v>-5.9429820000000001E-2</v>
      </c>
      <c r="W2967">
        <v>0.1454906</v>
      </c>
      <c r="X2967">
        <v>0.98757309999999998</v>
      </c>
      <c r="Y2967">
        <v>-0.2135186</v>
      </c>
      <c r="Z2967">
        <v>3.4823100000000001E-4</v>
      </c>
      <c r="AA2967">
        <v>0.976939</v>
      </c>
      <c r="AB2967">
        <v>29</v>
      </c>
      <c r="AC2967">
        <v>92.730999999999995</v>
      </c>
      <c r="AD2967">
        <v>-0.41977049999999999</v>
      </c>
      <c r="AE2967">
        <v>23.094010000000001</v>
      </c>
      <c r="AF2967">
        <v>-20.435082648835699</v>
      </c>
      <c r="AG2967">
        <v>-0.41977049999999999</v>
      </c>
      <c r="AH2967">
        <v>93.351093467989998</v>
      </c>
      <c r="AI2967">
        <v>90.251679790913997</v>
      </c>
      <c r="AJ2967">
        <v>102.347598334003</v>
      </c>
      <c r="AK2967">
        <v>95.562521219392394</v>
      </c>
      <c r="AL2967">
        <v>81.634310420246706</v>
      </c>
      <c r="AM2967">
        <v>93.4437718550179</v>
      </c>
      <c r="AN2967">
        <v>1.0000000230185999</v>
      </c>
    </row>
    <row r="2968" spans="1:40" x14ac:dyDescent="0.3">
      <c r="A2968" t="str">
        <f>"20200111150909089"</f>
        <v>20200111150909089</v>
      </c>
      <c r="B2968" t="str">
        <f>"1578726549086504"</f>
        <v>1578726549086504</v>
      </c>
      <c r="C2968" t="s">
        <v>40</v>
      </c>
      <c r="D2968">
        <v>5.625489</v>
      </c>
      <c r="E2968">
        <v>0.43850289999999997</v>
      </c>
      <c r="F2968" t="s">
        <v>70</v>
      </c>
      <c r="G2968">
        <v>-157.3501</v>
      </c>
      <c r="H2968">
        <v>1.662239</v>
      </c>
      <c r="I2968">
        <v>-40.891629999999999</v>
      </c>
      <c r="J2968">
        <v>-247.59639999999999</v>
      </c>
      <c r="K2968">
        <v>1.1101190000000001</v>
      </c>
      <c r="L2968">
        <v>-63.803559999999997</v>
      </c>
      <c r="M2968">
        <v>0.99951889999999999</v>
      </c>
      <c r="N2968">
        <v>0</v>
      </c>
      <c r="O2968">
        <v>2.8559660000000001E-2</v>
      </c>
      <c r="P2968">
        <v>0.98683299999999996</v>
      </c>
      <c r="Q2968">
        <v>0.1357111</v>
      </c>
      <c r="R2968">
        <v>8.7996039999999998E-2</v>
      </c>
      <c r="S2968">
        <v>2.9711759999999998</v>
      </c>
      <c r="T2968">
        <v>1.7690299999999999E-2</v>
      </c>
      <c r="U2968">
        <v>0.73638919999999997</v>
      </c>
      <c r="V2968">
        <v>-5.9768590000000003E-2</v>
      </c>
      <c r="W2968">
        <v>0.14767640000000001</v>
      </c>
      <c r="X2968">
        <v>0.9872282</v>
      </c>
      <c r="Y2968">
        <v>-0.21274170000000001</v>
      </c>
      <c r="Z2968">
        <v>-4.565282E-4</v>
      </c>
      <c r="AA2968">
        <v>0.97710839999999999</v>
      </c>
      <c r="AB2968">
        <v>29</v>
      </c>
      <c r="AC2968">
        <v>90.246300000000005</v>
      </c>
      <c r="AD2968">
        <v>0.55211999999999894</v>
      </c>
      <c r="AE2968">
        <v>22.911930000000002</v>
      </c>
      <c r="AF2968">
        <v>-20.324275746268199</v>
      </c>
      <c r="AG2968">
        <v>0.55211999999999894</v>
      </c>
      <c r="AH2968">
        <v>90.860692131255206</v>
      </c>
      <c r="AI2968">
        <v>89.660239416863405</v>
      </c>
      <c r="AJ2968">
        <v>102.608711022701</v>
      </c>
      <c r="AK2968">
        <v>93.107713942913904</v>
      </c>
      <c r="AL2968">
        <v>81.507706061801699</v>
      </c>
      <c r="AM2968">
        <v>93.464561884549298</v>
      </c>
      <c r="AN2968">
        <v>1.00000006117139</v>
      </c>
    </row>
    <row r="2969" spans="1:40" x14ac:dyDescent="0.3">
      <c r="A2969" t="str">
        <f>"20200111150909234"</f>
        <v>20200111150909234</v>
      </c>
      <c r="B2969" t="str">
        <f>"1578726549227424"</f>
        <v>1578726549227424</v>
      </c>
      <c r="C2969" t="s">
        <v>40</v>
      </c>
      <c r="D2969">
        <v>5.1246179999999999</v>
      </c>
      <c r="E2969">
        <v>0.47525529999999999</v>
      </c>
      <c r="F2969" t="s">
        <v>70</v>
      </c>
      <c r="G2969">
        <v>-157.3501</v>
      </c>
      <c r="H2969">
        <v>1.04071</v>
      </c>
      <c r="I2969">
        <v>-41.053820000000002</v>
      </c>
      <c r="J2969">
        <v>-245.69059999999999</v>
      </c>
      <c r="K2969">
        <v>1.1101190000000001</v>
      </c>
      <c r="L2969">
        <v>-63.749110000000002</v>
      </c>
      <c r="M2969">
        <v>0.99951959999999995</v>
      </c>
      <c r="N2969">
        <v>0</v>
      </c>
      <c r="O2969">
        <v>2.8561050000000001E-2</v>
      </c>
      <c r="P2969">
        <v>0.98660800000000004</v>
      </c>
      <c r="Q2969">
        <v>0.13787550000000001</v>
      </c>
      <c r="R2969">
        <v>8.7148260000000005E-2</v>
      </c>
      <c r="S2969">
        <v>2.9734950000000002</v>
      </c>
      <c r="T2969">
        <v>-2.2876260000000001E-3</v>
      </c>
      <c r="U2969">
        <v>0.74957280000000004</v>
      </c>
      <c r="V2969">
        <v>-5.892592E-2</v>
      </c>
      <c r="W2969">
        <v>0.14977939999999901</v>
      </c>
      <c r="X2969">
        <v>0.98696200000000001</v>
      </c>
      <c r="Y2969">
        <v>-0.21664130000000001</v>
      </c>
      <c r="Z2969" s="1">
        <v>6.0436899999999997E-5</v>
      </c>
      <c r="AA2969">
        <v>0.97625130000000004</v>
      </c>
      <c r="AB2969">
        <v>29</v>
      </c>
      <c r="AC2969">
        <v>88.340499999999906</v>
      </c>
      <c r="AD2969">
        <v>-6.9408999999999998E-2</v>
      </c>
      <c r="AE2969">
        <v>22.69529</v>
      </c>
      <c r="AF2969">
        <v>-20.162738264157898</v>
      </c>
      <c r="AG2969">
        <v>-6.9408999999999998E-2</v>
      </c>
      <c r="AH2969">
        <v>88.952653017855297</v>
      </c>
      <c r="AI2969">
        <v>90.043601345326607</v>
      </c>
      <c r="AJ2969">
        <v>102.77132644344501</v>
      </c>
      <c r="AK2969">
        <v>91.2091843557061</v>
      </c>
      <c r="AL2969">
        <v>81.385857843366097</v>
      </c>
      <c r="AM2969">
        <v>93.416751059830801</v>
      </c>
      <c r="AN2969">
        <v>1.0000000610780999</v>
      </c>
    </row>
    <row r="2970" spans="1:40" x14ac:dyDescent="0.3">
      <c r="A2970" t="str">
        <f>"20200111150909245"</f>
        <v>20200111150909245</v>
      </c>
      <c r="B2970" t="str">
        <f>"1578726549237184"</f>
        <v>1578726549237184</v>
      </c>
      <c r="C2970" t="s">
        <v>40</v>
      </c>
      <c r="D2970">
        <v>5.1745669999999997</v>
      </c>
      <c r="E2970">
        <v>0.47910249999999999</v>
      </c>
      <c r="F2970" t="s">
        <v>41</v>
      </c>
      <c r="G2970">
        <v>-244.96199999999999</v>
      </c>
      <c r="H2970">
        <v>0.89104709999999998</v>
      </c>
      <c r="I2970">
        <v>-63.644710000000003</v>
      </c>
      <c r="J2970">
        <v>-245.54470000000001</v>
      </c>
      <c r="K2970">
        <v>1.1101209999999999</v>
      </c>
      <c r="L2970">
        <v>-63.744929999999997</v>
      </c>
      <c r="M2970">
        <v>0.99951959999999995</v>
      </c>
      <c r="N2970">
        <v>0</v>
      </c>
      <c r="O2970">
        <v>2.8561070000000001E-2</v>
      </c>
      <c r="P2970">
        <v>0.98655219999999999</v>
      </c>
      <c r="Q2970">
        <v>0.13829910000000001</v>
      </c>
      <c r="R2970">
        <v>8.7108279999999996E-2</v>
      </c>
      <c r="S2970">
        <v>3.1326290000000001</v>
      </c>
      <c r="T2970">
        <v>-0.94189199999999995</v>
      </c>
      <c r="U2970">
        <v>0.44943240000000001</v>
      </c>
      <c r="V2970">
        <v>-5.8887780000000001E-2</v>
      </c>
      <c r="W2970">
        <v>0.150199</v>
      </c>
      <c r="X2970">
        <v>0.98690040000000001</v>
      </c>
      <c r="Y2970">
        <v>-0.1101491</v>
      </c>
      <c r="Z2970">
        <v>7.7665669999999899E-3</v>
      </c>
      <c r="AA2970">
        <v>0.99388469999999995</v>
      </c>
      <c r="AB2970">
        <v>29</v>
      </c>
      <c r="AC2970">
        <v>0.58269999999998801</v>
      </c>
      <c r="AD2970">
        <v>-0.21907389999999999</v>
      </c>
      <c r="AE2970">
        <v>0.100220000000007</v>
      </c>
      <c r="AF2970">
        <v>-7.3451417271344105E-2</v>
      </c>
      <c r="AG2970">
        <v>-0.21907389999999999</v>
      </c>
      <c r="AH2970">
        <v>0.51466750712652398</v>
      </c>
      <c r="AI2970">
        <v>112.85013083002499</v>
      </c>
      <c r="AJ2970">
        <v>98.122191155124597</v>
      </c>
      <c r="AK2970">
        <v>0.56415523329329298</v>
      </c>
      <c r="AL2970">
        <v>81.361540535361698</v>
      </c>
      <c r="AM2970">
        <v>93.414757413920995</v>
      </c>
      <c r="AN2970">
        <v>0.99999995487724302</v>
      </c>
    </row>
    <row r="2971" spans="1:40" x14ac:dyDescent="0.3">
      <c r="A2971" t="str">
        <f>"20200111150909255"</f>
        <v>20200111150909255</v>
      </c>
      <c r="B2971" t="str">
        <f>"1578726549246944"</f>
        <v>1578726549246944</v>
      </c>
      <c r="C2971" t="s">
        <v>40</v>
      </c>
      <c r="D2971">
        <v>6.0437099999999999</v>
      </c>
      <c r="E2971">
        <v>0.47910249999999999</v>
      </c>
      <c r="F2971" t="s">
        <v>41</v>
      </c>
      <c r="G2971">
        <v>-244.7072</v>
      </c>
      <c r="H2971">
        <v>0.87364459999999999</v>
      </c>
      <c r="I2971">
        <v>-63.632820000000002</v>
      </c>
      <c r="J2971">
        <v>-245.40280000000001</v>
      </c>
      <c r="K2971">
        <v>1.1101240000000001</v>
      </c>
      <c r="L2971">
        <v>-63.740879999999997</v>
      </c>
      <c r="M2971">
        <v>0.99951950000000001</v>
      </c>
      <c r="N2971">
        <v>0</v>
      </c>
      <c r="O2971">
        <v>2.8561260000000002E-2</v>
      </c>
      <c r="P2971">
        <v>0.98649940000000003</v>
      </c>
      <c r="Q2971">
        <v>0.13865910000000001</v>
      </c>
      <c r="R2971">
        <v>8.7135589999999999E-2</v>
      </c>
      <c r="S2971">
        <v>3.1276860000000002</v>
      </c>
      <c r="T2971">
        <v>-0.88309059999999995</v>
      </c>
      <c r="U2971">
        <v>0.41894530000000002</v>
      </c>
      <c r="V2971">
        <v>-5.8917020000000001E-2</v>
      </c>
      <c r="W2971">
        <v>0.15055539999999901</v>
      </c>
      <c r="X2971">
        <v>0.98684439999999995</v>
      </c>
      <c r="Y2971">
        <v>-0.1015938</v>
      </c>
      <c r="Z2971">
        <v>6.1358430000000002E-3</v>
      </c>
      <c r="AA2971">
        <v>0.99480710000000006</v>
      </c>
      <c r="AB2971">
        <v>29</v>
      </c>
      <c r="AC2971">
        <v>0.69560000000001299</v>
      </c>
      <c r="AD2971">
        <v>-0.23647939999999901</v>
      </c>
      <c r="AE2971">
        <v>0.108060000000008</v>
      </c>
      <c r="AF2971">
        <v>-7.9208392551784301E-2</v>
      </c>
      <c r="AG2971">
        <v>-0.23647939999999901</v>
      </c>
      <c r="AH2971">
        <v>0.62757889858329596</v>
      </c>
      <c r="AI2971">
        <v>110.498074220053</v>
      </c>
      <c r="AJ2971">
        <v>97.1934166172434</v>
      </c>
      <c r="AK2971">
        <v>0.675316037142626</v>
      </c>
      <c r="AL2971">
        <v>81.3408858958785</v>
      </c>
      <c r="AM2971">
        <v>93.416642366712495</v>
      </c>
      <c r="AN2971">
        <v>1.0000000067631001</v>
      </c>
    </row>
    <row r="2972" spans="1:40" x14ac:dyDescent="0.3">
      <c r="A2972" t="str">
        <f>"20200111150909267"</f>
        <v>20200111150909267</v>
      </c>
      <c r="B2972" t="str">
        <f>"1578726549256704"</f>
        <v>1578726549256704</v>
      </c>
      <c r="C2972" t="s">
        <v>40</v>
      </c>
      <c r="D2972">
        <v>5.621791</v>
      </c>
      <c r="E2972">
        <v>0.5065518</v>
      </c>
      <c r="F2972" t="s">
        <v>41</v>
      </c>
      <c r="G2972">
        <v>-244.69220000000001</v>
      </c>
      <c r="H2972">
        <v>0.90978740000000002</v>
      </c>
      <c r="I2972">
        <v>-63.645690000000002</v>
      </c>
      <c r="J2972">
        <v>-245.25630000000001</v>
      </c>
      <c r="K2972">
        <v>1.1101259999999999</v>
      </c>
      <c r="L2972">
        <v>-63.736719999999998</v>
      </c>
      <c r="M2972">
        <v>0.99951959999999995</v>
      </c>
      <c r="N2972">
        <v>0</v>
      </c>
      <c r="O2972">
        <v>2.8561099999999999E-2</v>
      </c>
      <c r="P2972">
        <v>0.98644209999999999</v>
      </c>
      <c r="Q2972">
        <v>0.13909289999999999</v>
      </c>
      <c r="R2972">
        <v>8.709306E-2</v>
      </c>
      <c r="S2972">
        <v>3.1279750000000002</v>
      </c>
      <c r="T2972">
        <v>-0.88183519999999904</v>
      </c>
      <c r="U2972">
        <v>0.4193115</v>
      </c>
      <c r="V2972">
        <v>-5.8875459999999998E-2</v>
      </c>
      <c r="W2972">
        <v>0.1509857</v>
      </c>
      <c r="X2972">
        <v>0.98678109999999997</v>
      </c>
      <c r="Y2972">
        <v>-0.1017005</v>
      </c>
      <c r="Z2972">
        <v>6.1415999999999997E-3</v>
      </c>
      <c r="AA2972">
        <v>0.99479609999999996</v>
      </c>
      <c r="AB2972">
        <v>29</v>
      </c>
      <c r="AC2972">
        <v>0.56409999999999605</v>
      </c>
      <c r="AD2972">
        <v>-0.20033859999999901</v>
      </c>
      <c r="AE2972">
        <v>9.1029999999996405E-2</v>
      </c>
      <c r="AF2972">
        <v>-6.6683123078929193E-2</v>
      </c>
      <c r="AG2972">
        <v>-0.20033859999999901</v>
      </c>
      <c r="AH2972">
        <v>0.50445774262922605</v>
      </c>
      <c r="AI2972">
        <v>111.49013777602801</v>
      </c>
      <c r="AJ2972">
        <v>97.530141909622301</v>
      </c>
      <c r="AK2972">
        <v>0.54686360973472503</v>
      </c>
      <c r="AL2972">
        <v>81.315946114937503</v>
      </c>
      <c r="AM2972">
        <v>93.414456472616706</v>
      </c>
      <c r="AN2972">
        <v>0.999999970355955</v>
      </c>
    </row>
    <row r="2973" spans="1:40" x14ac:dyDescent="0.3">
      <c r="A2973" t="str">
        <f>"20200111150909279"</f>
        <v>20200111150909279</v>
      </c>
      <c r="B2973" t="str">
        <f>"1578726549267441"</f>
        <v>1578726549267441</v>
      </c>
      <c r="C2973" t="s">
        <v>40</v>
      </c>
      <c r="D2973">
        <v>5.5357339999999997</v>
      </c>
      <c r="E2973">
        <v>0.4998437</v>
      </c>
      <c r="F2973" t="s">
        <v>41</v>
      </c>
      <c r="G2973">
        <v>-244.387</v>
      </c>
      <c r="H2973">
        <v>1.0063550000000001</v>
      </c>
      <c r="I2973">
        <v>-63.678989999999999</v>
      </c>
      <c r="J2973">
        <v>-245.108</v>
      </c>
      <c r="K2973">
        <v>1.1101289999999999</v>
      </c>
      <c r="L2973">
        <v>-63.73245</v>
      </c>
      <c r="M2973">
        <v>0.99951970000000001</v>
      </c>
      <c r="N2973">
        <v>0</v>
      </c>
      <c r="O2973">
        <v>2.8561119999999999E-2</v>
      </c>
      <c r="P2973">
        <v>0.98641429999999997</v>
      </c>
      <c r="Q2973">
        <v>0.1393952</v>
      </c>
      <c r="R2973">
        <v>8.6927089999999999E-2</v>
      </c>
      <c r="S2973">
        <v>3.074875</v>
      </c>
      <c r="T2973">
        <v>-0.3669772</v>
      </c>
      <c r="U2973">
        <v>0.2050476</v>
      </c>
      <c r="V2973">
        <v>-5.8710890000000002E-2</v>
      </c>
      <c r="W2973">
        <v>0.15128459999999999</v>
      </c>
      <c r="X2973">
        <v>0.98674519999999999</v>
      </c>
      <c r="Y2973">
        <v>-3.794376E-2</v>
      </c>
      <c r="Z2973">
        <v>-1.1382429999999999E-3</v>
      </c>
      <c r="AA2973">
        <v>0.99927920000000003</v>
      </c>
      <c r="AB2973">
        <v>29</v>
      </c>
      <c r="AC2973">
        <v>0.72100000000000297</v>
      </c>
      <c r="AD2973">
        <v>-0.10377400000000001</v>
      </c>
      <c r="AE2973">
        <v>5.3460000000001097E-2</v>
      </c>
      <c r="AF2973">
        <v>-3.21811110725259E-2</v>
      </c>
      <c r="AG2973">
        <v>-0.10377400000000001</v>
      </c>
      <c r="AH2973">
        <v>0.70765320071678295</v>
      </c>
      <c r="AI2973">
        <v>98.334199724581197</v>
      </c>
      <c r="AJ2973">
        <v>92.603778750447603</v>
      </c>
      <c r="AK2973">
        <v>0.71594533273886896</v>
      </c>
      <c r="AL2973">
        <v>81.298622046800801</v>
      </c>
      <c r="AM2973">
        <v>93.405058381659401</v>
      </c>
      <c r="AN2973">
        <v>1.00000004426239</v>
      </c>
    </row>
    <row r="2974" spans="1:40" x14ac:dyDescent="0.3">
      <c r="A2974" t="str">
        <f>"20200111150909290"</f>
        <v>20200111150909290</v>
      </c>
      <c r="B2974" t="str">
        <f>"1578726549286961"</f>
        <v>1578726549286961</v>
      </c>
      <c r="C2974" t="s">
        <v>40</v>
      </c>
      <c r="D2974">
        <v>6.8770579999999999</v>
      </c>
      <c r="E2974">
        <v>0.45529120000000001</v>
      </c>
      <c r="F2974" t="s">
        <v>104</v>
      </c>
      <c r="G2974">
        <v>-234.5531</v>
      </c>
      <c r="H2974" s="1">
        <v>-1.594555E-6</v>
      </c>
      <c r="I2974">
        <v>-62.842199999999998</v>
      </c>
      <c r="J2974">
        <v>-244.9562</v>
      </c>
      <c r="K2974">
        <v>1.1101299999999901</v>
      </c>
      <c r="L2974">
        <v>-63.728119999999997</v>
      </c>
      <c r="M2974">
        <v>0.99951959999999995</v>
      </c>
      <c r="N2974">
        <v>0</v>
      </c>
      <c r="O2974">
        <v>2.8561139999999999E-2</v>
      </c>
      <c r="P2974">
        <v>0.98637269999999999</v>
      </c>
      <c r="Q2974">
        <v>0.13967260000000001</v>
      </c>
      <c r="R2974">
        <v>8.6952109999999999E-2</v>
      </c>
      <c r="S2974">
        <v>3.0641020000000001</v>
      </c>
      <c r="T2974">
        <v>-0.3222718</v>
      </c>
      <c r="U2974">
        <v>0.25842290000000001</v>
      </c>
      <c r="V2974">
        <v>-5.8736610000000002E-2</v>
      </c>
      <c r="W2974">
        <v>0.15155940000000001</v>
      </c>
      <c r="X2974">
        <v>0.98670139999999995</v>
      </c>
      <c r="Y2974">
        <v>-5.5397130000000003E-2</v>
      </c>
      <c r="Z2974" s="1">
        <v>-8.9328739999999993E-5</v>
      </c>
      <c r="AA2974">
        <v>0.99846440000000003</v>
      </c>
      <c r="AB2974">
        <v>29</v>
      </c>
      <c r="AC2974">
        <v>10.403099999999901</v>
      </c>
      <c r="AD2974">
        <v>-1.1101315945550001</v>
      </c>
      <c r="AE2974">
        <v>0.88591999999999804</v>
      </c>
      <c r="AF2974">
        <v>-0.58183475652637895</v>
      </c>
      <c r="AG2974">
        <v>-1.1101315945550001</v>
      </c>
      <c r="AH2974">
        <v>10.3076284651096</v>
      </c>
      <c r="AI2974">
        <v>96.137366271003899</v>
      </c>
      <c r="AJ2974">
        <v>93.230746731215604</v>
      </c>
      <c r="AK2974">
        <v>10.3835508577687</v>
      </c>
      <c r="AL2974">
        <v>81.282692643342301</v>
      </c>
      <c r="AM2974">
        <v>93.406697415251102</v>
      </c>
      <c r="AN2974">
        <v>0.99999994692230398</v>
      </c>
    </row>
    <row r="2975" spans="1:40" x14ac:dyDescent="0.3">
      <c r="A2975" t="str">
        <f>"20200111150909302"</f>
        <v>20200111150909302</v>
      </c>
      <c r="B2975" t="str">
        <f>"1578726549296720"</f>
        <v>1578726549296720</v>
      </c>
      <c r="C2975" t="s">
        <v>40</v>
      </c>
      <c r="D2975">
        <v>7.7342789999999901</v>
      </c>
      <c r="E2975">
        <v>0.44597110000000001</v>
      </c>
      <c r="F2975" t="s">
        <v>70</v>
      </c>
      <c r="G2975">
        <v>-157.3501</v>
      </c>
      <c r="H2975">
        <v>2.5048750000000002</v>
      </c>
      <c r="I2975">
        <v>-45.674529999999997</v>
      </c>
      <c r="J2975">
        <v>-244.8056</v>
      </c>
      <c r="K2975">
        <v>1.1101319999999999</v>
      </c>
      <c r="L2975">
        <v>-63.723820000000003</v>
      </c>
      <c r="M2975">
        <v>0.99951970000000001</v>
      </c>
      <c r="N2975">
        <v>0</v>
      </c>
      <c r="O2975">
        <v>2.856115E-2</v>
      </c>
      <c r="P2975">
        <v>0.98632940000000002</v>
      </c>
      <c r="Q2975">
        <v>0.13976729999999901</v>
      </c>
      <c r="R2975">
        <v>8.7287770000000001E-2</v>
      </c>
      <c r="S2975">
        <v>2.9805760000000001</v>
      </c>
      <c r="T2975">
        <v>4.7451970000000003E-2</v>
      </c>
      <c r="U2975">
        <v>0.61422730000000003</v>
      </c>
      <c r="V2975">
        <v>-5.9073569999999999E-2</v>
      </c>
      <c r="W2975">
        <v>0.15165129999999999</v>
      </c>
      <c r="X2975">
        <v>0.98666719999999997</v>
      </c>
      <c r="Y2975">
        <v>-0.1737602</v>
      </c>
      <c r="Z2975">
        <v>-9.190922E-4</v>
      </c>
      <c r="AA2975">
        <v>0.98478759999999999</v>
      </c>
      <c r="AB2975">
        <v>29</v>
      </c>
      <c r="AC2975">
        <v>87.455500000000001</v>
      </c>
      <c r="AD2975">
        <v>1.3947430000000001</v>
      </c>
      <c r="AE2975">
        <v>18.049289999999999</v>
      </c>
      <c r="AF2975">
        <v>-15.5401243737742</v>
      </c>
      <c r="AG2975">
        <v>1.3947430000000001</v>
      </c>
      <c r="AH2975">
        <v>87.913916368993696</v>
      </c>
      <c r="AI2975">
        <v>89.104959393645402</v>
      </c>
      <c r="AJ2975">
        <v>100.024351313374</v>
      </c>
      <c r="AK2975">
        <v>89.287722923831097</v>
      </c>
      <c r="AL2975">
        <v>81.277365907650207</v>
      </c>
      <c r="AM2975">
        <v>93.426312998439101</v>
      </c>
      <c r="AN2975">
        <v>0.99999998351003705</v>
      </c>
    </row>
    <row r="2976" spans="1:40" x14ac:dyDescent="0.3">
      <c r="A2976" t="str">
        <f>"20200111150909314"</f>
        <v>20200111150909314</v>
      </c>
      <c r="B2976" t="str">
        <f>"1578726549307456"</f>
        <v>1578726549307456</v>
      </c>
      <c r="C2976" t="s">
        <v>40</v>
      </c>
      <c r="D2976">
        <v>5.1296299999999997</v>
      </c>
      <c r="E2976">
        <v>0.4590844</v>
      </c>
      <c r="F2976" t="s">
        <v>70</v>
      </c>
      <c r="G2976">
        <v>-157.3501</v>
      </c>
      <c r="H2976">
        <v>3.866079</v>
      </c>
      <c r="I2976">
        <v>-43.403680000000001</v>
      </c>
      <c r="J2976">
        <v>-244.64750000000001</v>
      </c>
      <c r="K2976">
        <v>1.1101319999999999</v>
      </c>
      <c r="L2976">
        <v>-63.719329999999999</v>
      </c>
      <c r="M2976">
        <v>0.99951959999999995</v>
      </c>
      <c r="N2976">
        <v>0</v>
      </c>
      <c r="O2976">
        <v>2.8561340000000001E-2</v>
      </c>
      <c r="P2976">
        <v>0.98625870000000004</v>
      </c>
      <c r="Q2976">
        <v>0.14017279999999999</v>
      </c>
      <c r="R2976">
        <v>8.7436550000000002E-2</v>
      </c>
      <c r="S2976">
        <v>2.9673310000000002</v>
      </c>
      <c r="T2976">
        <v>9.3507409999999999E-2</v>
      </c>
      <c r="U2976">
        <v>0.68945310000000004</v>
      </c>
      <c r="V2976">
        <v>-5.9224190000000003E-2</v>
      </c>
      <c r="W2976">
        <v>0.15205379999999999</v>
      </c>
      <c r="X2976">
        <v>0.98659620000000003</v>
      </c>
      <c r="Y2976">
        <v>-0.1983248</v>
      </c>
      <c r="Z2976">
        <v>-2.1957859999999999E-3</v>
      </c>
      <c r="AA2976">
        <v>0.9801339</v>
      </c>
      <c r="AB2976">
        <v>29</v>
      </c>
      <c r="AC2976">
        <v>87.297399999999996</v>
      </c>
      <c r="AD2976">
        <v>2.7559469999999999</v>
      </c>
      <c r="AE2976">
        <v>20.315650000000002</v>
      </c>
      <c r="AF2976">
        <v>-17.797023575371501</v>
      </c>
      <c r="AG2976">
        <v>2.7559469999999999</v>
      </c>
      <c r="AH2976">
        <v>87.759094464366001</v>
      </c>
      <c r="AI2976">
        <v>88.237160539334397</v>
      </c>
      <c r="AJ2976">
        <v>101.463780377622</v>
      </c>
      <c r="AK2976">
        <v>89.587878383264894</v>
      </c>
      <c r="AL2976">
        <v>81.254033589980807</v>
      </c>
      <c r="AM2976">
        <v>93.435274792117696</v>
      </c>
      <c r="AN2976">
        <v>0.99999996231501698</v>
      </c>
    </row>
    <row r="2977" spans="1:40" x14ac:dyDescent="0.3">
      <c r="A2977" t="str">
        <f>"20200111150909325"</f>
        <v>20200111150909325</v>
      </c>
      <c r="B2977" t="str">
        <f>"1578726549317218"</f>
        <v>1578726549317218</v>
      </c>
      <c r="C2977" t="s">
        <v>40</v>
      </c>
      <c r="D2977">
        <v>5.1405010000000004</v>
      </c>
      <c r="E2977">
        <v>0.46561740000000001</v>
      </c>
      <c r="F2977" t="s">
        <v>70</v>
      </c>
      <c r="G2977">
        <v>-157.3501</v>
      </c>
      <c r="H2977">
        <v>3.1205949999999998</v>
      </c>
      <c r="I2977">
        <v>-46.567799999999998</v>
      </c>
      <c r="J2977">
        <v>-244.50229999999999</v>
      </c>
      <c r="K2977">
        <v>1.1101299999999901</v>
      </c>
      <c r="L2977">
        <v>-63.715150000000001</v>
      </c>
      <c r="M2977">
        <v>0.99951979999999996</v>
      </c>
      <c r="N2977">
        <v>0</v>
      </c>
      <c r="O2977">
        <v>2.8561179999999999E-2</v>
      </c>
      <c r="P2977">
        <v>0.98624129999999999</v>
      </c>
      <c r="Q2977">
        <v>0.14008660000000001</v>
      </c>
      <c r="R2977">
        <v>8.7772149999999993E-2</v>
      </c>
      <c r="S2977">
        <v>2.980118</v>
      </c>
      <c r="T2977">
        <v>6.8631529999999996E-2</v>
      </c>
      <c r="U2977">
        <v>0.58551030000000004</v>
      </c>
      <c r="V2977">
        <v>-5.9560439999999999E-2</v>
      </c>
      <c r="W2977">
        <v>0.15196570000000001</v>
      </c>
      <c r="X2977">
        <v>0.98658959999999996</v>
      </c>
      <c r="Y2977">
        <v>-0.16464579999999901</v>
      </c>
      <c r="Z2977">
        <v>-1.226712E-3</v>
      </c>
      <c r="AA2977">
        <v>0.98635200000000001</v>
      </c>
      <c r="AB2977">
        <v>29</v>
      </c>
      <c r="AC2977">
        <v>87.152199999999993</v>
      </c>
      <c r="AD2977">
        <v>2.0104649999999999</v>
      </c>
      <c r="AE2977">
        <v>17.147349999999999</v>
      </c>
      <c r="AF2977">
        <v>-14.6435020577337</v>
      </c>
      <c r="AG2977">
        <v>2.0104649999999999</v>
      </c>
      <c r="AH2977">
        <v>87.561565160875503</v>
      </c>
      <c r="AI2977">
        <v>88.702696498673305</v>
      </c>
      <c r="AJ2977">
        <v>99.494093779373003</v>
      </c>
      <c r="AK2977">
        <v>88.800348059302806</v>
      </c>
      <c r="AL2977">
        <v>81.259141289135997</v>
      </c>
      <c r="AM2977">
        <v>93.454754784108204</v>
      </c>
      <c r="AN2977">
        <v>1.00000002940882</v>
      </c>
    </row>
    <row r="2978" spans="1:40" x14ac:dyDescent="0.3">
      <c r="A2978" t="str">
        <f>"20200111150909334"</f>
        <v>20200111150909334</v>
      </c>
      <c r="B2978" t="str">
        <f>"1578726549326976"</f>
        <v>1578726549326976</v>
      </c>
      <c r="C2978" t="s">
        <v>40</v>
      </c>
      <c r="D2978">
        <v>5.1612179999999999</v>
      </c>
      <c r="E2978">
        <v>0.47280899999999998</v>
      </c>
      <c r="F2978" t="s">
        <v>70</v>
      </c>
      <c r="G2978">
        <v>-157.3501</v>
      </c>
      <c r="H2978">
        <v>3.845275</v>
      </c>
      <c r="I2978">
        <v>-48.080800000000004</v>
      </c>
      <c r="J2978">
        <v>-244.36269999999999</v>
      </c>
      <c r="K2978">
        <v>1.1101289999999999</v>
      </c>
      <c r="L2978">
        <v>-63.711150000000004</v>
      </c>
      <c r="M2978">
        <v>0.99951970000000001</v>
      </c>
      <c r="N2978">
        <v>0</v>
      </c>
      <c r="O2978">
        <v>2.8561369999999999E-2</v>
      </c>
      <c r="P2978">
        <v>0.98620810000000003</v>
      </c>
      <c r="Q2978">
        <v>0.1402098</v>
      </c>
      <c r="R2978">
        <v>8.7946849999999993E-2</v>
      </c>
      <c r="S2978">
        <v>2.980972</v>
      </c>
      <c r="T2978">
        <v>9.3552709999999997E-2</v>
      </c>
      <c r="U2978">
        <v>0.53475950000000005</v>
      </c>
      <c r="V2978">
        <v>-5.9735719999999999E-2</v>
      </c>
      <c r="W2978">
        <v>0.15208679999999999</v>
      </c>
      <c r="X2978">
        <v>0.98656029999999995</v>
      </c>
      <c r="Y2978">
        <v>-0.1483286</v>
      </c>
      <c r="Z2978">
        <v>-1.4200860000000001E-3</v>
      </c>
      <c r="AA2978">
        <v>0.98893710000000001</v>
      </c>
      <c r="AB2978">
        <v>29</v>
      </c>
      <c r="AC2978">
        <v>87.012599999999907</v>
      </c>
      <c r="AD2978">
        <v>2.7351459999999999</v>
      </c>
      <c r="AE2978">
        <v>15.63035</v>
      </c>
      <c r="AF2978">
        <v>-13.1260294688024</v>
      </c>
      <c r="AG2978">
        <v>2.7351459999999999</v>
      </c>
      <c r="AH2978">
        <v>87.339951672663503</v>
      </c>
      <c r="AI2978">
        <v>88.226212935742694</v>
      </c>
      <c r="AJ2978">
        <v>98.546827826998793</v>
      </c>
      <c r="AK2978">
        <v>88.363119181253296</v>
      </c>
      <c r="AL2978">
        <v>81.252120808986703</v>
      </c>
      <c r="AM2978">
        <v>93.464999678084595</v>
      </c>
      <c r="AN2978">
        <v>0.999999988257124</v>
      </c>
    </row>
    <row r="2979" spans="1:40" x14ac:dyDescent="0.3">
      <c r="A2979" t="str">
        <f>"20200111150909347"</f>
        <v>20200111150909347</v>
      </c>
      <c r="B2979" t="str">
        <f>"1578726549336736"</f>
        <v>1578726549336736</v>
      </c>
      <c r="C2979" t="s">
        <v>40</v>
      </c>
      <c r="D2979">
        <v>5.1975030000000002</v>
      </c>
      <c r="E2979">
        <v>0.4761476</v>
      </c>
      <c r="F2979" t="s">
        <v>70</v>
      </c>
      <c r="G2979">
        <v>-157.3501</v>
      </c>
      <c r="H2979">
        <v>5.20261</v>
      </c>
      <c r="I2979">
        <v>-49.739629999999998</v>
      </c>
      <c r="J2979">
        <v>-244.21520000000001</v>
      </c>
      <c r="K2979">
        <v>1.1101289999999999</v>
      </c>
      <c r="L2979">
        <v>-63.706940000000003</v>
      </c>
      <c r="M2979">
        <v>0.99951979999999996</v>
      </c>
      <c r="N2979">
        <v>0</v>
      </c>
      <c r="O2979">
        <v>2.8561380000000001E-2</v>
      </c>
      <c r="P2979">
        <v>0.98619190000000001</v>
      </c>
      <c r="Q2979">
        <v>0.14016519999999999</v>
      </c>
      <c r="R2979">
        <v>8.8200440000000005E-2</v>
      </c>
      <c r="S2979">
        <v>2.9793699999999999</v>
      </c>
      <c r="T2979">
        <v>0.14012849999999999</v>
      </c>
      <c r="U2979">
        <v>0.47839359999999997</v>
      </c>
      <c r="V2979">
        <v>-5.9989250000000001E-2</v>
      </c>
      <c r="W2979">
        <v>0.15204010000000001</v>
      </c>
      <c r="X2979">
        <v>0.98655210000000004</v>
      </c>
      <c r="Y2979">
        <v>-0.13016169999999999</v>
      </c>
      <c r="Z2979">
        <v>-1.7065610000000001E-3</v>
      </c>
      <c r="AA2979">
        <v>0.99149129999999996</v>
      </c>
      <c r="AB2979">
        <v>29</v>
      </c>
      <c r="AC2979">
        <v>86.865099999999998</v>
      </c>
      <c r="AD2979">
        <v>4.0924809999999896</v>
      </c>
      <c r="AE2979">
        <v>13.967309999999999</v>
      </c>
      <c r="AF2979">
        <v>-11.455658180708999</v>
      </c>
      <c r="AG2979">
        <v>4.0924809999999896</v>
      </c>
      <c r="AH2979">
        <v>87.040282878410693</v>
      </c>
      <c r="AI2979">
        <v>87.331018945440704</v>
      </c>
      <c r="AJ2979">
        <v>97.4977919541288</v>
      </c>
      <c r="AK2979">
        <v>87.886240951825698</v>
      </c>
      <c r="AL2979">
        <v>81.254827879571195</v>
      </c>
      <c r="AM2979">
        <v>93.479698602929304</v>
      </c>
      <c r="AN2979">
        <v>0.99999997406898999</v>
      </c>
    </row>
    <row r="2980" spans="1:40" x14ac:dyDescent="0.3">
      <c r="A2980" t="str">
        <f>"20200111150909357"</f>
        <v>20200111150909357</v>
      </c>
      <c r="B2980" t="str">
        <f>"1578726549347473"</f>
        <v>1578726549347473</v>
      </c>
      <c r="C2980" t="s">
        <v>40</v>
      </c>
      <c r="D2980">
        <v>5.5196149999999999</v>
      </c>
      <c r="E2980">
        <v>0.47872160000000002</v>
      </c>
      <c r="F2980" t="s">
        <v>70</v>
      </c>
      <c r="G2980">
        <v>-157.3501</v>
      </c>
      <c r="H2980">
        <v>3.3670870000000002</v>
      </c>
      <c r="I2980">
        <v>-50.56814</v>
      </c>
      <c r="J2980">
        <v>-244.07089999999999</v>
      </c>
      <c r="K2980">
        <v>1.1101319999999999</v>
      </c>
      <c r="L2980">
        <v>-63.702820000000003</v>
      </c>
      <c r="M2980">
        <v>0.99951990000000002</v>
      </c>
      <c r="N2980">
        <v>0</v>
      </c>
      <c r="O2980">
        <v>2.8561389999999999E-2</v>
      </c>
      <c r="P2980">
        <v>0.98617429999999995</v>
      </c>
      <c r="Q2980">
        <v>0.1401452</v>
      </c>
      <c r="R2980">
        <v>8.8429610000000006E-2</v>
      </c>
      <c r="S2980">
        <v>2.9905240000000002</v>
      </c>
      <c r="T2980">
        <v>7.7700019999999995E-2</v>
      </c>
      <c r="U2980">
        <v>0.4523315</v>
      </c>
      <c r="V2980">
        <v>-6.0219490000000001E-2</v>
      </c>
      <c r="W2980">
        <v>0.1520185</v>
      </c>
      <c r="X2980">
        <v>0.98654149999999996</v>
      </c>
      <c r="Y2980">
        <v>-0.1212201</v>
      </c>
      <c r="Z2980">
        <v>-8.2826199999999997E-4</v>
      </c>
      <c r="AA2980">
        <v>0.99262530000000004</v>
      </c>
      <c r="AB2980">
        <v>29</v>
      </c>
      <c r="AC2980">
        <v>86.720799999999997</v>
      </c>
      <c r="AD2980">
        <v>2.256955</v>
      </c>
      <c r="AE2980">
        <v>13.1346799999999</v>
      </c>
      <c r="AF2980">
        <v>-10.6452269759089</v>
      </c>
      <c r="AG2980">
        <v>2.256955</v>
      </c>
      <c r="AH2980">
        <v>87.002980016805395</v>
      </c>
      <c r="AI2980">
        <v>88.525011271818499</v>
      </c>
      <c r="AJ2980">
        <v>96.975737563667494</v>
      </c>
      <c r="AK2980">
        <v>87.680860140884107</v>
      </c>
      <c r="AL2980">
        <v>81.256080879956798</v>
      </c>
      <c r="AM2980">
        <v>93.493058193553296</v>
      </c>
      <c r="AN2980">
        <v>1.00000007127017</v>
      </c>
    </row>
    <row r="2981" spans="1:40" x14ac:dyDescent="0.3">
      <c r="A2981" t="str">
        <f>"20200111150909368"</f>
        <v>20200111150909368</v>
      </c>
      <c r="B2981" t="str">
        <f>"1578726549357232"</f>
        <v>1578726549357232</v>
      </c>
      <c r="C2981" t="s">
        <v>40</v>
      </c>
      <c r="D2981">
        <v>5.3528469999999997</v>
      </c>
      <c r="E2981">
        <v>0.48104429999999998</v>
      </c>
      <c r="F2981" t="s">
        <v>70</v>
      </c>
      <c r="G2981">
        <v>-157.3501</v>
      </c>
      <c r="H2981">
        <v>4.729749</v>
      </c>
      <c r="I2981">
        <v>-51.129480000000001</v>
      </c>
      <c r="J2981">
        <v>-243.93270000000001</v>
      </c>
      <c r="K2981">
        <v>1.1101319999999999</v>
      </c>
      <c r="L2981">
        <v>-63.698880000000003</v>
      </c>
      <c r="M2981">
        <v>0.99951979999999996</v>
      </c>
      <c r="N2981">
        <v>0</v>
      </c>
      <c r="O2981">
        <v>2.8561400000000001E-2</v>
      </c>
      <c r="P2981">
        <v>0.98618439999999996</v>
      </c>
      <c r="Q2981">
        <v>0.1400515</v>
      </c>
      <c r="R2981">
        <v>8.8463829999999993E-2</v>
      </c>
      <c r="S2981">
        <v>2.985535</v>
      </c>
      <c r="T2981">
        <v>0.1246116</v>
      </c>
      <c r="U2981">
        <v>0.4328613</v>
      </c>
      <c r="V2981">
        <v>-6.0253309999999997E-2</v>
      </c>
      <c r="W2981">
        <v>0.15192369999999999</v>
      </c>
      <c r="X2981">
        <v>0.98655400000000004</v>
      </c>
      <c r="Y2981">
        <v>-0.1150858</v>
      </c>
      <c r="Z2981">
        <v>-1.2034820000000001E-3</v>
      </c>
      <c r="AA2981">
        <v>0.99335479999999998</v>
      </c>
      <c r="AB2981">
        <v>29</v>
      </c>
      <c r="AC2981">
        <v>86.582599999999999</v>
      </c>
      <c r="AD2981">
        <v>3.6196169999999999</v>
      </c>
      <c r="AE2981">
        <v>12.5694</v>
      </c>
      <c r="AF2981">
        <v>-10.073929891534</v>
      </c>
      <c r="AG2981">
        <v>3.6196169999999999</v>
      </c>
      <c r="AH2981">
        <v>86.757802201695696</v>
      </c>
      <c r="AI2981">
        <v>87.626877984388301</v>
      </c>
      <c r="AJ2981">
        <v>96.623270417629001</v>
      </c>
      <c r="AK2981">
        <v>87.415684711353606</v>
      </c>
      <c r="AL2981">
        <v>81.261576016625497</v>
      </c>
      <c r="AM2981">
        <v>93.494970902904697</v>
      </c>
      <c r="AN2981">
        <v>1.00000003345182</v>
      </c>
    </row>
    <row r="2982" spans="1:40" x14ac:dyDescent="0.3">
      <c r="A2982" t="str">
        <f>"20200111150909381"</f>
        <v>20200111150909381</v>
      </c>
      <c r="B2982" t="str">
        <f>"1578726549376752"</f>
        <v>1578726549376752</v>
      </c>
      <c r="C2982" t="s">
        <v>40</v>
      </c>
      <c r="D2982">
        <v>5.1435060000000004</v>
      </c>
      <c r="E2982">
        <v>0.48287940000000001</v>
      </c>
      <c r="F2982" t="s">
        <v>70</v>
      </c>
      <c r="G2982">
        <v>-157.9383</v>
      </c>
      <c r="H2982">
        <v>3.3917959999999998</v>
      </c>
      <c r="I2982">
        <v>-51.798299999999998</v>
      </c>
      <c r="J2982">
        <v>-243.77699999999999</v>
      </c>
      <c r="K2982">
        <v>1.110133</v>
      </c>
      <c r="L2982">
        <v>-63.694429999999997</v>
      </c>
      <c r="M2982">
        <v>0.99951979999999996</v>
      </c>
      <c r="N2982">
        <v>0</v>
      </c>
      <c r="O2982">
        <v>2.8561590000000001E-2</v>
      </c>
      <c r="P2982">
        <v>0.98619259999999997</v>
      </c>
      <c r="Q2982">
        <v>0.13988800000000001</v>
      </c>
      <c r="R2982">
        <v>8.8632459999999996E-2</v>
      </c>
      <c r="S2982">
        <v>2.9935909999999999</v>
      </c>
      <c r="T2982">
        <v>7.9427239999999996E-2</v>
      </c>
      <c r="U2982">
        <v>0.41427609999999898</v>
      </c>
      <c r="V2982">
        <v>-6.0421379999999997E-2</v>
      </c>
      <c r="W2982">
        <v>0.15175920000000001</v>
      </c>
      <c r="X2982">
        <v>0.98656900000000003</v>
      </c>
      <c r="Y2982">
        <v>-0.1087037</v>
      </c>
      <c r="Z2982">
        <v>-6.8130739999999995E-4</v>
      </c>
      <c r="AA2982">
        <v>0.99407400000000001</v>
      </c>
      <c r="AB2982">
        <v>29</v>
      </c>
      <c r="AC2982">
        <v>85.838700000000003</v>
      </c>
      <c r="AD2982">
        <v>2.281663</v>
      </c>
      <c r="AE2982">
        <v>11.896129999999999</v>
      </c>
      <c r="AF2982">
        <v>-9.4328701889666995</v>
      </c>
      <c r="AG2982">
        <v>2.281663</v>
      </c>
      <c r="AH2982">
        <v>86.083797147571104</v>
      </c>
      <c r="AI2982">
        <v>88.490752610436303</v>
      </c>
      <c r="AJ2982">
        <v>96.253394399893097</v>
      </c>
      <c r="AK2982">
        <v>86.629124186913202</v>
      </c>
      <c r="AL2982">
        <v>81.271111400507195</v>
      </c>
      <c r="AM2982">
        <v>93.504642322090305</v>
      </c>
      <c r="AN2982">
        <v>0.99999999485337199</v>
      </c>
    </row>
    <row r="2983" spans="1:40" x14ac:dyDescent="0.3">
      <c r="A2983" t="str">
        <f>"20200111150909391"</f>
        <v>20200111150909391</v>
      </c>
      <c r="B2983" t="str">
        <f>"1578726549387489"</f>
        <v>1578726549387489</v>
      </c>
      <c r="C2983" t="s">
        <v>40</v>
      </c>
      <c r="D2983">
        <v>6.5384349999999998</v>
      </c>
      <c r="E2983">
        <v>0.48287940000000001</v>
      </c>
      <c r="F2983" t="s">
        <v>70</v>
      </c>
      <c r="G2983">
        <v>-157.9383</v>
      </c>
      <c r="H2983">
        <v>3.999838</v>
      </c>
      <c r="I2983">
        <v>-52.204700000000003</v>
      </c>
      <c r="J2983">
        <v>-243.6336</v>
      </c>
      <c r="K2983">
        <v>1.110136</v>
      </c>
      <c r="L2983">
        <v>-63.690339999999999</v>
      </c>
      <c r="M2983">
        <v>0.99951990000000002</v>
      </c>
      <c r="N2983">
        <v>0</v>
      </c>
      <c r="O2983">
        <v>2.8561590000000001E-2</v>
      </c>
      <c r="P2983">
        <v>0.9861472</v>
      </c>
      <c r="Q2983">
        <v>0.14001060000000001</v>
      </c>
      <c r="R2983">
        <v>8.8942080000000007E-2</v>
      </c>
      <c r="S2983">
        <v>2.9917449999999999</v>
      </c>
      <c r="T2983">
        <v>0.10071430000000001</v>
      </c>
      <c r="U2983">
        <v>0.40045170000000002</v>
      </c>
      <c r="V2983">
        <v>-6.0731670000000001E-2</v>
      </c>
      <c r="W2983">
        <v>0.15187989999999901</v>
      </c>
      <c r="X2983">
        <v>0.98653139999999995</v>
      </c>
      <c r="Y2983">
        <v>-0.1042616</v>
      </c>
      <c r="Z2983">
        <v>-7.9017669999999999E-4</v>
      </c>
      <c r="AA2983">
        <v>0.99454960000000003</v>
      </c>
      <c r="AB2983">
        <v>29</v>
      </c>
      <c r="AC2983">
        <v>85.695300000000003</v>
      </c>
      <c r="AD2983">
        <v>2.8897020000000002</v>
      </c>
      <c r="AE2983">
        <v>11.485639999999901</v>
      </c>
      <c r="AF2983">
        <v>-9.0231040983822801</v>
      </c>
      <c r="AG2983">
        <v>2.8897020000000002</v>
      </c>
      <c r="AH2983">
        <v>85.892462686529598</v>
      </c>
      <c r="AI2983">
        <v>88.083647523376399</v>
      </c>
      <c r="AJ2983">
        <v>95.996993051082001</v>
      </c>
      <c r="AK2983">
        <v>86.413436059306903</v>
      </c>
      <c r="AL2983">
        <v>81.264114930055101</v>
      </c>
      <c r="AM2983">
        <v>93.522728896842395</v>
      </c>
      <c r="AN2983">
        <v>1.0000000214754701</v>
      </c>
    </row>
    <row r="2984" spans="1:40" x14ac:dyDescent="0.3">
      <c r="A2984" t="str">
        <f>"20200111150909403"</f>
        <v>20200111150909403</v>
      </c>
      <c r="B2984" t="str">
        <f>"1578726549397248"</f>
        <v>1578726549397248</v>
      </c>
      <c r="C2984" t="s">
        <v>40</v>
      </c>
      <c r="D2984">
        <v>5.6488180000000003</v>
      </c>
      <c r="E2984">
        <v>0.48125810000000002</v>
      </c>
      <c r="F2984" t="s">
        <v>70</v>
      </c>
      <c r="G2984">
        <v>-157.9383</v>
      </c>
      <c r="H2984">
        <v>4.0058759999999998</v>
      </c>
      <c r="I2984">
        <v>-52.192999999999998</v>
      </c>
      <c r="J2984">
        <v>-243.4846</v>
      </c>
      <c r="K2984">
        <v>1.110133</v>
      </c>
      <c r="L2984">
        <v>-63.686070000000001</v>
      </c>
      <c r="M2984">
        <v>0.99951990000000002</v>
      </c>
      <c r="N2984">
        <v>0</v>
      </c>
      <c r="O2984">
        <v>2.8561610000000001E-2</v>
      </c>
      <c r="P2984">
        <v>0.98614420000000003</v>
      </c>
      <c r="Q2984">
        <v>0.14004949999999999</v>
      </c>
      <c r="R2984">
        <v>8.8915939999999999E-2</v>
      </c>
      <c r="S2984">
        <v>2.9915919999999998</v>
      </c>
      <c r="T2984">
        <v>0.10108839999999999</v>
      </c>
      <c r="U2984">
        <v>0.40136719999999998</v>
      </c>
      <c r="V2984">
        <v>-6.0705910000000002E-2</v>
      </c>
      <c r="W2984">
        <v>0.15191660000000001</v>
      </c>
      <c r="X2984">
        <v>0.9865273</v>
      </c>
      <c r="Y2984">
        <v>-0.1045668</v>
      </c>
      <c r="Z2984">
        <v>-7.9826569999999996E-4</v>
      </c>
      <c r="AA2984">
        <v>0.9945176</v>
      </c>
      <c r="AB2984">
        <v>29</v>
      </c>
      <c r="AC2984">
        <v>85.546300000000002</v>
      </c>
      <c r="AD2984">
        <v>2.8957429999999902</v>
      </c>
      <c r="AE2984">
        <v>11.4930699999999</v>
      </c>
      <c r="AF2984">
        <v>-9.0346956731179002</v>
      </c>
      <c r="AG2984">
        <v>2.8957429999999902</v>
      </c>
      <c r="AH2984">
        <v>85.743174606471101</v>
      </c>
      <c r="AI2984">
        <v>88.0763669239916</v>
      </c>
      <c r="AJ2984">
        <v>96.015019010965204</v>
      </c>
      <c r="AK2984">
        <v>86.266465356033294</v>
      </c>
      <c r="AL2984">
        <v>81.261987187090099</v>
      </c>
      <c r="AM2984">
        <v>93.521253050737698</v>
      </c>
      <c r="AN2984">
        <v>0.99999998725488803</v>
      </c>
    </row>
    <row r="2985" spans="1:40" x14ac:dyDescent="0.3">
      <c r="A2985" t="str">
        <f>"20200111150909413"</f>
        <v>20200111150909413</v>
      </c>
      <c r="B2985" t="str">
        <f>"1578726549407008"</f>
        <v>1578726549407008</v>
      </c>
      <c r="C2985" t="s">
        <v>40</v>
      </c>
      <c r="D2985">
        <v>7.8778679999999897</v>
      </c>
      <c r="E2985">
        <v>0.46983550000000002</v>
      </c>
      <c r="F2985" t="s">
        <v>70</v>
      </c>
      <c r="G2985">
        <v>-157.3501</v>
      </c>
      <c r="H2985">
        <v>28.746479999999998</v>
      </c>
      <c r="I2985">
        <v>-51.157389999999999</v>
      </c>
      <c r="J2985">
        <v>-243.3389</v>
      </c>
      <c r="K2985">
        <v>1.1101319999999999</v>
      </c>
      <c r="L2985">
        <v>-63.681919999999998</v>
      </c>
      <c r="M2985">
        <v>0.99951999999999996</v>
      </c>
      <c r="N2985">
        <v>0</v>
      </c>
      <c r="O2985">
        <v>2.8561630000000001E-2</v>
      </c>
      <c r="P2985">
        <v>0.98613050000000002</v>
      </c>
      <c r="Q2985">
        <v>0.14005310000000001</v>
      </c>
      <c r="R2985">
        <v>8.9061630000000003E-2</v>
      </c>
      <c r="S2985">
        <v>2.873535</v>
      </c>
      <c r="T2985">
        <v>0.92197510000000005</v>
      </c>
      <c r="U2985">
        <v>0.41796879999999997</v>
      </c>
      <c r="V2985">
        <v>-6.0851750000000003E-2</v>
      </c>
      <c r="W2985">
        <v>0.15191660000000001</v>
      </c>
      <c r="X2985">
        <v>0.98651829999999996</v>
      </c>
      <c r="Y2985">
        <v>-0.111536999999999</v>
      </c>
      <c r="Z2985">
        <v>-8.4788810000000006E-3</v>
      </c>
      <c r="AA2985">
        <v>0.9937241</v>
      </c>
      <c r="AB2985">
        <v>29</v>
      </c>
      <c r="AC2985">
        <v>85.988799999999998</v>
      </c>
      <c r="AD2985">
        <v>27.636348000000002</v>
      </c>
      <c r="AE2985">
        <v>12.52453</v>
      </c>
      <c r="AF2985">
        <v>-9.1388767710870003</v>
      </c>
      <c r="AG2985">
        <v>27.636348000000002</v>
      </c>
      <c r="AH2985">
        <v>78.383109338944806</v>
      </c>
      <c r="AI2985">
        <v>70.699332113069602</v>
      </c>
      <c r="AJ2985">
        <v>96.650228377970393</v>
      </c>
      <c r="AK2985">
        <v>83.613387857777894</v>
      </c>
      <c r="AL2985">
        <v>81.261987057454405</v>
      </c>
      <c r="AM2985">
        <v>93.529723274581102</v>
      </c>
      <c r="AN2985">
        <v>0.99999997253425499</v>
      </c>
    </row>
    <row r="2986" spans="1:40" x14ac:dyDescent="0.3">
      <c r="A2986" t="str">
        <f>"20200111150909425"</f>
        <v>20200111150909425</v>
      </c>
      <c r="B2986" t="str">
        <f>"1578726549416768"</f>
        <v>1578726549416768</v>
      </c>
      <c r="C2986" t="s">
        <v>40</v>
      </c>
      <c r="D2986">
        <v>4.7767030000000004</v>
      </c>
      <c r="E2986">
        <v>0.46983550000000002</v>
      </c>
      <c r="F2986" t="s">
        <v>70</v>
      </c>
      <c r="G2986">
        <v>-157.3501</v>
      </c>
      <c r="H2986">
        <v>29.437570000000001</v>
      </c>
      <c r="I2986">
        <v>-48.384120000000003</v>
      </c>
      <c r="J2986">
        <v>-243.19</v>
      </c>
      <c r="K2986">
        <v>1.110134</v>
      </c>
      <c r="L2986">
        <v>-63.677639999999997</v>
      </c>
      <c r="M2986">
        <v>0.99951999999999996</v>
      </c>
      <c r="N2986">
        <v>0</v>
      </c>
      <c r="O2986">
        <v>2.8561779999999998E-2</v>
      </c>
      <c r="P2986">
        <v>0.98615260000000005</v>
      </c>
      <c r="Q2986">
        <v>0.1397447</v>
      </c>
      <c r="R2986">
        <v>8.9301850000000002E-2</v>
      </c>
      <c r="S2986">
        <v>2.8623050000000001</v>
      </c>
      <c r="T2986">
        <v>0.94293260000000001</v>
      </c>
      <c r="U2986">
        <v>0.50921629999999996</v>
      </c>
      <c r="V2986">
        <v>-6.1091319999999998E-2</v>
      </c>
      <c r="W2986">
        <v>0.15160370000000001</v>
      </c>
      <c r="X2986">
        <v>0.98655159999999997</v>
      </c>
      <c r="Y2986">
        <v>-0.1411917</v>
      </c>
      <c r="Z2986">
        <v>-1.339925E-2</v>
      </c>
      <c r="AA2986">
        <v>0.98989159999999998</v>
      </c>
      <c r="AB2986">
        <v>29</v>
      </c>
      <c r="AC2986">
        <v>85.8399</v>
      </c>
      <c r="AD2986">
        <v>28.327435999999999</v>
      </c>
      <c r="AE2986">
        <v>15.293519999999999</v>
      </c>
      <c r="AF2986">
        <v>-11.609917213315001</v>
      </c>
      <c r="AG2986">
        <v>28.327435999999999</v>
      </c>
      <c r="AH2986">
        <v>78.007859554430098</v>
      </c>
      <c r="AI2986">
        <v>70.242753627643197</v>
      </c>
      <c r="AJ2986">
        <v>98.465198814936898</v>
      </c>
      <c r="AK2986">
        <v>83.800119094771006</v>
      </c>
      <c r="AL2986">
        <v>81.280124753903493</v>
      </c>
      <c r="AM2986">
        <v>93.543464956128105</v>
      </c>
      <c r="AN2986">
        <v>0.99999994534779402</v>
      </c>
    </row>
    <row r="2987" spans="1:40" x14ac:dyDescent="0.3">
      <c r="A2987" t="str">
        <f>"20200111150910943"</f>
        <v>20200111150910943</v>
      </c>
      <c r="B2987" t="str">
        <f>"1578726550937574"</f>
        <v>1578726550937574</v>
      </c>
      <c r="C2987" t="s">
        <v>40</v>
      </c>
      <c r="D2987">
        <v>5.8204050000000001</v>
      </c>
      <c r="E2987">
        <v>0.39071699999999998</v>
      </c>
      <c r="F2987" t="s">
        <v>70</v>
      </c>
      <c r="G2987">
        <v>-157.3501</v>
      </c>
      <c r="H2987">
        <v>29.360659999999999</v>
      </c>
      <c r="I2987">
        <v>-48.386940000000003</v>
      </c>
      <c r="J2987">
        <v>-223.22919999999999</v>
      </c>
      <c r="K2987">
        <v>1.110134</v>
      </c>
      <c r="L2987">
        <v>-63.116419999999998</v>
      </c>
      <c r="M2987">
        <v>0.99955280000000002</v>
      </c>
      <c r="N2987">
        <v>0</v>
      </c>
      <c r="O2987">
        <v>2.7338169999999998E-2</v>
      </c>
      <c r="P2987">
        <v>0.98501709999999998</v>
      </c>
      <c r="Q2987">
        <v>0.14187060000000001</v>
      </c>
      <c r="R2987">
        <v>9.8052340000000002E-2</v>
      </c>
      <c r="S2987">
        <v>2.8624420000000002</v>
      </c>
      <c r="T2987">
        <v>0.94204849999999996</v>
      </c>
      <c r="U2987">
        <v>0.50988770000000005</v>
      </c>
      <c r="V2987">
        <v>-7.107057E-2</v>
      </c>
      <c r="W2987">
        <v>0.1538332</v>
      </c>
      <c r="X2987">
        <v>0.98553760000000001</v>
      </c>
      <c r="Y2987">
        <v>-0.14250079999999901</v>
      </c>
      <c r="Z2987">
        <v>-1.398376E-2</v>
      </c>
      <c r="AA2987">
        <v>0.98969589999999996</v>
      </c>
      <c r="AB2987">
        <v>29</v>
      </c>
      <c r="AC2987">
        <v>65.879099999999994</v>
      </c>
      <c r="AD2987">
        <v>28.250526000000001</v>
      </c>
      <c r="AE2987">
        <v>14.729479999999899</v>
      </c>
      <c r="AF2987">
        <v>-10.996888397705201</v>
      </c>
      <c r="AG2987">
        <v>28.250526000000001</v>
      </c>
      <c r="AH2987">
        <v>56.382614888570103</v>
      </c>
      <c r="AI2987">
        <v>63.812793082071899</v>
      </c>
      <c r="AJ2987">
        <v>101.036439565153</v>
      </c>
      <c r="AK2987">
        <v>64.0158030128582</v>
      </c>
      <c r="AL2987">
        <v>81.150868224009002</v>
      </c>
      <c r="AM2987">
        <v>94.124659431957497</v>
      </c>
      <c r="AN2987">
        <v>1.0000000201780599</v>
      </c>
    </row>
    <row r="2988" spans="1:40" x14ac:dyDescent="0.3">
      <c r="A2988" t="str">
        <f>"20200111150910954"</f>
        <v>20200111150910954</v>
      </c>
      <c r="B2988" t="str">
        <f>"1578726550947334"</f>
        <v>1578726550947334</v>
      </c>
      <c r="C2988" t="s">
        <v>40</v>
      </c>
      <c r="D2988">
        <v>8.30454299999999</v>
      </c>
      <c r="E2988">
        <v>0.3928952</v>
      </c>
      <c r="F2988" t="s">
        <v>70</v>
      </c>
      <c r="G2988">
        <v>-166.45089999999999</v>
      </c>
      <c r="H2988">
        <v>1.6588050000000001</v>
      </c>
      <c r="I2988">
        <v>-40.619770000000003</v>
      </c>
      <c r="J2988">
        <v>-223.08340000000001</v>
      </c>
      <c r="K2988">
        <v>1.110133</v>
      </c>
      <c r="L2988">
        <v>-63.112430000000003</v>
      </c>
      <c r="M2988">
        <v>0.99955329999999998</v>
      </c>
      <c r="N2988">
        <v>0</v>
      </c>
      <c r="O2988">
        <v>2.7324339999999999E-2</v>
      </c>
      <c r="P2988">
        <v>0.98497860000000004</v>
      </c>
      <c r="Q2988">
        <v>0.1417167</v>
      </c>
      <c r="R2988">
        <v>9.8658609999999994E-2</v>
      </c>
      <c r="S2988">
        <v>2.9261469999999998</v>
      </c>
      <c r="T2988">
        <v>2.8275370000000001E-2</v>
      </c>
      <c r="U2988">
        <v>1.1593929999999999</v>
      </c>
      <c r="V2988">
        <v>-7.169122E-2</v>
      </c>
      <c r="W2988">
        <v>0.15367910000000001</v>
      </c>
      <c r="X2988">
        <v>0.98551670000000002</v>
      </c>
      <c r="Y2988">
        <v>-0.34280280000000002</v>
      </c>
      <c r="Z2988">
        <v>-1.3417940000000001E-3</v>
      </c>
      <c r="AA2988">
        <v>0.93940650000000003</v>
      </c>
      <c r="AB2988">
        <v>29</v>
      </c>
      <c r="AC2988">
        <v>56.6325</v>
      </c>
      <c r="AD2988">
        <v>0.54867199999999905</v>
      </c>
      <c r="AE2988">
        <v>22.492660000000001</v>
      </c>
      <c r="AF2988">
        <v>-20.935004074352499</v>
      </c>
      <c r="AG2988">
        <v>0.54867199999999905</v>
      </c>
      <c r="AH2988">
        <v>57.221354456332101</v>
      </c>
      <c r="AI2988">
        <v>89.484074397554394</v>
      </c>
      <c r="AJ2988">
        <v>110.09555104972701</v>
      </c>
      <c r="AK2988">
        <v>60.9332326598051</v>
      </c>
      <c r="AL2988">
        <v>81.159803857381306</v>
      </c>
      <c r="AM2988">
        <v>94.160641522856096</v>
      </c>
      <c r="AN2988">
        <v>1.0000000313903901</v>
      </c>
    </row>
    <row r="2989" spans="1:40" x14ac:dyDescent="0.3">
      <c r="A2989" t="str">
        <f>"20200111150910966"</f>
        <v>20200111150910966</v>
      </c>
      <c r="B2989" t="str">
        <f>"1578726550957095"</f>
        <v>1578726550957095</v>
      </c>
      <c r="C2989" t="s">
        <v>40</v>
      </c>
      <c r="D2989">
        <v>5.8021089999999997</v>
      </c>
      <c r="E2989">
        <v>0.3928952</v>
      </c>
      <c r="F2989" t="s">
        <v>70</v>
      </c>
      <c r="G2989">
        <v>-157.9383</v>
      </c>
      <c r="H2989">
        <v>0.93025210000000003</v>
      </c>
      <c r="I2989">
        <v>-37.703989999999997</v>
      </c>
      <c r="J2989">
        <v>-222.92859999999999</v>
      </c>
      <c r="K2989">
        <v>1.1101319999999999</v>
      </c>
      <c r="L2989">
        <v>-63.108220000000003</v>
      </c>
      <c r="M2989">
        <v>0.99955360000000004</v>
      </c>
      <c r="N2989">
        <v>0</v>
      </c>
      <c r="O2989">
        <v>2.7309739999999999E-2</v>
      </c>
      <c r="P2989">
        <v>0.98491079999999998</v>
      </c>
      <c r="Q2989">
        <v>0.141568</v>
      </c>
      <c r="R2989">
        <v>9.954578E-2</v>
      </c>
      <c r="S2989">
        <v>2.9323730000000001</v>
      </c>
      <c r="T2989">
        <v>-8.0978869999999998E-3</v>
      </c>
      <c r="U2989">
        <v>1.143707</v>
      </c>
      <c r="V2989">
        <v>-7.2594690000000003E-2</v>
      </c>
      <c r="W2989">
        <v>0.15352969999999999</v>
      </c>
      <c r="X2989">
        <v>0.98547379999999996</v>
      </c>
      <c r="Y2989">
        <v>-0.33778639999999999</v>
      </c>
      <c r="Z2989">
        <v>3.7724779999999999E-4</v>
      </c>
      <c r="AA2989">
        <v>0.94122269999999997</v>
      </c>
      <c r="AB2989">
        <v>29</v>
      </c>
      <c r="AC2989">
        <v>64.990299999999905</v>
      </c>
      <c r="AD2989">
        <v>-0.17987989999999901</v>
      </c>
      <c r="AE2989">
        <v>25.404229999999899</v>
      </c>
      <c r="AF2989">
        <v>-23.619597900207101</v>
      </c>
      <c r="AG2989">
        <v>-0.17987989999999901</v>
      </c>
      <c r="AH2989">
        <v>65.659453836470703</v>
      </c>
      <c r="AI2989">
        <v>90.147700587460804</v>
      </c>
      <c r="AJ2989">
        <v>109.78512036241899</v>
      </c>
      <c r="AK2989">
        <v>69.778805090439306</v>
      </c>
      <c r="AL2989">
        <v>81.168466232345907</v>
      </c>
      <c r="AM2989">
        <v>94.213070050371002</v>
      </c>
      <c r="AN2989">
        <v>0.99999998414236202</v>
      </c>
    </row>
    <row r="2990" spans="1:40" x14ac:dyDescent="0.3">
      <c r="A2990" t="str">
        <f>"20200111150910976"</f>
        <v>20200111150910976</v>
      </c>
      <c r="B2990" t="str">
        <f>"1578726550966855"</f>
        <v>1578726550966855</v>
      </c>
      <c r="C2990" t="s">
        <v>40</v>
      </c>
      <c r="D2990">
        <v>6.1185619999999998</v>
      </c>
      <c r="E2990">
        <v>0.3928952</v>
      </c>
      <c r="F2990" t="s">
        <v>70</v>
      </c>
      <c r="G2990">
        <v>-157.9383</v>
      </c>
      <c r="H2990">
        <v>0.92489149999999998</v>
      </c>
      <c r="I2990">
        <v>-37.689079999999997</v>
      </c>
      <c r="J2990">
        <v>-222.7903</v>
      </c>
      <c r="K2990">
        <v>1.1101299999999901</v>
      </c>
      <c r="L2990">
        <v>-63.104430000000001</v>
      </c>
      <c r="M2990">
        <v>0.9995539</v>
      </c>
      <c r="N2990">
        <v>0</v>
      </c>
      <c r="O2990">
        <v>2.7296750000000002E-2</v>
      </c>
      <c r="P2990">
        <v>0.98481070000000004</v>
      </c>
      <c r="Q2990">
        <v>0.14171839999999999</v>
      </c>
      <c r="R2990">
        <v>0.1003197</v>
      </c>
      <c r="S2990">
        <v>2.9312740000000002</v>
      </c>
      <c r="T2990">
        <v>-8.355856E-3</v>
      </c>
      <c r="U2990">
        <v>1.1464840000000001</v>
      </c>
      <c r="V2990">
        <v>-7.3383320000000002E-2</v>
      </c>
      <c r="W2990">
        <v>0.1536796</v>
      </c>
      <c r="X2990">
        <v>0.98539200000000005</v>
      </c>
      <c r="Y2990">
        <v>-0.33869139999999998</v>
      </c>
      <c r="Z2990">
        <v>3.906165E-4</v>
      </c>
      <c r="AA2990">
        <v>0.94089739999999999</v>
      </c>
      <c r="AB2990">
        <v>29</v>
      </c>
      <c r="AC2990">
        <v>64.852000000000004</v>
      </c>
      <c r="AD2990">
        <v>-0.185238499999999</v>
      </c>
      <c r="AE2990">
        <v>25.41535</v>
      </c>
      <c r="AF2990">
        <v>-23.635332177415801</v>
      </c>
      <c r="AG2990">
        <v>-0.185238499999999</v>
      </c>
      <c r="AH2990">
        <v>65.521174948332302</v>
      </c>
      <c r="AI2990">
        <v>90.152372988381103</v>
      </c>
      <c r="AJ2990">
        <v>109.835801102486</v>
      </c>
      <c r="AK2990">
        <v>69.654056644596395</v>
      </c>
      <c r="AL2990">
        <v>81.159774250195397</v>
      </c>
      <c r="AM2990">
        <v>94.259023335762905</v>
      </c>
      <c r="AN2990">
        <v>0.99999996238719002</v>
      </c>
    </row>
    <row r="2991" spans="1:40" x14ac:dyDescent="0.3">
      <c r="A2991" t="str">
        <f>"20200111150910988"</f>
        <v>20200111150910988</v>
      </c>
      <c r="B2991" t="str">
        <f>"1578726550976614"</f>
        <v>1578726550976614</v>
      </c>
      <c r="C2991" t="s">
        <v>40</v>
      </c>
      <c r="D2991">
        <v>6.574249</v>
      </c>
      <c r="E2991">
        <v>0.3928952</v>
      </c>
      <c r="F2991" t="s">
        <v>70</v>
      </c>
      <c r="G2991">
        <v>-157.9383</v>
      </c>
      <c r="H2991">
        <v>0.94910620000000001</v>
      </c>
      <c r="I2991">
        <v>-37.673259999999999</v>
      </c>
      <c r="J2991">
        <v>-222.64089999999999</v>
      </c>
      <c r="K2991">
        <v>1.110128</v>
      </c>
      <c r="L2991">
        <v>-63.100340000000003</v>
      </c>
      <c r="M2991">
        <v>0.99955419999999995</v>
      </c>
      <c r="N2991">
        <v>0</v>
      </c>
      <c r="O2991">
        <v>2.728262E-2</v>
      </c>
      <c r="P2991">
        <v>0.98479349999999999</v>
      </c>
      <c r="Q2991">
        <v>0.14146629999999999</v>
      </c>
      <c r="R2991">
        <v>0.10084129999999999</v>
      </c>
      <c r="S2991">
        <v>2.9302670000000002</v>
      </c>
      <c r="T2991">
        <v>-7.2765349999999998E-3</v>
      </c>
      <c r="U2991">
        <v>1.149078</v>
      </c>
      <c r="V2991">
        <v>-7.3919070000000003E-2</v>
      </c>
      <c r="W2991">
        <v>0.15342749999999999</v>
      </c>
      <c r="X2991">
        <v>0.98539129999999997</v>
      </c>
      <c r="Y2991">
        <v>-0.33953670000000002</v>
      </c>
      <c r="Z2991">
        <v>3.4126270000000002E-4</v>
      </c>
      <c r="AA2991">
        <v>0.94059280000000001</v>
      </c>
      <c r="AB2991">
        <v>29</v>
      </c>
      <c r="AC2991">
        <v>64.702599999999904</v>
      </c>
      <c r="AD2991">
        <v>-0.16102179999999999</v>
      </c>
      <c r="AE2991">
        <v>25.42708</v>
      </c>
      <c r="AF2991">
        <v>-23.652100480583599</v>
      </c>
      <c r="AG2991">
        <v>-0.16102179999999999</v>
      </c>
      <c r="AH2991">
        <v>65.371929230518404</v>
      </c>
      <c r="AI2991">
        <v>90.1327095372055</v>
      </c>
      <c r="AJ2991">
        <v>109.890539644987</v>
      </c>
      <c r="AK2991">
        <v>69.519327646947303</v>
      </c>
      <c r="AL2991">
        <v>81.174392393077895</v>
      </c>
      <c r="AM2991">
        <v>94.290004582350093</v>
      </c>
      <c r="AN2991">
        <v>1.0000000203907999</v>
      </c>
    </row>
    <row r="2992" spans="1:40" x14ac:dyDescent="0.3">
      <c r="A2992" t="str">
        <f>"20200111150911010"</f>
        <v>20200111150911010</v>
      </c>
      <c r="B2992" t="str">
        <f>"1578726551006873"</f>
        <v>1578726551006873</v>
      </c>
      <c r="C2992" t="s">
        <v>40</v>
      </c>
      <c r="D2992">
        <v>6.5049910000000004</v>
      </c>
      <c r="E2992">
        <v>0.3928952</v>
      </c>
      <c r="F2992" t="s">
        <v>70</v>
      </c>
      <c r="G2992">
        <v>-157.9383</v>
      </c>
      <c r="H2992">
        <v>0.95361229999999997</v>
      </c>
      <c r="I2992">
        <v>-37.676920000000003</v>
      </c>
      <c r="J2992">
        <v>-222.34540000000001</v>
      </c>
      <c r="K2992">
        <v>1.1101289999999999</v>
      </c>
      <c r="L2992">
        <v>-63.092320000000001</v>
      </c>
      <c r="M2992">
        <v>0.99955510000000003</v>
      </c>
      <c r="N2992">
        <v>0</v>
      </c>
      <c r="O2992">
        <v>2.7254670000000002E-2</v>
      </c>
      <c r="P2992">
        <v>0.98463990000000001</v>
      </c>
      <c r="Q2992">
        <v>0.14136550000000001</v>
      </c>
      <c r="R2992">
        <v>0.1024704</v>
      </c>
      <c r="S2992">
        <v>2.929459</v>
      </c>
      <c r="T2992">
        <v>-7.0872309999999899E-3</v>
      </c>
      <c r="U2992">
        <v>1.151062</v>
      </c>
      <c r="V2992">
        <v>-7.5579759999999996E-2</v>
      </c>
      <c r="W2992">
        <v>0.15332519999999999</v>
      </c>
      <c r="X2992">
        <v>0.98528119999999997</v>
      </c>
      <c r="Y2992">
        <v>-0.34020309999999998</v>
      </c>
      <c r="Z2992">
        <v>3.3327269999999998E-4</v>
      </c>
      <c r="AA2992">
        <v>0.94035190000000002</v>
      </c>
      <c r="AB2992">
        <v>29</v>
      </c>
      <c r="AC2992">
        <v>64.4071</v>
      </c>
      <c r="AD2992">
        <v>-0.15651670000000001</v>
      </c>
      <c r="AE2992">
        <v>25.415399999999899</v>
      </c>
      <c r="AF2992">
        <v>-23.650313412594699</v>
      </c>
      <c r="AG2992">
        <v>-0.15651670000000001</v>
      </c>
      <c r="AH2992">
        <v>65.075577357998199</v>
      </c>
      <c r="AI2992">
        <v>90.129516752605596</v>
      </c>
      <c r="AJ2992">
        <v>109.97258231781301</v>
      </c>
      <c r="AK2992">
        <v>69.240108249974199</v>
      </c>
      <c r="AL2992">
        <v>81.1803235756921</v>
      </c>
      <c r="AM2992">
        <v>94.386501452562598</v>
      </c>
      <c r="AN2992">
        <v>0.99999998007506796</v>
      </c>
    </row>
    <row r="2993" spans="1:40" x14ac:dyDescent="0.3">
      <c r="A2993" t="str">
        <f>"20200111150911053"</f>
        <v>20200111150911053</v>
      </c>
      <c r="B2993" t="str">
        <f>"1578726551046886"</f>
        <v>1578726551046886</v>
      </c>
      <c r="C2993" t="s">
        <v>40</v>
      </c>
      <c r="D2993">
        <v>6.3465590000000001</v>
      </c>
      <c r="E2993">
        <v>0.39495960000000002</v>
      </c>
      <c r="F2993" t="s">
        <v>70</v>
      </c>
      <c r="G2993">
        <v>-157.9383</v>
      </c>
      <c r="H2993">
        <v>0.94944379999999995</v>
      </c>
      <c r="I2993">
        <v>-37.658810000000003</v>
      </c>
      <c r="J2993">
        <v>-221.77330000000001</v>
      </c>
      <c r="K2993">
        <v>1.110128</v>
      </c>
      <c r="L2993">
        <v>-63.076749999999997</v>
      </c>
      <c r="M2993">
        <v>0.99955649999999996</v>
      </c>
      <c r="N2993">
        <v>0</v>
      </c>
      <c r="O2993">
        <v>2.7200490000000001E-2</v>
      </c>
      <c r="P2993">
        <v>0.9842436</v>
      </c>
      <c r="Q2993">
        <v>0.1412215</v>
      </c>
      <c r="R2993">
        <v>0.106402</v>
      </c>
      <c r="S2993">
        <v>2.927521</v>
      </c>
      <c r="T2993">
        <v>-7.3045489999999996E-3</v>
      </c>
      <c r="U2993">
        <v>1.1560360000000001</v>
      </c>
      <c r="V2993">
        <v>-7.9574439999999996E-2</v>
      </c>
      <c r="W2993">
        <v>0.15317819999999999</v>
      </c>
      <c r="X2993">
        <v>0.98498949999999996</v>
      </c>
      <c r="Y2993">
        <v>-0.3418485</v>
      </c>
      <c r="Z2993">
        <v>3.4570910000000001E-4</v>
      </c>
      <c r="AA2993">
        <v>0.93975500000000001</v>
      </c>
      <c r="AB2993">
        <v>29</v>
      </c>
      <c r="AC2993">
        <v>63.835000000000001</v>
      </c>
      <c r="AD2993">
        <v>-0.160684199999999</v>
      </c>
      <c r="AE2993">
        <v>25.417939999999899</v>
      </c>
      <c r="AF2993">
        <v>-23.671933611489099</v>
      </c>
      <c r="AG2993">
        <v>-0.160684199999999</v>
      </c>
      <c r="AH2993">
        <v>64.502455918640905</v>
      </c>
      <c r="AI2993">
        <v>90.133992768713895</v>
      </c>
      <c r="AJ2993">
        <v>110.152770668401</v>
      </c>
      <c r="AK2993">
        <v>68.709192105970004</v>
      </c>
      <c r="AL2993">
        <v>81.188846770918204</v>
      </c>
      <c r="AM2993">
        <v>94.618728864128201</v>
      </c>
      <c r="AN2993">
        <v>0.99999998378340105</v>
      </c>
    </row>
    <row r="2994" spans="1:40" x14ac:dyDescent="0.3">
      <c r="A2994" t="str">
        <f>"20200111150911066"</f>
        <v>20200111150911066</v>
      </c>
      <c r="B2994" t="str">
        <f>"1578726551056646"</f>
        <v>1578726551056646</v>
      </c>
      <c r="C2994" t="s">
        <v>40</v>
      </c>
      <c r="D2994">
        <v>5.1227019999999897</v>
      </c>
      <c r="E2994">
        <v>0.39349109999999998</v>
      </c>
      <c r="F2994" t="s">
        <v>89</v>
      </c>
      <c r="G2994">
        <v>-183.62530000000001</v>
      </c>
      <c r="H2994" s="1">
        <v>-3.4633689999999999E-6</v>
      </c>
      <c r="I2994">
        <v>-48.123809999999999</v>
      </c>
      <c r="J2994">
        <v>-221.61619999999999</v>
      </c>
      <c r="K2994">
        <v>1.1101259999999999</v>
      </c>
      <c r="L2994">
        <v>-63.072479999999999</v>
      </c>
      <c r="M2994">
        <v>0.99955689999999997</v>
      </c>
      <c r="N2994">
        <v>0</v>
      </c>
      <c r="O2994">
        <v>2.7185709999999998E-2</v>
      </c>
      <c r="P2994">
        <v>0.98420240000000003</v>
      </c>
      <c r="Q2994">
        <v>0.14069389999999901</v>
      </c>
      <c r="R2994">
        <v>0.1074744</v>
      </c>
      <c r="S2994">
        <v>2.9358979999999999</v>
      </c>
      <c r="T2994">
        <v>-8.543634E-2</v>
      </c>
      <c r="U2994">
        <v>1.150787</v>
      </c>
      <c r="V2994">
        <v>-8.0662250000000005E-2</v>
      </c>
      <c r="W2994">
        <v>0.15265090000000001</v>
      </c>
      <c r="X2994">
        <v>0.98498289999999999</v>
      </c>
      <c r="Y2994">
        <v>-0.33937590000000001</v>
      </c>
      <c r="Z2994">
        <v>3.9990219999999996E-3</v>
      </c>
      <c r="AA2994">
        <v>0.94064230000000004</v>
      </c>
      <c r="AB2994">
        <v>29</v>
      </c>
      <c r="AC2994">
        <v>37.990899999999897</v>
      </c>
      <c r="AD2994">
        <v>-1.110129463369</v>
      </c>
      <c r="AE2994">
        <v>14.94867</v>
      </c>
      <c r="AF2994">
        <v>-13.899981231797099</v>
      </c>
      <c r="AG2994">
        <v>-1.110129463369</v>
      </c>
      <c r="AH2994">
        <v>38.354917486830097</v>
      </c>
      <c r="AI2994">
        <v>91.558734317432197</v>
      </c>
      <c r="AJ2994">
        <v>109.92072649869399</v>
      </c>
      <c r="AK2994">
        <v>40.8110470472309</v>
      </c>
      <c r="AL2994">
        <v>81.219418560273198</v>
      </c>
      <c r="AM2994">
        <v>94.681620933090798</v>
      </c>
      <c r="AN2994">
        <v>1.00000000456914</v>
      </c>
    </row>
    <row r="2995" spans="1:40" x14ac:dyDescent="0.3">
      <c r="A2995" t="str">
        <f>"20200111150911076"</f>
        <v>20200111150911076</v>
      </c>
      <c r="B2995" t="str">
        <f>"1578726551067382"</f>
        <v>1578726551067382</v>
      </c>
      <c r="C2995" t="s">
        <v>40</v>
      </c>
      <c r="D2995">
        <v>7.8272320000000004</v>
      </c>
      <c r="E2995">
        <v>0.3863394</v>
      </c>
      <c r="F2995" t="s">
        <v>89</v>
      </c>
      <c r="G2995">
        <v>-184.88570000000001</v>
      </c>
      <c r="H2995" s="1">
        <v>-3.5340820000000001E-6</v>
      </c>
      <c r="I2995">
        <v>-48.477870000000003</v>
      </c>
      <c r="J2995">
        <v>-221.47989999999999</v>
      </c>
      <c r="K2995">
        <v>1.110123</v>
      </c>
      <c r="L2995">
        <v>-63.06879</v>
      </c>
      <c r="M2995">
        <v>0.99955729999999998</v>
      </c>
      <c r="N2995">
        <v>0</v>
      </c>
      <c r="O2995">
        <v>2.7172709999999999E-2</v>
      </c>
      <c r="P2995">
        <v>0.98415710000000001</v>
      </c>
      <c r="Q2995">
        <v>0.14022570000000001</v>
      </c>
      <c r="R2995">
        <v>0.1084977</v>
      </c>
      <c r="S2995">
        <v>2.9335330000000002</v>
      </c>
      <c r="T2995">
        <v>-8.8662030000000003E-2</v>
      </c>
      <c r="U2995">
        <v>1.165619</v>
      </c>
      <c r="V2995">
        <v>-8.1699099999999997E-2</v>
      </c>
      <c r="W2995">
        <v>0.1521824</v>
      </c>
      <c r="X2995">
        <v>0.98496989999999995</v>
      </c>
      <c r="Y2995">
        <v>-0.3437461</v>
      </c>
      <c r="Z2995">
        <v>4.2133459999999998E-3</v>
      </c>
      <c r="AA2995">
        <v>0.93905320000000003</v>
      </c>
      <c r="AB2995">
        <v>29</v>
      </c>
      <c r="AC2995">
        <v>36.594199999999901</v>
      </c>
      <c r="AD2995">
        <v>-1.1101265340819999</v>
      </c>
      <c r="AE2995">
        <v>14.590919999999899</v>
      </c>
      <c r="AF2995">
        <v>-13.5803115944663</v>
      </c>
      <c r="AG2995">
        <v>-1.1101265340819999</v>
      </c>
      <c r="AH2995">
        <v>36.947851464332899</v>
      </c>
      <c r="AI2995">
        <v>91.615379698667496</v>
      </c>
      <c r="AJ2995">
        <v>110.181079897731</v>
      </c>
      <c r="AK2995">
        <v>39.380210407701902</v>
      </c>
      <c r="AL2995">
        <v>81.246578616051096</v>
      </c>
      <c r="AM2995">
        <v>94.741589147855706</v>
      </c>
      <c r="AN2995">
        <v>0.99999996485828901</v>
      </c>
    </row>
    <row r="2996" spans="1:40" x14ac:dyDescent="0.3">
      <c r="A2996" t="str">
        <f>"20200111150911087"</f>
        <v>20200111150911087</v>
      </c>
      <c r="B2996" t="str">
        <f>"1578726551077143"</f>
        <v>1578726551077143</v>
      </c>
      <c r="C2996" t="s">
        <v>40</v>
      </c>
      <c r="D2996">
        <v>4.7675970000000003</v>
      </c>
      <c r="E2996">
        <v>0.38664520000000002</v>
      </c>
      <c r="F2996" t="s">
        <v>89</v>
      </c>
      <c r="G2996">
        <v>-179.26060000000001</v>
      </c>
      <c r="H2996">
        <v>7.9986589999999996E-2</v>
      </c>
      <c r="I2996">
        <v>-45.372410000000002</v>
      </c>
      <c r="J2996">
        <v>-221.33590000000001</v>
      </c>
      <c r="K2996">
        <v>1.1101190000000001</v>
      </c>
      <c r="L2996">
        <v>-63.064880000000002</v>
      </c>
      <c r="M2996">
        <v>0.99955769999999999</v>
      </c>
      <c r="N2996">
        <v>0</v>
      </c>
      <c r="O2996">
        <v>2.7159240000000001E-2</v>
      </c>
      <c r="P2996">
        <v>0.98411630000000005</v>
      </c>
      <c r="Q2996">
        <v>0.1397236</v>
      </c>
      <c r="R2996">
        <v>0.1095101</v>
      </c>
      <c r="S2996">
        <v>2.9233699999999998</v>
      </c>
      <c r="T2996">
        <v>-7.1329240000000002E-2</v>
      </c>
      <c r="U2996">
        <v>1.2253419999999999</v>
      </c>
      <c r="V2996">
        <v>-8.2725649999999998E-2</v>
      </c>
      <c r="W2996">
        <v>0.15168000000000001</v>
      </c>
      <c r="X2996">
        <v>0.98496170000000005</v>
      </c>
      <c r="Y2996">
        <v>-0.36129230000000001</v>
      </c>
      <c r="Z2996">
        <v>3.5939769999999999E-3</v>
      </c>
      <c r="AA2996">
        <v>0.93244570000000004</v>
      </c>
      <c r="AB2996">
        <v>29</v>
      </c>
      <c r="AC2996">
        <v>42.075299999999999</v>
      </c>
      <c r="AD2996">
        <v>-1.03013241</v>
      </c>
      <c r="AE2996">
        <v>17.69247</v>
      </c>
      <c r="AF2996">
        <v>-16.534703514633399</v>
      </c>
      <c r="AG2996">
        <v>-1.03013241</v>
      </c>
      <c r="AH2996">
        <v>42.518669068529398</v>
      </c>
      <c r="AI2996">
        <v>91.293544784247899</v>
      </c>
      <c r="AJ2996">
        <v>111.250114017835</v>
      </c>
      <c r="AK2996">
        <v>45.632168614455303</v>
      </c>
      <c r="AL2996">
        <v>81.275702005487105</v>
      </c>
      <c r="AM2996">
        <v>94.800930285449297</v>
      </c>
      <c r="AN2996">
        <v>0.99999995301740496</v>
      </c>
    </row>
    <row r="2997" spans="1:40" x14ac:dyDescent="0.3">
      <c r="A2997" t="str">
        <f>"20200111150911099"</f>
        <v>20200111150911099</v>
      </c>
      <c r="B2997" t="str">
        <f>"1578726551086902"</f>
        <v>1578726551086902</v>
      </c>
      <c r="C2997" t="s">
        <v>40</v>
      </c>
      <c r="D2997">
        <v>7.8601679999999901</v>
      </c>
      <c r="E2997">
        <v>0.38079380000000002</v>
      </c>
      <c r="F2997" t="s">
        <v>44</v>
      </c>
      <c r="G2997">
        <v>-166.3605</v>
      </c>
      <c r="H2997">
        <v>-0.05</v>
      </c>
      <c r="I2997">
        <v>-39.991379999999999</v>
      </c>
      <c r="J2997">
        <v>-221.185</v>
      </c>
      <c r="K2997">
        <v>1.110115</v>
      </c>
      <c r="L2997">
        <v>-63.060760000000002</v>
      </c>
      <c r="M2997">
        <v>0.99955819999999995</v>
      </c>
      <c r="N2997">
        <v>0</v>
      </c>
      <c r="O2997">
        <v>2.7145119999999998E-2</v>
      </c>
      <c r="P2997">
        <v>0.98409250000000004</v>
      </c>
      <c r="Q2997">
        <v>0.1391946</v>
      </c>
      <c r="R2997">
        <v>0.1103958</v>
      </c>
      <c r="S2997">
        <v>2.9207610000000002</v>
      </c>
      <c r="T2997">
        <v>-6.1635379999999997E-2</v>
      </c>
      <c r="U2997">
        <v>1.2258610000000001</v>
      </c>
      <c r="V2997">
        <v>-8.36253E-2</v>
      </c>
      <c r="W2997">
        <v>0.15115120000000001</v>
      </c>
      <c r="X2997">
        <v>0.98496709999999998</v>
      </c>
      <c r="Y2997">
        <v>-0.36176439999999999</v>
      </c>
      <c r="Z2997">
        <v>3.1131679999999999E-3</v>
      </c>
      <c r="AA2997">
        <v>0.93226439999999999</v>
      </c>
      <c r="AB2997">
        <v>29</v>
      </c>
      <c r="AC2997">
        <v>54.8245</v>
      </c>
      <c r="AD2997">
        <v>-1.160115</v>
      </c>
      <c r="AE2997">
        <v>23.069379999999899</v>
      </c>
      <c r="AF2997">
        <v>-21.564347744355899</v>
      </c>
      <c r="AG2997">
        <v>-1.160115</v>
      </c>
      <c r="AH2997">
        <v>55.4094829586058</v>
      </c>
      <c r="AI2997">
        <v>91.117788450805705</v>
      </c>
      <c r="AJ2997">
        <v>111.26506886942001</v>
      </c>
      <c r="AK2997">
        <v>59.469132852201298</v>
      </c>
      <c r="AL2997">
        <v>81.306354113131604</v>
      </c>
      <c r="AM2997">
        <v>94.852866406522097</v>
      </c>
      <c r="AN2997">
        <v>1.00000003207196</v>
      </c>
    </row>
    <row r="2998" spans="1:40" x14ac:dyDescent="0.3">
      <c r="A2998" t="str">
        <f>"20200111150911110"</f>
        <v>20200111150911110</v>
      </c>
      <c r="B2998" t="str">
        <f>"1578726551107399"</f>
        <v>1578726551107399</v>
      </c>
      <c r="C2998" t="s">
        <v>40</v>
      </c>
      <c r="D2998">
        <v>4.8057930000000004</v>
      </c>
      <c r="E2998">
        <v>0.38293470000000002</v>
      </c>
      <c r="F2998" t="s">
        <v>70</v>
      </c>
      <c r="G2998">
        <v>-168.45060000000001</v>
      </c>
      <c r="H2998">
        <v>0.2729607</v>
      </c>
      <c r="I2998">
        <v>-39.974899999999998</v>
      </c>
      <c r="J2998">
        <v>-221.0419</v>
      </c>
      <c r="K2998">
        <v>1.1101110000000001</v>
      </c>
      <c r="L2998">
        <v>-63.05688</v>
      </c>
      <c r="M2998">
        <v>0.99955830000000001</v>
      </c>
      <c r="N2998">
        <v>0</v>
      </c>
      <c r="O2998">
        <v>2.7135309999999999E-2</v>
      </c>
      <c r="P2998">
        <v>0.98403560000000001</v>
      </c>
      <c r="Q2998">
        <v>0.13884920000000001</v>
      </c>
      <c r="R2998">
        <v>0.1113323</v>
      </c>
      <c r="S2998">
        <v>2.9120180000000002</v>
      </c>
      <c r="T2998">
        <v>-4.6229119999999999E-2</v>
      </c>
      <c r="U2998">
        <v>1.2748109999999999</v>
      </c>
      <c r="V2998">
        <v>-8.4573830000000003E-2</v>
      </c>
      <c r="W2998">
        <v>0.1508052</v>
      </c>
      <c r="X2998">
        <v>0.98493909999999996</v>
      </c>
      <c r="Y2998">
        <v>-0.37598690000000001</v>
      </c>
      <c r="Z2998">
        <v>2.442259E-3</v>
      </c>
      <c r="AA2998">
        <v>0.92662180000000005</v>
      </c>
      <c r="AB2998">
        <v>29</v>
      </c>
      <c r="AC2998">
        <v>52.591299999999897</v>
      </c>
      <c r="AD2998">
        <v>-0.83715030000000001</v>
      </c>
      <c r="AE2998">
        <v>23.081980000000001</v>
      </c>
      <c r="AF2998">
        <v>-21.6416952577122</v>
      </c>
      <c r="AG2998">
        <v>-0.83715030000000001</v>
      </c>
      <c r="AH2998">
        <v>53.187014092658501</v>
      </c>
      <c r="AI2998">
        <v>90.835259156277701</v>
      </c>
      <c r="AJ2998">
        <v>112.141314486452</v>
      </c>
      <c r="AK2998">
        <v>57.427539232890098</v>
      </c>
      <c r="AL2998">
        <v>81.326407928291403</v>
      </c>
      <c r="AM2998">
        <v>94.907782121979295</v>
      </c>
      <c r="AN2998">
        <v>0.99999998588835903</v>
      </c>
    </row>
    <row r="2999" spans="1:40" x14ac:dyDescent="0.3">
      <c r="A2999" t="str">
        <f>"20200111150911123"</f>
        <v>20200111150911123</v>
      </c>
      <c r="B2999" t="str">
        <f>"1578726551117158"</f>
        <v>1578726551117158</v>
      </c>
      <c r="C2999" t="s">
        <v>40</v>
      </c>
      <c r="D2999">
        <v>7.9040910000000002</v>
      </c>
      <c r="E2999">
        <v>0.37876739999999998</v>
      </c>
      <c r="F2999" t="s">
        <v>70</v>
      </c>
      <c r="G2999">
        <v>-168.45060000000001</v>
      </c>
      <c r="H2999">
        <v>0.47219179999999999</v>
      </c>
      <c r="I2999">
        <v>-40.286270000000002</v>
      </c>
      <c r="J2999">
        <v>-220.88220000000001</v>
      </c>
      <c r="K2999">
        <v>1.1101030000000001</v>
      </c>
      <c r="L2999">
        <v>-63.052579999999999</v>
      </c>
      <c r="M2999">
        <v>0.99955850000000002</v>
      </c>
      <c r="N2999">
        <v>0</v>
      </c>
      <c r="O2999">
        <v>2.712521E-2</v>
      </c>
      <c r="P2999">
        <v>0.98403130000000005</v>
      </c>
      <c r="Q2999">
        <v>0.13811950000000001</v>
      </c>
      <c r="R2999">
        <v>0.112273</v>
      </c>
      <c r="S2999">
        <v>2.911057</v>
      </c>
      <c r="T2999">
        <v>-3.5311460000000003E-2</v>
      </c>
      <c r="U2999">
        <v>1.2604059999999999</v>
      </c>
      <c r="V2999">
        <v>-8.5525039999999997E-2</v>
      </c>
      <c r="W2999">
        <v>0.1500755</v>
      </c>
      <c r="X2999">
        <v>0.98496839999999997</v>
      </c>
      <c r="Y2999">
        <v>-0.37226680000000001</v>
      </c>
      <c r="Z2999">
        <v>1.8463749999999999E-3</v>
      </c>
      <c r="AA2999">
        <v>0.9281239</v>
      </c>
      <c r="AB2999">
        <v>29</v>
      </c>
      <c r="AC2999">
        <v>52.431600000000003</v>
      </c>
      <c r="AD2999">
        <v>-0.63791120000000001</v>
      </c>
      <c r="AE2999">
        <v>22.766310000000001</v>
      </c>
      <c r="AF2999">
        <v>-21.3329521568206</v>
      </c>
      <c r="AG2999">
        <v>-0.63791120000000001</v>
      </c>
      <c r="AH2999">
        <v>53.023287265778102</v>
      </c>
      <c r="AI2999">
        <v>90.639468640404104</v>
      </c>
      <c r="AJ2999">
        <v>111.91648891397899</v>
      </c>
      <c r="AK2999">
        <v>57.157420960829803</v>
      </c>
      <c r="AL2999">
        <v>81.368697808835094</v>
      </c>
      <c r="AM2999">
        <v>94.962559390662193</v>
      </c>
      <c r="AN2999">
        <v>0.99999996858290496</v>
      </c>
    </row>
    <row r="3000" spans="1:40" x14ac:dyDescent="0.3">
      <c r="A3000" t="str">
        <f>"20200111150911133"</f>
        <v>20200111150911133</v>
      </c>
      <c r="B3000" t="str">
        <f>"1578726551126919"</f>
        <v>1578726551126919</v>
      </c>
      <c r="C3000" t="s">
        <v>40</v>
      </c>
      <c r="D3000">
        <v>5.2800510000000003</v>
      </c>
      <c r="E3000">
        <v>0.37911329999999999</v>
      </c>
      <c r="F3000" t="s">
        <v>70</v>
      </c>
      <c r="G3000">
        <v>-168.45060000000001</v>
      </c>
      <c r="H3000">
        <v>0.68403910000000001</v>
      </c>
      <c r="I3000">
        <v>-39.652639999999998</v>
      </c>
      <c r="J3000">
        <v>-220.73670000000001</v>
      </c>
      <c r="K3000">
        <v>1.110101</v>
      </c>
      <c r="L3000">
        <v>-63.048609999999996</v>
      </c>
      <c r="M3000">
        <v>0.99955879999999997</v>
      </c>
      <c r="N3000">
        <v>0</v>
      </c>
      <c r="O3000">
        <v>2.7118639999999999E-2</v>
      </c>
      <c r="P3000">
        <v>0.98400589999999999</v>
      </c>
      <c r="Q3000">
        <v>0.13770370000000001</v>
      </c>
      <c r="R3000">
        <v>0.11300590000000001</v>
      </c>
      <c r="S3000">
        <v>2.904099</v>
      </c>
      <c r="T3000">
        <v>-2.3600099999999999E-2</v>
      </c>
      <c r="U3000">
        <v>1.296082</v>
      </c>
      <c r="V3000">
        <v>-8.6266040000000002E-2</v>
      </c>
      <c r="W3000">
        <v>0.14965870000000001</v>
      </c>
      <c r="X3000">
        <v>0.98496719999999904</v>
      </c>
      <c r="Y3000">
        <v>-0.38262259999999998</v>
      </c>
      <c r="Z3000">
        <v>1.274049E-3</v>
      </c>
      <c r="AA3000">
        <v>0.9239039</v>
      </c>
      <c r="AB3000">
        <v>29</v>
      </c>
      <c r="AC3000">
        <v>52.286099999999998</v>
      </c>
      <c r="AD3000">
        <v>-0.42606189999999999</v>
      </c>
      <c r="AE3000">
        <v>23.395969999999899</v>
      </c>
      <c r="AF3000">
        <v>-21.968116856495701</v>
      </c>
      <c r="AG3000">
        <v>-0.42606189999999999</v>
      </c>
      <c r="AH3000">
        <v>52.8984544185491</v>
      </c>
      <c r="AI3000">
        <v>90.426181398259999</v>
      </c>
      <c r="AJ3000">
        <v>112.552547137883</v>
      </c>
      <c r="AK3000">
        <v>57.280242377582503</v>
      </c>
      <c r="AL3000">
        <v>81.392851496174998</v>
      </c>
      <c r="AM3000">
        <v>95.005344221393699</v>
      </c>
      <c r="AN3000">
        <v>0.99999997060940504</v>
      </c>
    </row>
    <row r="3001" spans="1:40" x14ac:dyDescent="0.3">
      <c r="A3001" t="str">
        <f>"20200111150911155"</f>
        <v>20200111150911155</v>
      </c>
      <c r="B3001" t="str">
        <f>"1578726551147305"</f>
        <v>1578726551147305</v>
      </c>
      <c r="C3001" t="s">
        <v>40</v>
      </c>
      <c r="D3001">
        <v>7.3455009999999996</v>
      </c>
      <c r="E3001">
        <v>0.37911329999999999</v>
      </c>
      <c r="F3001" t="s">
        <v>70</v>
      </c>
      <c r="G3001">
        <v>-168.45060000000001</v>
      </c>
      <c r="H3001">
        <v>0.93239689999999997</v>
      </c>
      <c r="I3001">
        <v>-39.701419999999999</v>
      </c>
      <c r="J3001">
        <v>-220.44720000000001</v>
      </c>
      <c r="K3001">
        <v>1.1101049999999999</v>
      </c>
      <c r="L3001">
        <v>-63.040770000000002</v>
      </c>
      <c r="M3001">
        <v>0.99955899999999998</v>
      </c>
      <c r="N3001">
        <v>0</v>
      </c>
      <c r="O3001">
        <v>2.7109560000000001E-2</v>
      </c>
      <c r="P3001">
        <v>0.98398209999999997</v>
      </c>
      <c r="Q3001">
        <v>0.13627829999999999</v>
      </c>
      <c r="R3001">
        <v>0.1149245</v>
      </c>
      <c r="S3001">
        <v>2.9013520000000002</v>
      </c>
      <c r="T3001">
        <v>-9.8618270000000001E-3</v>
      </c>
      <c r="U3001">
        <v>1.2955319999999999</v>
      </c>
      <c r="V3001">
        <v>-8.819565E-2</v>
      </c>
      <c r="W3001">
        <v>0.1482328</v>
      </c>
      <c r="X3001">
        <v>0.98501190000000005</v>
      </c>
      <c r="Y3001">
        <v>-0.38281860000000001</v>
      </c>
      <c r="Z3001">
        <v>5.3322319999999995E-4</v>
      </c>
      <c r="AA3001">
        <v>0.92382339999999996</v>
      </c>
      <c r="AB3001">
        <v>29</v>
      </c>
      <c r="AC3001">
        <v>51.996600000000001</v>
      </c>
      <c r="AD3001">
        <v>-0.17770809999999901</v>
      </c>
      <c r="AE3001">
        <v>23.33935</v>
      </c>
      <c r="AF3001">
        <v>-21.9208492001084</v>
      </c>
      <c r="AG3001">
        <v>-0.17770809999999901</v>
      </c>
      <c r="AH3001">
        <v>52.609741311966403</v>
      </c>
      <c r="AI3001">
        <v>90.178648680798801</v>
      </c>
      <c r="AJ3001">
        <v>112.619979694197</v>
      </c>
      <c r="AK3001">
        <v>56.994211028267898</v>
      </c>
      <c r="AL3001">
        <v>81.475470882003705</v>
      </c>
      <c r="AM3001">
        <v>95.116485578793601</v>
      </c>
      <c r="AN3001">
        <v>0.99999993940818399</v>
      </c>
    </row>
    <row r="3002" spans="1:40" x14ac:dyDescent="0.3">
      <c r="A3002" t="str">
        <f>"20200111150911166"</f>
        <v>20200111150911166</v>
      </c>
      <c r="B3002" t="str">
        <f>"1578726551157066"</f>
        <v>1578726551157066</v>
      </c>
      <c r="C3002" t="s">
        <v>40</v>
      </c>
      <c r="D3002">
        <v>7.6389849999999999</v>
      </c>
      <c r="E3002">
        <v>0.29849740000000002</v>
      </c>
      <c r="F3002" t="s">
        <v>70</v>
      </c>
      <c r="G3002">
        <v>-168.45060000000001</v>
      </c>
      <c r="H3002">
        <v>0.85122779999999998</v>
      </c>
      <c r="I3002">
        <v>-39.70467</v>
      </c>
      <c r="J3002">
        <v>-220.30279999999999</v>
      </c>
      <c r="K3002">
        <v>1.110112</v>
      </c>
      <c r="L3002">
        <v>-63.036830000000002</v>
      </c>
      <c r="M3002">
        <v>0.99955890000000003</v>
      </c>
      <c r="N3002">
        <v>0</v>
      </c>
      <c r="O3002">
        <v>2.7116520000000002E-2</v>
      </c>
      <c r="P3002">
        <v>0.98397950000000001</v>
      </c>
      <c r="Q3002">
        <v>0.13554430000000001</v>
      </c>
      <c r="R3002">
        <v>0.11581139999999999</v>
      </c>
      <c r="S3002">
        <v>2.898895</v>
      </c>
      <c r="T3002">
        <v>-1.443386E-2</v>
      </c>
      <c r="U3002">
        <v>1.3010250000000001</v>
      </c>
      <c r="V3002">
        <v>-8.9078660000000004E-2</v>
      </c>
      <c r="W3002">
        <v>0.14749760000000001</v>
      </c>
      <c r="X3002">
        <v>0.98504290000000005</v>
      </c>
      <c r="Y3002">
        <v>-0.38455909999999999</v>
      </c>
      <c r="Z3002">
        <v>7.8484559999999896E-4</v>
      </c>
      <c r="AA3002">
        <v>0.92310009999999998</v>
      </c>
      <c r="AB3002">
        <v>29</v>
      </c>
      <c r="AC3002">
        <v>51.852199999999897</v>
      </c>
      <c r="AD3002">
        <v>-0.25888420000000001</v>
      </c>
      <c r="AE3002">
        <v>23.332159999999998</v>
      </c>
      <c r="AF3002">
        <v>-21.916970325973502</v>
      </c>
      <c r="AG3002">
        <v>-0.25888420000000001</v>
      </c>
      <c r="AH3002">
        <v>52.464775887693399</v>
      </c>
      <c r="AI3002">
        <v>90.260872691225401</v>
      </c>
      <c r="AJ3002">
        <v>112.672556531005</v>
      </c>
      <c r="AK3002">
        <v>56.859241273908303</v>
      </c>
      <c r="AL3002">
        <v>81.518063728202506</v>
      </c>
      <c r="AM3002">
        <v>95.167273841171905</v>
      </c>
      <c r="AN3002">
        <v>1.0000000322567799</v>
      </c>
    </row>
    <row r="3003" spans="1:40" x14ac:dyDescent="0.3">
      <c r="A3003" t="str">
        <f>"20200111150911176"</f>
        <v>20200111150911176</v>
      </c>
      <c r="B3003" t="str">
        <f>"1578726551166826"</f>
        <v>1578726551166826</v>
      </c>
      <c r="C3003" t="s">
        <v>40</v>
      </c>
      <c r="D3003">
        <v>7.7300800000000001</v>
      </c>
      <c r="E3003">
        <v>0.3052475</v>
      </c>
      <c r="F3003" t="s">
        <v>51</v>
      </c>
      <c r="G3003">
        <v>-160.16079999999999</v>
      </c>
      <c r="H3003">
        <v>6.6740869999999903</v>
      </c>
      <c r="I3003">
        <v>-21.07075</v>
      </c>
      <c r="J3003">
        <v>-220.161</v>
      </c>
      <c r="K3003">
        <v>1.1101209999999999</v>
      </c>
      <c r="L3003">
        <v>-63.032989999999998</v>
      </c>
      <c r="M3003">
        <v>0.99955850000000002</v>
      </c>
      <c r="N3003">
        <v>0</v>
      </c>
      <c r="O3003">
        <v>2.7129770000000001E-2</v>
      </c>
      <c r="P3003">
        <v>0.98390920000000004</v>
      </c>
      <c r="Q3003">
        <v>0.1354707</v>
      </c>
      <c r="R3003">
        <v>0.11649329999999999</v>
      </c>
      <c r="S3003">
        <v>2.784653</v>
      </c>
      <c r="T3003">
        <v>0.25761909999999999</v>
      </c>
      <c r="U3003">
        <v>1.943085</v>
      </c>
      <c r="V3003">
        <v>-8.9752289999999998E-2</v>
      </c>
      <c r="W3003">
        <v>0.14742169999999999</v>
      </c>
      <c r="X3003">
        <v>0.98499309999999995</v>
      </c>
      <c r="Y3003">
        <v>-0.54828999999999894</v>
      </c>
      <c r="Z3003">
        <v>-2.0565759999999999E-2</v>
      </c>
      <c r="AA3003">
        <v>0.83603539999999998</v>
      </c>
      <c r="AB3003">
        <v>29</v>
      </c>
      <c r="AC3003">
        <v>60.0001999999999</v>
      </c>
      <c r="AD3003">
        <v>5.56396599999999</v>
      </c>
      <c r="AE3003">
        <v>41.962240000000001</v>
      </c>
      <c r="AF3003">
        <v>-40.087385579562799</v>
      </c>
      <c r="AG3003">
        <v>5.56396599999999</v>
      </c>
      <c r="AH3003">
        <v>60.765713107880103</v>
      </c>
      <c r="AI3003">
        <v>85.629336899970497</v>
      </c>
      <c r="AJ3003">
        <v>123.41299704980101</v>
      </c>
      <c r="AK3003">
        <v>73.009780781501306</v>
      </c>
      <c r="AL3003">
        <v>81.522460431198297</v>
      </c>
      <c r="AM3003">
        <v>95.206397603090096</v>
      </c>
      <c r="AN3003">
        <v>1.0000000191193701</v>
      </c>
    </row>
    <row r="3004" spans="1:40" x14ac:dyDescent="0.3">
      <c r="A3004" t="str">
        <f>"20200111150911188"</f>
        <v>20200111150911188</v>
      </c>
      <c r="B3004" t="str">
        <f>"1578726551176586"</f>
        <v>1578726551176586</v>
      </c>
      <c r="C3004" t="s">
        <v>40</v>
      </c>
      <c r="D3004">
        <v>8.6838139999999999</v>
      </c>
      <c r="E3004">
        <v>0.3052475</v>
      </c>
      <c r="F3004" t="s">
        <v>51</v>
      </c>
      <c r="G3004">
        <v>-158.5489</v>
      </c>
      <c r="H3004">
        <v>7.0499219999999996</v>
      </c>
      <c r="I3004">
        <v>-21.233239999999999</v>
      </c>
      <c r="J3004">
        <v>-220.0147</v>
      </c>
      <c r="K3004">
        <v>1.1101430000000001</v>
      </c>
      <c r="L3004">
        <v>-63.028959999999998</v>
      </c>
      <c r="M3004">
        <v>0.99955729999999998</v>
      </c>
      <c r="N3004">
        <v>0</v>
      </c>
      <c r="O3004">
        <v>2.7172109999999999E-2</v>
      </c>
      <c r="P3004">
        <v>0.98390480000000002</v>
      </c>
      <c r="Q3004">
        <v>0.134965</v>
      </c>
      <c r="R3004">
        <v>0.1171145</v>
      </c>
      <c r="S3004">
        <v>2.7881010000000002</v>
      </c>
      <c r="T3004">
        <v>0.26879019999999998</v>
      </c>
      <c r="U3004">
        <v>1.8915409999999999</v>
      </c>
      <c r="V3004">
        <v>-9.0338280000000007E-2</v>
      </c>
      <c r="W3004">
        <v>0.14691419999999999</v>
      </c>
      <c r="X3004">
        <v>0.98501530000000004</v>
      </c>
      <c r="Y3004">
        <v>-0.53711560000000003</v>
      </c>
      <c r="Z3004">
        <v>-2.1043269999999999E-2</v>
      </c>
      <c r="AA3004">
        <v>0.84324619999999995</v>
      </c>
      <c r="AB3004">
        <v>29</v>
      </c>
      <c r="AC3004">
        <v>61.465800000000002</v>
      </c>
      <c r="AD3004">
        <v>5.9397789999999997</v>
      </c>
      <c r="AE3004">
        <v>41.795720000000003</v>
      </c>
      <c r="AF3004">
        <v>-39.8554988496264</v>
      </c>
      <c r="AG3004">
        <v>5.9397789999999997</v>
      </c>
      <c r="AH3004">
        <v>62.181783689817301</v>
      </c>
      <c r="AI3004">
        <v>85.402089844318098</v>
      </c>
      <c r="AJ3004">
        <v>122.65789616010601</v>
      </c>
      <c r="AK3004">
        <v>74.096666497006694</v>
      </c>
      <c r="AL3004">
        <v>81.551857667369106</v>
      </c>
      <c r="AM3004">
        <v>95.240083939119103</v>
      </c>
      <c r="AN3004">
        <v>0.99999996411454295</v>
      </c>
    </row>
    <row r="3005" spans="1:40" x14ac:dyDescent="0.3">
      <c r="A3005" t="str">
        <f>"20200111150911200"</f>
        <v>20200111150911200</v>
      </c>
      <c r="B3005" t="str">
        <f>"1578726551197082"</f>
        <v>1578726551197082</v>
      </c>
      <c r="C3005" t="s">
        <v>40</v>
      </c>
      <c r="D3005">
        <v>5.5706429999999996</v>
      </c>
      <c r="E3005">
        <v>0.35932309999999901</v>
      </c>
      <c r="F3005" t="s">
        <v>51</v>
      </c>
      <c r="G3005">
        <v>-158.50579999999999</v>
      </c>
      <c r="H3005">
        <v>7.01281</v>
      </c>
      <c r="I3005">
        <v>-21.241320000000002</v>
      </c>
      <c r="J3005">
        <v>-219.86600000000001</v>
      </c>
      <c r="K3005">
        <v>1.110166</v>
      </c>
      <c r="L3005">
        <v>-63.024900000000002</v>
      </c>
      <c r="M3005">
        <v>0.99955590000000005</v>
      </c>
      <c r="N3005">
        <v>0</v>
      </c>
      <c r="O3005">
        <v>2.7223270000000001E-2</v>
      </c>
      <c r="P3005">
        <v>0.98384389999999999</v>
      </c>
      <c r="Q3005">
        <v>0.13477549999999999</v>
      </c>
      <c r="R3005">
        <v>0.1178429</v>
      </c>
      <c r="S3005">
        <v>2.7870180000000002</v>
      </c>
      <c r="T3005">
        <v>0.26745449999999998</v>
      </c>
      <c r="U3005">
        <v>1.8934329999999999</v>
      </c>
      <c r="V3005">
        <v>-9.1025700000000001E-2</v>
      </c>
      <c r="W3005">
        <v>0.1467222</v>
      </c>
      <c r="X3005">
        <v>0.98498059999999998</v>
      </c>
      <c r="Y3005">
        <v>-0.53763059999999996</v>
      </c>
      <c r="Z3005">
        <v>-2.0960099999999999E-2</v>
      </c>
      <c r="AA3005">
        <v>0.84291990000000006</v>
      </c>
      <c r="AB3005">
        <v>29</v>
      </c>
      <c r="AC3005">
        <v>61.360199999999899</v>
      </c>
      <c r="AD3005">
        <v>5.9026439999999996</v>
      </c>
      <c r="AE3005">
        <v>41.783580000000001</v>
      </c>
      <c r="AF3005">
        <v>-39.845632265489797</v>
      </c>
      <c r="AG3005">
        <v>5.9026439999999996</v>
      </c>
      <c r="AH3005">
        <v>62.082527089457102</v>
      </c>
      <c r="AI3005">
        <v>85.425231891804899</v>
      </c>
      <c r="AJ3005">
        <v>122.693044627153</v>
      </c>
      <c r="AK3005">
        <v>74.005106490299397</v>
      </c>
      <c r="AL3005">
        <v>81.562978702382694</v>
      </c>
      <c r="AM3005">
        <v>95.279918279912195</v>
      </c>
      <c r="AN3005">
        <v>0.99999993220484196</v>
      </c>
    </row>
    <row r="3006" spans="1:40" x14ac:dyDescent="0.3">
      <c r="A3006" t="str">
        <f>"20200111150911892"</f>
        <v>20200111150911892</v>
      </c>
      <c r="B3006" t="str">
        <f>"1578726551886598"</f>
        <v>1578726551886598</v>
      </c>
      <c r="C3006" t="s">
        <v>40</v>
      </c>
      <c r="D3006">
        <v>5.47227</v>
      </c>
      <c r="E3006">
        <v>0.42193809999999898</v>
      </c>
      <c r="F3006" t="s">
        <v>51</v>
      </c>
      <c r="G3006">
        <v>-141.3441</v>
      </c>
      <c r="H3006">
        <v>4.6974330000000002</v>
      </c>
      <c r="I3006">
        <v>-22.693660000000001</v>
      </c>
      <c r="J3006">
        <v>-210.90690000000001</v>
      </c>
      <c r="K3006">
        <v>1.11774</v>
      </c>
      <c r="L3006">
        <v>-62.158999999999999</v>
      </c>
      <c r="M3006">
        <v>0.98203510000000005</v>
      </c>
      <c r="N3006">
        <v>0</v>
      </c>
      <c r="O3006">
        <v>0.18825929999999999</v>
      </c>
      <c r="P3006">
        <v>0.93947550000000002</v>
      </c>
      <c r="Q3006">
        <v>0.13875960000000001</v>
      </c>
      <c r="R3006">
        <v>0.31325989999999998</v>
      </c>
      <c r="S3006">
        <v>2.8556819999999998</v>
      </c>
      <c r="T3006">
        <v>0.13046160000000001</v>
      </c>
      <c r="U3006">
        <v>1.466766</v>
      </c>
      <c r="V3006">
        <v>-0.13359219999999999</v>
      </c>
      <c r="W3006">
        <v>0.14890339999999999</v>
      </c>
      <c r="X3006">
        <v>0.97978620000000005</v>
      </c>
      <c r="Y3006">
        <v>-0.281165</v>
      </c>
      <c r="Z3006">
        <v>1.9239859999999999E-3</v>
      </c>
      <c r="AA3006">
        <v>0.95965750000000005</v>
      </c>
      <c r="AB3006">
        <v>29</v>
      </c>
      <c r="AC3006">
        <v>69.562799999999996</v>
      </c>
      <c r="AD3006">
        <v>3.5796929999999998</v>
      </c>
      <c r="AE3006">
        <v>39.465339999999998</v>
      </c>
      <c r="AF3006">
        <v>-25.6113211637871</v>
      </c>
      <c r="AG3006">
        <v>3.5796929999999998</v>
      </c>
      <c r="AH3006">
        <v>75.597651001462495</v>
      </c>
      <c r="AI3006">
        <v>87.432114937601199</v>
      </c>
      <c r="AJ3006">
        <v>108.715589559222</v>
      </c>
      <c r="AK3006">
        <v>79.898428086338598</v>
      </c>
      <c r="AL3006">
        <v>81.436618074707098</v>
      </c>
      <c r="AM3006">
        <v>97.764304340365001</v>
      </c>
      <c r="AN3006">
        <v>1.00000004807141</v>
      </c>
    </row>
    <row r="3007" spans="1:40" x14ac:dyDescent="0.3">
      <c r="A3007" t="str">
        <f>"20200111150912442"</f>
        <v>20200111150912442</v>
      </c>
      <c r="B3007" t="str">
        <f>"1578726552437062"</f>
        <v>1578726552437062</v>
      </c>
      <c r="C3007" t="s">
        <v>40</v>
      </c>
      <c r="D3007">
        <v>5.534859</v>
      </c>
      <c r="E3007">
        <v>0.42193809999999898</v>
      </c>
      <c r="F3007" t="s">
        <v>89</v>
      </c>
      <c r="G3007">
        <v>-202.78229999999999</v>
      </c>
      <c r="H3007" s="1">
        <v>-4.9231819999999996E-6</v>
      </c>
      <c r="I3007">
        <v>-57.505499999999998</v>
      </c>
      <c r="J3007">
        <v>-204.3501</v>
      </c>
      <c r="K3007">
        <v>1.11901299999999</v>
      </c>
      <c r="L3007">
        <v>-59.6785</v>
      </c>
      <c r="M3007">
        <v>0.89202239999999999</v>
      </c>
      <c r="N3007">
        <v>0</v>
      </c>
      <c r="O3007">
        <v>0.45179380000000002</v>
      </c>
      <c r="P3007">
        <v>0.81189609999999901</v>
      </c>
      <c r="Q3007">
        <v>0.127775</v>
      </c>
      <c r="R3007">
        <v>0.56964759999999903</v>
      </c>
      <c r="S3007">
        <v>2.7277529999999999</v>
      </c>
      <c r="T3007">
        <v>-0.37527460000000001</v>
      </c>
      <c r="U3007">
        <v>1.562378</v>
      </c>
      <c r="V3007">
        <v>-0.14440339999999999</v>
      </c>
      <c r="W3007">
        <v>0.13773940000000001</v>
      </c>
      <c r="X3007">
        <v>0.97988549999999996</v>
      </c>
      <c r="Y3007">
        <v>-5.3796839999999999E-2</v>
      </c>
      <c r="Z3007">
        <v>-5.085456E-2</v>
      </c>
      <c r="AA3007">
        <v>0.99725609999999998</v>
      </c>
      <c r="AB3007">
        <v>29</v>
      </c>
      <c r="AC3007">
        <v>1.5678000000000001</v>
      </c>
      <c r="AD3007">
        <v>-1.1190179231820001</v>
      </c>
      <c r="AE3007">
        <v>2.173</v>
      </c>
      <c r="AF3007">
        <v>-1.04747009015891</v>
      </c>
      <c r="AG3007">
        <v>-1.1190179231820001</v>
      </c>
      <c r="AH3007">
        <v>2.0269642116981799</v>
      </c>
      <c r="AI3007">
        <v>116.12561551185701</v>
      </c>
      <c r="AJ3007">
        <v>117.328470387474</v>
      </c>
      <c r="AK3007">
        <v>2.5412553231986199</v>
      </c>
      <c r="AL3007">
        <v>82.082944199727393</v>
      </c>
      <c r="AM3007">
        <v>98.383203902511099</v>
      </c>
      <c r="AN3007">
        <v>1.00000003867708</v>
      </c>
    </row>
    <row r="3008" spans="1:40" x14ac:dyDescent="0.3">
      <c r="A3008" t="str">
        <f>"20200111150912453"</f>
        <v>20200111150912453</v>
      </c>
      <c r="B3008" t="str">
        <f>"1578726552446822"</f>
        <v>1578726552446822</v>
      </c>
      <c r="C3008" t="s">
        <v>40</v>
      </c>
      <c r="D3008">
        <v>5.2553029999999996</v>
      </c>
      <c r="E3008">
        <v>0.35081839999999997</v>
      </c>
      <c r="F3008" t="s">
        <v>89</v>
      </c>
      <c r="G3008">
        <v>-198.37870000000001</v>
      </c>
      <c r="H3008" s="1">
        <v>-9.5691479999999992E-6</v>
      </c>
      <c r="I3008">
        <v>-53.375680000000003</v>
      </c>
      <c r="J3008">
        <v>-204.2303</v>
      </c>
      <c r="K3008">
        <v>1.1190150000000001</v>
      </c>
      <c r="L3008">
        <v>-59.611820000000002</v>
      </c>
      <c r="M3008">
        <v>0.88949590000000001</v>
      </c>
      <c r="N3008">
        <v>0</v>
      </c>
      <c r="O3008">
        <v>0.45674779999999998</v>
      </c>
      <c r="P3008">
        <v>0.80824659999999904</v>
      </c>
      <c r="Q3008">
        <v>0.12783820000000001</v>
      </c>
      <c r="R3008">
        <v>0.57479979999999997</v>
      </c>
      <c r="S3008">
        <v>2.1595</v>
      </c>
      <c r="T3008">
        <v>-0.40468409999999999</v>
      </c>
      <c r="U3008">
        <v>2.2793580000000002</v>
      </c>
      <c r="V3008">
        <v>-0.14519209999999999</v>
      </c>
      <c r="W3008">
        <v>0.1377814</v>
      </c>
      <c r="X3008">
        <v>0.97976300000000005</v>
      </c>
      <c r="Y3008">
        <v>-0.3323218</v>
      </c>
      <c r="Z3008">
        <v>-3.9069239999999998E-2</v>
      </c>
      <c r="AA3008">
        <v>0.94235650000000004</v>
      </c>
      <c r="AB3008">
        <v>29</v>
      </c>
      <c r="AC3008">
        <v>5.8515999999999897</v>
      </c>
      <c r="AD3008">
        <v>-1.1190245691480001</v>
      </c>
      <c r="AE3008">
        <v>6.23613999999999</v>
      </c>
      <c r="AF3008">
        <v>-2.8261794339466899</v>
      </c>
      <c r="AG3008">
        <v>-1.1190245691480001</v>
      </c>
      <c r="AH3008">
        <v>7.9184486974159496</v>
      </c>
      <c r="AI3008">
        <v>97.581253479263495</v>
      </c>
      <c r="AJ3008">
        <v>109.642028626718</v>
      </c>
      <c r="AK3008">
        <v>8.4818238576870009</v>
      </c>
      <c r="AL3008">
        <v>82.080514289201702</v>
      </c>
      <c r="AM3008">
        <v>98.429373868437196</v>
      </c>
      <c r="AN3008">
        <v>0.99999999812868501</v>
      </c>
    </row>
    <row r="3009" spans="1:40" x14ac:dyDescent="0.3">
      <c r="A3009" t="str">
        <f>"20200111150912465"</f>
        <v>20200111150912465</v>
      </c>
      <c r="B3009" t="str">
        <f>"1578726552457558"</f>
        <v>1578726552457558</v>
      </c>
      <c r="C3009" t="s">
        <v>40</v>
      </c>
      <c r="D3009">
        <v>5.4894100000000003</v>
      </c>
      <c r="E3009">
        <v>0.35081839999999997</v>
      </c>
      <c r="F3009" t="s">
        <v>51</v>
      </c>
      <c r="G3009">
        <v>-157.93819999999999</v>
      </c>
      <c r="H3009">
        <v>4.2520069999999999</v>
      </c>
      <c r="I3009">
        <v>11.6866</v>
      </c>
      <c r="J3009">
        <v>-204.102</v>
      </c>
      <c r="K3009">
        <v>1.1190169999999999</v>
      </c>
      <c r="L3009">
        <v>-59.539549999999998</v>
      </c>
      <c r="M3009">
        <v>0.88675269999999995</v>
      </c>
      <c r="N3009">
        <v>0</v>
      </c>
      <c r="O3009">
        <v>0.4620512</v>
      </c>
      <c r="P3009">
        <v>0.80442910000000001</v>
      </c>
      <c r="Q3009">
        <v>0.1280163</v>
      </c>
      <c r="R3009">
        <v>0.58009119999999903</v>
      </c>
      <c r="S3009">
        <v>1.7624359999999999</v>
      </c>
      <c r="T3009">
        <v>0.11927939999999999</v>
      </c>
      <c r="U3009">
        <v>2.7144780000000002</v>
      </c>
      <c r="V3009">
        <v>-0.14578769999999999</v>
      </c>
      <c r="W3009">
        <v>0.13794379999999901</v>
      </c>
      <c r="X3009">
        <v>0.97965170000000001</v>
      </c>
      <c r="Y3009">
        <v>-0.49213220000000002</v>
      </c>
      <c r="Z3009">
        <v>8.4279190000000007E-3</v>
      </c>
      <c r="AA3009">
        <v>0.87047969999999897</v>
      </c>
      <c r="AB3009">
        <v>29</v>
      </c>
      <c r="AC3009">
        <v>46.163800000000002</v>
      </c>
      <c r="AD3009">
        <v>3.1329899999999999</v>
      </c>
      <c r="AE3009">
        <v>71.226150000000004</v>
      </c>
      <c r="AF3009">
        <v>-41.776752275266702</v>
      </c>
      <c r="AG3009">
        <v>3.1329899999999999</v>
      </c>
      <c r="AH3009">
        <v>73.752102605914303</v>
      </c>
      <c r="AI3009">
        <v>87.883196333326396</v>
      </c>
      <c r="AJ3009">
        <v>119.529310433874</v>
      </c>
      <c r="AK3009">
        <v>84.820311811513704</v>
      </c>
      <c r="AL3009">
        <v>82.071119759452003</v>
      </c>
      <c r="AM3009">
        <v>98.464400249894098</v>
      </c>
      <c r="AN3009">
        <v>0.99999999937131001</v>
      </c>
    </row>
    <row r="3010" spans="1:40" x14ac:dyDescent="0.3">
      <c r="A3010" t="str">
        <f>"20200111150912665"</f>
        <v>20200111150912665</v>
      </c>
      <c r="B3010" t="str">
        <f>"1578726552657638"</f>
        <v>1578726552657638</v>
      </c>
      <c r="C3010" t="s">
        <v>40</v>
      </c>
      <c r="D3010">
        <v>5.4545890000000004</v>
      </c>
      <c r="E3010">
        <v>0.41001870000000001</v>
      </c>
      <c r="F3010" t="s">
        <v>51</v>
      </c>
      <c r="G3010">
        <v>-157.93819999999999</v>
      </c>
      <c r="H3010">
        <v>4.2860969999999998</v>
      </c>
      <c r="I3010">
        <v>12.59174</v>
      </c>
      <c r="J3010">
        <v>-201.95609999999999</v>
      </c>
      <c r="K3010">
        <v>1.118951</v>
      </c>
      <c r="L3010">
        <v>-58.170960000000001</v>
      </c>
      <c r="M3010">
        <v>0.83455199999999996</v>
      </c>
      <c r="N3010">
        <v>0</v>
      </c>
      <c r="O3010">
        <v>0.55076809999999998</v>
      </c>
      <c r="P3010">
        <v>0.73834069999999996</v>
      </c>
      <c r="Q3010">
        <v>0.12732570000000001</v>
      </c>
      <c r="R3010">
        <v>0.66229989999999905</v>
      </c>
      <c r="S3010">
        <v>1.744583</v>
      </c>
      <c r="T3010">
        <v>0.1196873</v>
      </c>
      <c r="U3010">
        <v>2.7259220000000002</v>
      </c>
      <c r="V3010">
        <v>-0.14910090000000001</v>
      </c>
      <c r="W3010">
        <v>0.13717260000000001</v>
      </c>
      <c r="X3010">
        <v>0.9792613</v>
      </c>
      <c r="Y3010">
        <v>-0.40611419999999998</v>
      </c>
      <c r="Z3010">
        <v>1.381419E-2</v>
      </c>
      <c r="AA3010">
        <v>0.91371789999999997</v>
      </c>
      <c r="AB3010">
        <v>29</v>
      </c>
      <c r="AC3010">
        <v>44.017899999999997</v>
      </c>
      <c r="AD3010">
        <v>3.1671459999999998</v>
      </c>
      <c r="AE3010">
        <v>70.762699999999995</v>
      </c>
      <c r="AF3010">
        <v>-34.764375476852301</v>
      </c>
      <c r="AG3010">
        <v>3.1671459999999998</v>
      </c>
      <c r="AH3010">
        <v>75.6065816040702</v>
      </c>
      <c r="AI3010">
        <v>87.820414706417395</v>
      </c>
      <c r="AJ3010">
        <v>114.693265186291</v>
      </c>
      <c r="AK3010">
        <v>83.276333960698693</v>
      </c>
      <c r="AL3010">
        <v>82.115730726988303</v>
      </c>
      <c r="AM3010">
        <v>98.657280996968595</v>
      </c>
      <c r="AN3010">
        <v>1.00000004712462</v>
      </c>
    </row>
    <row r="3011" spans="1:40" x14ac:dyDescent="0.3">
      <c r="A3011" t="str">
        <f>"20200111150912676"</f>
        <v>20200111150912676</v>
      </c>
      <c r="B3011" t="str">
        <f>"1578726552667397"</f>
        <v>1578726552667397</v>
      </c>
      <c r="C3011" t="s">
        <v>40</v>
      </c>
      <c r="D3011">
        <v>5.4534760000000002</v>
      </c>
      <c r="E3011">
        <v>0.40579949999999998</v>
      </c>
      <c r="F3011" t="s">
        <v>89</v>
      </c>
      <c r="G3011">
        <v>-196.22200000000001</v>
      </c>
      <c r="H3011" s="1">
        <v>-2.516203E-6</v>
      </c>
      <c r="I3011">
        <v>-49.961080000000003</v>
      </c>
      <c r="J3011">
        <v>-201.83850000000001</v>
      </c>
      <c r="K3011">
        <v>1.1189439999999999</v>
      </c>
      <c r="L3011">
        <v>-58.086820000000003</v>
      </c>
      <c r="M3011">
        <v>0.83133159999999895</v>
      </c>
      <c r="N3011">
        <v>0</v>
      </c>
      <c r="O3011">
        <v>0.55561719999999903</v>
      </c>
      <c r="P3011">
        <v>0.73456180000000004</v>
      </c>
      <c r="Q3011">
        <v>0.1269005</v>
      </c>
      <c r="R3011">
        <v>0.66656979999999999</v>
      </c>
      <c r="S3011">
        <v>1.8053129999999999</v>
      </c>
      <c r="T3011">
        <v>-0.35229270000000001</v>
      </c>
      <c r="U3011">
        <v>2.5848080000000002</v>
      </c>
      <c r="V3011">
        <v>-0.1490252</v>
      </c>
      <c r="W3011">
        <v>0.13675029999999999</v>
      </c>
      <c r="X3011">
        <v>0.97933190000000003</v>
      </c>
      <c r="Y3011">
        <v>-0.36415150000000002</v>
      </c>
      <c r="Z3011">
        <v>-4.4389640000000001E-2</v>
      </c>
      <c r="AA3011">
        <v>0.93028129999999998</v>
      </c>
      <c r="AB3011">
        <v>29</v>
      </c>
      <c r="AC3011">
        <v>5.6165000000000003</v>
      </c>
      <c r="AD3011">
        <v>-1.1189465162029999</v>
      </c>
      <c r="AE3011">
        <v>8.1257399999999897</v>
      </c>
      <c r="AF3011">
        <v>-3.58883122877796</v>
      </c>
      <c r="AG3011">
        <v>-1.1189465162029999</v>
      </c>
      <c r="AH3011">
        <v>9.0684241805330004</v>
      </c>
      <c r="AI3011">
        <v>96.545009931811705</v>
      </c>
      <c r="AJ3011">
        <v>111.59119534333399</v>
      </c>
      <c r="AK3011">
        <v>9.8167238940926893</v>
      </c>
      <c r="AL3011">
        <v>82.140157039058195</v>
      </c>
      <c r="AM3011">
        <v>98.652337804590104</v>
      </c>
      <c r="AN3011">
        <v>1.0000000625713601</v>
      </c>
    </row>
    <row r="3012" spans="1:40" x14ac:dyDescent="0.3">
      <c r="A3012" t="str">
        <f>"20200111150912686"</f>
        <v>20200111150912686</v>
      </c>
      <c r="B3012" t="str">
        <f>"1578726552677158"</f>
        <v>1578726552677158</v>
      </c>
      <c r="C3012" t="s">
        <v>40</v>
      </c>
      <c r="D3012">
        <v>5.4825109999999997</v>
      </c>
      <c r="E3012">
        <v>0.40415699999999999</v>
      </c>
      <c r="F3012" t="s">
        <v>89</v>
      </c>
      <c r="G3012">
        <v>-195.4588</v>
      </c>
      <c r="H3012" s="1">
        <v>-3.13796E-6</v>
      </c>
      <c r="I3012">
        <v>-48.623950000000001</v>
      </c>
      <c r="J3012">
        <v>-201.72839999999999</v>
      </c>
      <c r="K3012">
        <v>1.11894</v>
      </c>
      <c r="L3012">
        <v>-58.006740000000001</v>
      </c>
      <c r="M3012">
        <v>0.82827379999999995</v>
      </c>
      <c r="N3012">
        <v>0</v>
      </c>
      <c r="O3012">
        <v>0.56016549999999998</v>
      </c>
      <c r="P3012">
        <v>0.73111800000000005</v>
      </c>
      <c r="Q3012">
        <v>0.12659119999999999</v>
      </c>
      <c r="R3012">
        <v>0.67040369999999905</v>
      </c>
      <c r="S3012">
        <v>1.763657</v>
      </c>
      <c r="T3012">
        <v>-0.30933149999999998</v>
      </c>
      <c r="U3012">
        <v>2.6159970000000001</v>
      </c>
      <c r="V3012">
        <v>-0.14874289999999901</v>
      </c>
      <c r="W3012">
        <v>0.1364485</v>
      </c>
      <c r="X3012">
        <v>0.97941679999999998</v>
      </c>
      <c r="Y3012">
        <v>-0.37418560000000001</v>
      </c>
      <c r="Z3012">
        <v>-3.903417E-2</v>
      </c>
      <c r="AA3012">
        <v>0.92653200000000002</v>
      </c>
      <c r="AB3012">
        <v>29</v>
      </c>
      <c r="AC3012">
        <v>6.2695999999999898</v>
      </c>
      <c r="AD3012">
        <v>-1.1189431379599999</v>
      </c>
      <c r="AE3012">
        <v>9.38279</v>
      </c>
      <c r="AF3012">
        <v>-4.2184080224349501</v>
      </c>
      <c r="AG3012">
        <v>-1.1189431379599999</v>
      </c>
      <c r="AH3012">
        <v>10.3480457001305</v>
      </c>
      <c r="AI3012">
        <v>95.718001029556703</v>
      </c>
      <c r="AJ3012">
        <v>112.17839481178299</v>
      </c>
      <c r="AK3012">
        <v>11.2307190242531</v>
      </c>
      <c r="AL3012">
        <v>82.157611682854096</v>
      </c>
      <c r="AM3012">
        <v>98.635457609760493</v>
      </c>
      <c r="AN3012">
        <v>0.99999995578744805</v>
      </c>
    </row>
    <row r="3013" spans="1:40" x14ac:dyDescent="0.3">
      <c r="A3013" t="str">
        <f>"20200111150912698"</f>
        <v>20200111150912698</v>
      </c>
      <c r="B3013" t="str">
        <f>"1578726552686918"</f>
        <v>1578726552686918</v>
      </c>
      <c r="C3013" t="s">
        <v>40</v>
      </c>
      <c r="D3013">
        <v>6.491187</v>
      </c>
      <c r="E3013">
        <v>0.40415699999999999</v>
      </c>
      <c r="F3013" t="s">
        <v>89</v>
      </c>
      <c r="G3013">
        <v>-195.05510000000001</v>
      </c>
      <c r="H3013" s="1">
        <v>-3.4700299999999998E-6</v>
      </c>
      <c r="I3013">
        <v>-47.907559999999997</v>
      </c>
      <c r="J3013">
        <v>-201.61429999999999</v>
      </c>
      <c r="K3013">
        <v>1.1189340000000001</v>
      </c>
      <c r="L3013">
        <v>-57.923340000000003</v>
      </c>
      <c r="M3013">
        <v>0.82507459999999899</v>
      </c>
      <c r="N3013">
        <v>0</v>
      </c>
      <c r="O3013">
        <v>0.56486700000000001</v>
      </c>
      <c r="P3013">
        <v>0.72734909999999997</v>
      </c>
      <c r="Q3013">
        <v>0.1265647</v>
      </c>
      <c r="R3013">
        <v>0.67449590000000004</v>
      </c>
      <c r="S3013">
        <v>1.7396849999999999</v>
      </c>
      <c r="T3013">
        <v>-0.29170020000000002</v>
      </c>
      <c r="U3013">
        <v>2.6327820000000002</v>
      </c>
      <c r="V3013">
        <v>-0.1486635</v>
      </c>
      <c r="W3013">
        <v>0.1364244</v>
      </c>
      <c r="X3013">
        <v>0.97943230000000003</v>
      </c>
      <c r="Y3013">
        <v>-0.37744810000000001</v>
      </c>
      <c r="Z3013">
        <v>-3.7165910000000003E-2</v>
      </c>
      <c r="AA3013">
        <v>0.92528460000000001</v>
      </c>
      <c r="AB3013">
        <v>29</v>
      </c>
      <c r="AC3013">
        <v>6.5591999999999704</v>
      </c>
      <c r="AD3013">
        <v>-1.1189374700299899</v>
      </c>
      <c r="AE3013">
        <v>10.015779999999999</v>
      </c>
      <c r="AF3013">
        <v>-4.5196165105549602</v>
      </c>
      <c r="AG3013">
        <v>-1.1189374700299899</v>
      </c>
      <c r="AH3013">
        <v>10.974534532304199</v>
      </c>
      <c r="AI3013">
        <v>95.385692548638801</v>
      </c>
      <c r="AJ3013">
        <v>112.383217448426</v>
      </c>
      <c r="AK3013">
        <v>11.921382581943099</v>
      </c>
      <c r="AL3013">
        <v>82.159006223454099</v>
      </c>
      <c r="AM3013">
        <v>98.630782847153</v>
      </c>
      <c r="AN3013">
        <v>1.00000004171544</v>
      </c>
    </row>
    <row r="3014" spans="1:40" x14ac:dyDescent="0.3">
      <c r="A3014" t="str">
        <f>"20200111150912709"</f>
        <v>20200111150912709</v>
      </c>
      <c r="B3014" t="str">
        <f>"1578726552697655"</f>
        <v>1578726552697655</v>
      </c>
      <c r="C3014" t="s">
        <v>40</v>
      </c>
      <c r="D3014">
        <v>5.5775680000000003</v>
      </c>
      <c r="E3014">
        <v>0.34550969999999998</v>
      </c>
      <c r="F3014" t="s">
        <v>89</v>
      </c>
      <c r="G3014">
        <v>-195.0026</v>
      </c>
      <c r="H3014" s="1">
        <v>-3.518143E-6</v>
      </c>
      <c r="I3014">
        <v>-47.793379999999999</v>
      </c>
      <c r="J3014">
        <v>-201.5077</v>
      </c>
      <c r="K3014">
        <v>1.1189290000000001</v>
      </c>
      <c r="L3014">
        <v>-57.84384</v>
      </c>
      <c r="M3014">
        <v>0.82204080000000002</v>
      </c>
      <c r="N3014">
        <v>0</v>
      </c>
      <c r="O3014">
        <v>0.56927299999999903</v>
      </c>
      <c r="P3014">
        <v>0.72382179999999996</v>
      </c>
      <c r="Q3014">
        <v>0.1267025</v>
      </c>
      <c r="R3014">
        <v>0.67825400000000002</v>
      </c>
      <c r="S3014">
        <v>1.7247920000000001</v>
      </c>
      <c r="T3014">
        <v>-0.2918946</v>
      </c>
      <c r="U3014">
        <v>2.6425779999999999</v>
      </c>
      <c r="V3014">
        <v>-0.14851059999999999</v>
      </c>
      <c r="W3014">
        <v>0.1365661</v>
      </c>
      <c r="X3014">
        <v>0.97943570000000002</v>
      </c>
      <c r="Y3014">
        <v>-0.37773289999999998</v>
      </c>
      <c r="Z3014">
        <v>-3.763905E-2</v>
      </c>
      <c r="AA3014">
        <v>0.92514929999999995</v>
      </c>
      <c r="AB3014">
        <v>29</v>
      </c>
      <c r="AC3014">
        <v>6.5050999999999899</v>
      </c>
      <c r="AD3014">
        <v>-1.1189325181430001</v>
      </c>
      <c r="AE3014">
        <v>10.050459999999999</v>
      </c>
      <c r="AF3014">
        <v>-4.5196340423402797</v>
      </c>
      <c r="AG3014">
        <v>-1.1189325181430001</v>
      </c>
      <c r="AH3014">
        <v>10.9740326373663</v>
      </c>
      <c r="AI3014">
        <v>95.385875196898297</v>
      </c>
      <c r="AJ3014">
        <v>112.384218372427</v>
      </c>
      <c r="AK3014">
        <v>11.920926733388599</v>
      </c>
      <c r="AL3014">
        <v>82.150810332507405</v>
      </c>
      <c r="AM3014">
        <v>98.622010101439599</v>
      </c>
      <c r="AN3014">
        <v>0.99999999420802999</v>
      </c>
    </row>
    <row r="3015" spans="1:40" x14ac:dyDescent="0.3">
      <c r="A3015" t="str">
        <f>"20200111150912720"</f>
        <v>20200111150912720</v>
      </c>
      <c r="B3015" t="str">
        <f>"1578726552717174"</f>
        <v>1578726552717174</v>
      </c>
      <c r="C3015" t="s">
        <v>40</v>
      </c>
      <c r="D3015">
        <v>5.5284680000000002</v>
      </c>
      <c r="E3015">
        <v>0.35043859999999999</v>
      </c>
      <c r="F3015" t="s">
        <v>76</v>
      </c>
      <c r="G3015">
        <v>-163.9288</v>
      </c>
      <c r="H3015">
        <v>12.454929999999999</v>
      </c>
      <c r="I3015">
        <v>25.184909999999999</v>
      </c>
      <c r="J3015">
        <v>-201.39230000000001</v>
      </c>
      <c r="K3015">
        <v>1.1189249999999999</v>
      </c>
      <c r="L3015">
        <v>-57.757539999999999</v>
      </c>
      <c r="M3015">
        <v>0.81872769999999995</v>
      </c>
      <c r="N3015">
        <v>0</v>
      </c>
      <c r="O3015">
        <v>0.57402759999999997</v>
      </c>
      <c r="P3015">
        <v>0.72001400000000004</v>
      </c>
      <c r="Q3015">
        <v>0.12653699999999901</v>
      </c>
      <c r="R3015">
        <v>0.68232559999999998</v>
      </c>
      <c r="S3015">
        <v>1.327072</v>
      </c>
      <c r="T3015">
        <v>0.40032230000000002</v>
      </c>
      <c r="U3015">
        <v>2.9320979999999999</v>
      </c>
      <c r="V3015">
        <v>-0.14833650000000001</v>
      </c>
      <c r="W3015">
        <v>0.136405</v>
      </c>
      <c r="X3015">
        <v>0.97948460000000004</v>
      </c>
      <c r="Y3015">
        <v>-0.50920980000000005</v>
      </c>
      <c r="Z3015">
        <v>4.3312910000000003E-2</v>
      </c>
      <c r="AA3015">
        <v>0.85955190000000004</v>
      </c>
      <c r="AB3015">
        <v>29</v>
      </c>
      <c r="AC3015">
        <v>37.463500000000003</v>
      </c>
      <c r="AD3015">
        <v>11.336005</v>
      </c>
      <c r="AE3015">
        <v>82.942449999999994</v>
      </c>
      <c r="AF3015">
        <v>-45.697345907542697</v>
      </c>
      <c r="AG3015">
        <v>11.336005</v>
      </c>
      <c r="AH3015">
        <v>77.094526785891105</v>
      </c>
      <c r="AI3015">
        <v>82.790990607023105</v>
      </c>
      <c r="AJ3015">
        <v>120.657103161691</v>
      </c>
      <c r="AK3015">
        <v>90.334481194581102</v>
      </c>
      <c r="AL3015">
        <v>82.160128406106097</v>
      </c>
      <c r="AM3015">
        <v>98.611630595381001</v>
      </c>
      <c r="AN3015">
        <v>1.0000000614472</v>
      </c>
    </row>
    <row r="3016" spans="1:40" x14ac:dyDescent="0.3">
      <c r="A3016" t="str">
        <f>"20200111150912731"</f>
        <v>20200111150912731</v>
      </c>
      <c r="B3016" t="str">
        <f>"1578726552726934"</f>
        <v>1578726552726934</v>
      </c>
      <c r="C3016" t="s">
        <v>40</v>
      </c>
      <c r="D3016">
        <v>5.5664870000000004</v>
      </c>
      <c r="E3016">
        <v>0.40002799999999999</v>
      </c>
      <c r="F3016" t="s">
        <v>76</v>
      </c>
      <c r="G3016">
        <v>-163.13839999999999</v>
      </c>
      <c r="H3016">
        <v>9.8178940000000008</v>
      </c>
      <c r="I3016">
        <v>25.184909999999999</v>
      </c>
      <c r="J3016">
        <v>-201.2706</v>
      </c>
      <c r="K3016">
        <v>1.1189209999999901</v>
      </c>
      <c r="L3016">
        <v>-57.664639999999999</v>
      </c>
      <c r="M3016">
        <v>0.81517959999999901</v>
      </c>
      <c r="N3016">
        <v>0</v>
      </c>
      <c r="O3016">
        <v>0.57905530000000005</v>
      </c>
      <c r="P3016">
        <v>0.71600909999999995</v>
      </c>
      <c r="Q3016">
        <v>0.12640170000000001</v>
      </c>
      <c r="R3016">
        <v>0.68655189999999999</v>
      </c>
      <c r="S3016">
        <v>1.3463750000000001</v>
      </c>
      <c r="T3016">
        <v>0.30616650000000001</v>
      </c>
      <c r="U3016">
        <v>2.9192200000000001</v>
      </c>
      <c r="V3016">
        <v>-0.14805560000000001</v>
      </c>
      <c r="W3016">
        <v>0.13627700000000001</v>
      </c>
      <c r="X3016">
        <v>0.97954490000000005</v>
      </c>
      <c r="Y3016">
        <v>-0.49780600000000003</v>
      </c>
      <c r="Z3016">
        <v>3.4350279999999997E-2</v>
      </c>
      <c r="AA3016">
        <v>0.86660789999999999</v>
      </c>
      <c r="AB3016">
        <v>29</v>
      </c>
      <c r="AC3016">
        <v>38.132199999999997</v>
      </c>
      <c r="AD3016">
        <v>8.6989729999999899</v>
      </c>
      <c r="AE3016">
        <v>82.849549999999994</v>
      </c>
      <c r="AF3016">
        <v>-45.050798678446696</v>
      </c>
      <c r="AG3016">
        <v>8.6989729999999899</v>
      </c>
      <c r="AH3016">
        <v>78.353266358089598</v>
      </c>
      <c r="AI3016">
        <v>84.5023692526605</v>
      </c>
      <c r="AJ3016">
        <v>119.897621650063</v>
      </c>
      <c r="AK3016">
        <v>90.799124124643498</v>
      </c>
      <c r="AL3016">
        <v>82.167531275151504</v>
      </c>
      <c r="AM3016">
        <v>98.595045605914393</v>
      </c>
      <c r="AN3016">
        <v>1.00000004626818</v>
      </c>
    </row>
    <row r="3017" spans="1:40" x14ac:dyDescent="0.3">
      <c r="A3017" t="str">
        <f>"20200111150912744"</f>
        <v>20200111150912744</v>
      </c>
      <c r="B3017" t="str">
        <f>"1578726552737670"</f>
        <v>1578726552737670</v>
      </c>
      <c r="C3017" t="s">
        <v>40</v>
      </c>
      <c r="D3017">
        <v>6.3329029999999999</v>
      </c>
      <c r="E3017">
        <v>0.40367259999999999</v>
      </c>
      <c r="F3017" t="s">
        <v>89</v>
      </c>
      <c r="G3017">
        <v>-194.66810000000001</v>
      </c>
      <c r="H3017" s="1">
        <v>-3.8938330000000002E-6</v>
      </c>
      <c r="I3017">
        <v>-46.9285</v>
      </c>
      <c r="J3017">
        <v>-201.15729999999999</v>
      </c>
      <c r="K3017">
        <v>1.1189150000000001</v>
      </c>
      <c r="L3017">
        <v>-57.577550000000002</v>
      </c>
      <c r="M3017">
        <v>0.81183899999999998</v>
      </c>
      <c r="N3017">
        <v>0</v>
      </c>
      <c r="O3017">
        <v>0.58372969999999902</v>
      </c>
      <c r="P3017">
        <v>0.71219350000000003</v>
      </c>
      <c r="Q3017">
        <v>0.12618679999999999</v>
      </c>
      <c r="R3017">
        <v>0.69054859999999996</v>
      </c>
      <c r="S3017">
        <v>1.6565859999999999</v>
      </c>
      <c r="T3017">
        <v>-0.28074110000000002</v>
      </c>
      <c r="U3017">
        <v>2.6937259999999998</v>
      </c>
      <c r="V3017">
        <v>-0.1478805</v>
      </c>
      <c r="W3017">
        <v>0.136066299999999</v>
      </c>
      <c r="X3017">
        <v>0.97960060000000004</v>
      </c>
      <c r="Y3017">
        <v>-0.38620369999999998</v>
      </c>
      <c r="Z3017">
        <v>-3.7245809999999997E-2</v>
      </c>
      <c r="AA3017">
        <v>0.92166130000000002</v>
      </c>
      <c r="AB3017">
        <v>29</v>
      </c>
      <c r="AC3017">
        <v>6.4891999999999799</v>
      </c>
      <c r="AD3017">
        <v>-1.1189188938329999</v>
      </c>
      <c r="AE3017">
        <v>10.649050000000001</v>
      </c>
      <c r="AF3017">
        <v>-4.8190090809299804</v>
      </c>
      <c r="AG3017">
        <v>-1.1189188938329999</v>
      </c>
      <c r="AH3017">
        <v>11.393642596020801</v>
      </c>
      <c r="AI3017">
        <v>95.168226790403295</v>
      </c>
      <c r="AJ3017">
        <v>112.926221884494</v>
      </c>
      <c r="AK3017">
        <v>12.4213493477529</v>
      </c>
      <c r="AL3017">
        <v>82.179716700303899</v>
      </c>
      <c r="AM3017">
        <v>98.584551235842099</v>
      </c>
      <c r="AN3017">
        <v>1.0000000078981499</v>
      </c>
    </row>
    <row r="3018" spans="1:40" x14ac:dyDescent="0.3">
      <c r="A3018" t="str">
        <f>"20200111150912755"</f>
        <v>20200111150912755</v>
      </c>
      <c r="B3018" t="str">
        <f>"1578726552747430"</f>
        <v>1578726552747430</v>
      </c>
      <c r="C3018" t="s">
        <v>40</v>
      </c>
      <c r="D3018">
        <v>5.5605039999999999</v>
      </c>
      <c r="E3018">
        <v>0.40157569999999998</v>
      </c>
      <c r="F3018" t="s">
        <v>89</v>
      </c>
      <c r="G3018">
        <v>-193.66239999999999</v>
      </c>
      <c r="H3018" s="1">
        <v>-4.4468590000000001E-6</v>
      </c>
      <c r="I3018">
        <v>-45.473739999999999</v>
      </c>
      <c r="J3018">
        <v>-201.035</v>
      </c>
      <c r="K3018">
        <v>1.1189119999999999</v>
      </c>
      <c r="L3018">
        <v>-57.48218</v>
      </c>
      <c r="M3018">
        <v>0.808183599999999</v>
      </c>
      <c r="N3018">
        <v>0</v>
      </c>
      <c r="O3018">
        <v>0.58878030000000003</v>
      </c>
      <c r="P3018">
        <v>0.70813199999999998</v>
      </c>
      <c r="Q3018">
        <v>0.12582979999999999</v>
      </c>
      <c r="R3018">
        <v>0.69477749999999905</v>
      </c>
      <c r="S3018">
        <v>1.658798</v>
      </c>
      <c r="T3018">
        <v>-0.247641</v>
      </c>
      <c r="U3018">
        <v>2.678833</v>
      </c>
      <c r="V3018">
        <v>-0.14755969999999999</v>
      </c>
      <c r="W3018">
        <v>0.1357177</v>
      </c>
      <c r="X3018">
        <v>0.97969729999999999</v>
      </c>
      <c r="Y3018">
        <v>-0.37753789999999998</v>
      </c>
      <c r="Z3018">
        <v>-3.3755750000000001E-2</v>
      </c>
      <c r="AA3018">
        <v>0.9253787</v>
      </c>
      <c r="AB3018">
        <v>29</v>
      </c>
      <c r="AC3018">
        <v>7.3726000000000003</v>
      </c>
      <c r="AD3018">
        <v>-1.118916446859</v>
      </c>
      <c r="AE3018">
        <v>12.00844</v>
      </c>
      <c r="AF3018">
        <v>-5.3310434756928302</v>
      </c>
      <c r="AG3018">
        <v>-1.118916446859</v>
      </c>
      <c r="AH3018">
        <v>12.9482575750985</v>
      </c>
      <c r="AI3018">
        <v>94.5686167856352</v>
      </c>
      <c r="AJ3018">
        <v>112.377895204173</v>
      </c>
      <c r="AK3018">
        <v>14.047397366981301</v>
      </c>
      <c r="AL3018">
        <v>82.199876799328393</v>
      </c>
      <c r="AM3018">
        <v>98.565372194912598</v>
      </c>
      <c r="AN3018">
        <v>0.99999997939233398</v>
      </c>
    </row>
    <row r="3019" spans="1:40" x14ac:dyDescent="0.3">
      <c r="A3019" t="str">
        <f>"20200111150912765"</f>
        <v>20200111150912765</v>
      </c>
      <c r="B3019" t="str">
        <f>"1578726552757190"</f>
        <v>1578726552757190</v>
      </c>
      <c r="C3019" t="s">
        <v>40</v>
      </c>
      <c r="D3019">
        <v>5.5991619999999998</v>
      </c>
      <c r="E3019">
        <v>0.4014914</v>
      </c>
      <c r="F3019" t="s">
        <v>89</v>
      </c>
      <c r="G3019">
        <v>-193.3441</v>
      </c>
      <c r="H3019" s="1">
        <v>-4.7335100000000004E-6</v>
      </c>
      <c r="I3019">
        <v>-44.743980000000001</v>
      </c>
      <c r="J3019">
        <v>-200.93029999999999</v>
      </c>
      <c r="K3019">
        <v>1.118908</v>
      </c>
      <c r="L3019">
        <v>-57.399439999999998</v>
      </c>
      <c r="M3019">
        <v>0.80501330000000004</v>
      </c>
      <c r="N3019">
        <v>0</v>
      </c>
      <c r="O3019">
        <v>0.59310750000000001</v>
      </c>
      <c r="P3019">
        <v>0.70468750000000002</v>
      </c>
      <c r="Q3019">
        <v>0.1255609</v>
      </c>
      <c r="R3019">
        <v>0.69831940000000003</v>
      </c>
      <c r="S3019">
        <v>1.6299440000000001</v>
      </c>
      <c r="T3019">
        <v>-0.2371327</v>
      </c>
      <c r="U3019">
        <v>2.6996150000000001</v>
      </c>
      <c r="V3019">
        <v>-0.14718059999999999</v>
      </c>
      <c r="W3019">
        <v>0.135458299999999</v>
      </c>
      <c r="X3019">
        <v>0.9797903</v>
      </c>
      <c r="Y3019">
        <v>-0.3829417</v>
      </c>
      <c r="Z3019">
        <v>-3.2489469999999999E-2</v>
      </c>
      <c r="AA3019">
        <v>0.92320100000000005</v>
      </c>
      <c r="AB3019">
        <v>29</v>
      </c>
      <c r="AC3019">
        <v>7.5861999999999901</v>
      </c>
      <c r="AD3019">
        <v>-1.11891273351</v>
      </c>
      <c r="AE3019">
        <v>12.65546</v>
      </c>
      <c r="AF3019">
        <v>-5.6563578636197001</v>
      </c>
      <c r="AG3019">
        <v>-1.11891273351</v>
      </c>
      <c r="AH3019">
        <v>13.536403389880199</v>
      </c>
      <c r="AI3019">
        <v>94.361429815576997</v>
      </c>
      <c r="AJ3019">
        <v>112.678229838921</v>
      </c>
      <c r="AK3019">
        <v>14.713278585009601</v>
      </c>
      <c r="AL3019">
        <v>82.2148784552423</v>
      </c>
      <c r="AM3019">
        <v>98.542892820060402</v>
      </c>
      <c r="AN3019">
        <v>1.00000005601466</v>
      </c>
    </row>
    <row r="3020" spans="1:40" x14ac:dyDescent="0.3">
      <c r="A3020" t="str">
        <f>"20200111150912776"</f>
        <v>20200111150912776</v>
      </c>
      <c r="B3020" t="str">
        <f>"1578726552766950"</f>
        <v>1578726552766950</v>
      </c>
      <c r="C3020" t="s">
        <v>40</v>
      </c>
      <c r="D3020">
        <v>5.5452589999999997</v>
      </c>
      <c r="E3020">
        <v>0.40075759999999999</v>
      </c>
      <c r="F3020" t="s">
        <v>89</v>
      </c>
      <c r="G3020">
        <v>-193.6508</v>
      </c>
      <c r="H3020" s="1">
        <v>-4.5732690000000001E-6</v>
      </c>
      <c r="I3020">
        <v>-45.205179999999999</v>
      </c>
      <c r="J3020">
        <v>-200.8194</v>
      </c>
      <c r="K3020">
        <v>1.1189039999999999</v>
      </c>
      <c r="L3020">
        <v>-57.311219999999999</v>
      </c>
      <c r="M3020">
        <v>0.80162330000000004</v>
      </c>
      <c r="N3020">
        <v>0</v>
      </c>
      <c r="O3020">
        <v>0.59768140000000003</v>
      </c>
      <c r="P3020">
        <v>0.70099849999999997</v>
      </c>
      <c r="Q3020">
        <v>0.12549109999999999</v>
      </c>
      <c r="R3020">
        <v>0.70203499999999996</v>
      </c>
      <c r="S3020">
        <v>1.6170960000000001</v>
      </c>
      <c r="T3020">
        <v>-0.2485607</v>
      </c>
      <c r="U3020">
        <v>2.7088930000000002</v>
      </c>
      <c r="V3020">
        <v>-0.14677109999999999</v>
      </c>
      <c r="W3020">
        <v>0.1353983</v>
      </c>
      <c r="X3020">
        <v>0.97985990000000001</v>
      </c>
      <c r="Y3020">
        <v>-0.38234459999999998</v>
      </c>
      <c r="Z3020">
        <v>-3.4467789999999998E-2</v>
      </c>
      <c r="AA3020">
        <v>0.92337670000000005</v>
      </c>
      <c r="AB3020">
        <v>29</v>
      </c>
      <c r="AC3020">
        <v>7.1685999999999899</v>
      </c>
      <c r="AD3020">
        <v>-1.1189085732690001</v>
      </c>
      <c r="AE3020">
        <v>12.10604</v>
      </c>
      <c r="AF3020">
        <v>-5.3863571984089704</v>
      </c>
      <c r="AG3020">
        <v>-1.1189085732690001</v>
      </c>
      <c r="AH3020">
        <v>12.9016212170673</v>
      </c>
      <c r="AI3020">
        <v>94.575709402655093</v>
      </c>
      <c r="AJ3020">
        <v>112.66027286333799</v>
      </c>
      <c r="AK3020">
        <v>14.025570587069501</v>
      </c>
      <c r="AL3020">
        <v>82.218347255726201</v>
      </c>
      <c r="AM3020">
        <v>98.518876974902696</v>
      </c>
      <c r="AN3020">
        <v>0.99999993953305299</v>
      </c>
    </row>
    <row r="3021" spans="1:40" x14ac:dyDescent="0.3">
      <c r="A3021" t="str">
        <f>"20200111150912809"</f>
        <v>20200111150912809</v>
      </c>
      <c r="B3021" t="str">
        <f>"1578726552806966"</f>
        <v>1578726552806966</v>
      </c>
      <c r="C3021" t="s">
        <v>40</v>
      </c>
      <c r="D3021">
        <v>5.5016999999999996</v>
      </c>
      <c r="E3021">
        <v>0.40059889999999998</v>
      </c>
      <c r="F3021" t="s">
        <v>89</v>
      </c>
      <c r="G3021">
        <v>-193.6284</v>
      </c>
      <c r="H3021" s="1">
        <v>-4.6330009999999998E-6</v>
      </c>
      <c r="I3021">
        <v>-45.068390000000001</v>
      </c>
      <c r="J3021">
        <v>-200.49610000000001</v>
      </c>
      <c r="K3021">
        <v>1.1188940000000001</v>
      </c>
      <c r="L3021">
        <v>-57.046939999999999</v>
      </c>
      <c r="M3021">
        <v>0.79148160000000001</v>
      </c>
      <c r="N3021">
        <v>0</v>
      </c>
      <c r="O3021">
        <v>0.61104820000000004</v>
      </c>
      <c r="P3021">
        <v>0.68974519999999995</v>
      </c>
      <c r="Q3021">
        <v>0.1253309</v>
      </c>
      <c r="R3021">
        <v>0.71312259999999905</v>
      </c>
      <c r="S3021">
        <v>1.598557</v>
      </c>
      <c r="T3021">
        <v>-0.24873129999999999</v>
      </c>
      <c r="U3021">
        <v>2.7215579999999999</v>
      </c>
      <c r="V3021">
        <v>-0.14592720000000001</v>
      </c>
      <c r="W3021">
        <v>0.13525799999999999</v>
      </c>
      <c r="X3021">
        <v>0.98000540000000003</v>
      </c>
      <c r="Y3021">
        <v>-0.37342029999999998</v>
      </c>
      <c r="Z3021">
        <v>-3.5995689999999997E-2</v>
      </c>
      <c r="AA3021">
        <v>0.9269636</v>
      </c>
      <c r="AB3021">
        <v>29</v>
      </c>
      <c r="AC3021">
        <v>6.8677000000000099</v>
      </c>
      <c r="AD3021">
        <v>-1.118898633001</v>
      </c>
      <c r="AE3021">
        <v>11.978549999999901</v>
      </c>
      <c r="AF3021">
        <v>-5.2502970980371497</v>
      </c>
      <c r="AG3021">
        <v>-1.118898633001</v>
      </c>
      <c r="AH3021">
        <v>12.6730392667393</v>
      </c>
      <c r="AI3021">
        <v>94.663113910116607</v>
      </c>
      <c r="AJ3021">
        <v>112.503675030134</v>
      </c>
      <c r="AK3021">
        <v>13.763120213996</v>
      </c>
      <c r="AL3021">
        <v>82.226461189997593</v>
      </c>
      <c r="AM3021">
        <v>98.469368627006205</v>
      </c>
      <c r="AN3021">
        <v>1.0000000291464901</v>
      </c>
    </row>
    <row r="3022" spans="1:40" x14ac:dyDescent="0.3">
      <c r="A3022" t="str">
        <f>"20200111150912821"</f>
        <v>20200111150912821</v>
      </c>
      <c r="B3022" t="str">
        <f>"1578726552816727"</f>
        <v>1578726552816727</v>
      </c>
      <c r="C3022" t="s">
        <v>40</v>
      </c>
      <c r="D3022">
        <v>5.5409769999999998</v>
      </c>
      <c r="E3022">
        <v>0.4008832</v>
      </c>
      <c r="F3022" t="s">
        <v>89</v>
      </c>
      <c r="G3022">
        <v>-193.58500000000001</v>
      </c>
      <c r="H3022" s="1">
        <v>-4.7354499999999997E-6</v>
      </c>
      <c r="I3022">
        <v>-44.831890000000001</v>
      </c>
      <c r="J3022">
        <v>-200.39189999999999</v>
      </c>
      <c r="K3022">
        <v>1.1188899999999999</v>
      </c>
      <c r="L3022">
        <v>-56.960239999999999</v>
      </c>
      <c r="M3022">
        <v>0.78814249999999997</v>
      </c>
      <c r="N3022">
        <v>0</v>
      </c>
      <c r="O3022">
        <v>0.61534909999999998</v>
      </c>
      <c r="P3022">
        <v>0.68586780000000003</v>
      </c>
      <c r="Q3022">
        <v>0.12500419999999901</v>
      </c>
      <c r="R3022">
        <v>0.71690959999999904</v>
      </c>
      <c r="S3022">
        <v>1.5545040000000001</v>
      </c>
      <c r="T3022">
        <v>-0.2516736</v>
      </c>
      <c r="U3022">
        <v>2.747528</v>
      </c>
      <c r="V3022">
        <v>-0.14594219999999999</v>
      </c>
      <c r="W3022">
        <v>0.134931</v>
      </c>
      <c r="X3022">
        <v>0.98004820000000004</v>
      </c>
      <c r="Y3022">
        <v>-0.38336239999999999</v>
      </c>
      <c r="Z3022">
        <v>-3.6457469999999999E-2</v>
      </c>
      <c r="AA3022">
        <v>0.92287819999999998</v>
      </c>
      <c r="AB3022">
        <v>29</v>
      </c>
      <c r="AC3022">
        <v>6.8068999999999802</v>
      </c>
      <c r="AD3022">
        <v>-1.1188947354499901</v>
      </c>
      <c r="AE3022">
        <v>12.1283499999999</v>
      </c>
      <c r="AF3022">
        <v>-5.3361863775655101</v>
      </c>
      <c r="AG3022">
        <v>-1.1188947354499901</v>
      </c>
      <c r="AH3022">
        <v>12.7466123155391</v>
      </c>
      <c r="AI3022">
        <v>94.629184085413499</v>
      </c>
      <c r="AJ3022">
        <v>112.715923791695</v>
      </c>
      <c r="AK3022">
        <v>13.863727349013599</v>
      </c>
      <c r="AL3022">
        <v>82.245369928523502</v>
      </c>
      <c r="AM3022">
        <v>98.469862033190296</v>
      </c>
      <c r="AN3022">
        <v>0.99999998741253904</v>
      </c>
    </row>
    <row r="3023" spans="1:40" x14ac:dyDescent="0.3">
      <c r="A3023" t="str">
        <f>"20200111150912833"</f>
        <v>20200111150912833</v>
      </c>
      <c r="B3023" t="str">
        <f>"1578726552827462"</f>
        <v>1578726552827462</v>
      </c>
      <c r="C3023" t="s">
        <v>40</v>
      </c>
      <c r="D3023">
        <v>5.4878869999999997</v>
      </c>
      <c r="E3023">
        <v>0.40053830000000001</v>
      </c>
      <c r="F3023" t="s">
        <v>89</v>
      </c>
      <c r="G3023">
        <v>-193.74090000000001</v>
      </c>
      <c r="H3023" s="1">
        <v>-4.6491299999999997E-6</v>
      </c>
      <c r="I3023">
        <v>-45.07676</v>
      </c>
      <c r="J3023">
        <v>-200.27680000000001</v>
      </c>
      <c r="K3023">
        <v>1.118884</v>
      </c>
      <c r="L3023">
        <v>-56.862699999999997</v>
      </c>
      <c r="M3023">
        <v>0.78439829999999999</v>
      </c>
      <c r="N3023">
        <v>0</v>
      </c>
      <c r="O3023">
        <v>0.62011490000000002</v>
      </c>
      <c r="P3023">
        <v>0.68121109999999996</v>
      </c>
      <c r="Q3023">
        <v>0.12500049999999999</v>
      </c>
      <c r="R3023">
        <v>0.72133639999999999</v>
      </c>
      <c r="S3023">
        <v>1.5418400000000001</v>
      </c>
      <c r="T3023">
        <v>-0.25938169999999999</v>
      </c>
      <c r="U3023">
        <v>2.7548219999999999</v>
      </c>
      <c r="V3023">
        <v>-0.14634720000000001</v>
      </c>
      <c r="W3023">
        <v>0.13491779999999901</v>
      </c>
      <c r="X3023">
        <v>0.97998960000000002</v>
      </c>
      <c r="Y3023">
        <v>-0.38207190000000002</v>
      </c>
      <c r="Z3023">
        <v>-3.806524E-2</v>
      </c>
      <c r="AA3023">
        <v>0.92334830000000001</v>
      </c>
      <c r="AB3023">
        <v>29</v>
      </c>
      <c r="AC3023">
        <v>6.5358999999999901</v>
      </c>
      <c r="AD3023">
        <v>-1.1188886491299901</v>
      </c>
      <c r="AE3023">
        <v>11.785939999999901</v>
      </c>
      <c r="AF3023">
        <v>-5.1567768304577504</v>
      </c>
      <c r="AG3023">
        <v>-1.1188886491299901</v>
      </c>
      <c r="AH3023">
        <v>12.3513501770496</v>
      </c>
      <c r="AI3023">
        <v>94.778534127872007</v>
      </c>
      <c r="AJ3023">
        <v>112.66088444452799</v>
      </c>
      <c r="AK3023">
        <v>13.431310817801799</v>
      </c>
      <c r="AL3023">
        <v>82.246133044588703</v>
      </c>
      <c r="AM3023">
        <v>98.493524621834396</v>
      </c>
      <c r="AN3023">
        <v>0.99999996590641904</v>
      </c>
    </row>
    <row r="3024" spans="1:40" x14ac:dyDescent="0.3">
      <c r="A3024" t="str">
        <f>"20200111150912845"</f>
        <v>20200111150912845</v>
      </c>
      <c r="B3024" t="str">
        <f>"1578726552837222"</f>
        <v>1578726552837222</v>
      </c>
      <c r="C3024" t="s">
        <v>40</v>
      </c>
      <c r="D3024">
        <v>5.5476760000000001</v>
      </c>
      <c r="E3024">
        <v>0.40068399999999998</v>
      </c>
      <c r="F3024" t="s">
        <v>89</v>
      </c>
      <c r="G3024">
        <v>-193.68989999999999</v>
      </c>
      <c r="H3024" s="1">
        <v>-4.7262609999999999E-6</v>
      </c>
      <c r="I3024">
        <v>-44.891689999999997</v>
      </c>
      <c r="J3024">
        <v>-200.1566</v>
      </c>
      <c r="K3024">
        <v>1.1188800000000001</v>
      </c>
      <c r="L3024">
        <v>-56.759830000000001</v>
      </c>
      <c r="M3024">
        <v>0.78043909999999905</v>
      </c>
      <c r="N3024">
        <v>0</v>
      </c>
      <c r="O3024">
        <v>0.62509029999999999</v>
      </c>
      <c r="P3024">
        <v>0.67637910000000001</v>
      </c>
      <c r="Q3024">
        <v>0.1246047</v>
      </c>
      <c r="R3024">
        <v>0.72593739999999995</v>
      </c>
      <c r="S3024">
        <v>1.522125</v>
      </c>
      <c r="T3024">
        <v>-0.25855610000000001</v>
      </c>
      <c r="U3024">
        <v>2.7662960000000001</v>
      </c>
      <c r="V3024">
        <v>-0.14670429999999901</v>
      </c>
      <c r="W3024">
        <v>0.13451479999999999</v>
      </c>
      <c r="X3024">
        <v>0.97999159999999996</v>
      </c>
      <c r="Y3024">
        <v>-0.38287060000000001</v>
      </c>
      <c r="Z3024">
        <v>-3.8380690000000002E-2</v>
      </c>
      <c r="AA3024">
        <v>0.92300439999999995</v>
      </c>
      <c r="AB3024">
        <v>29</v>
      </c>
      <c r="AC3024">
        <v>6.4667000000000003</v>
      </c>
      <c r="AD3024">
        <v>-1.11888472626099</v>
      </c>
      <c r="AE3024">
        <v>11.86814</v>
      </c>
      <c r="AF3024">
        <v>-5.1850163179605104</v>
      </c>
      <c r="AG3024">
        <v>-1.11888472626099</v>
      </c>
      <c r="AH3024">
        <v>12.3817713417065</v>
      </c>
      <c r="AI3024">
        <v>94.764712322647696</v>
      </c>
      <c r="AJ3024">
        <v>112.72208701136</v>
      </c>
      <c r="AK3024">
        <v>13.470135812473499</v>
      </c>
      <c r="AL3024">
        <v>82.269435617169705</v>
      </c>
      <c r="AM3024">
        <v>98.513929067813393</v>
      </c>
      <c r="AN3024">
        <v>0.99999995956404397</v>
      </c>
    </row>
    <row r="3025" spans="1:40" x14ac:dyDescent="0.3">
      <c r="A3025" t="str">
        <f>"20200111150912856"</f>
        <v>20200111150912856</v>
      </c>
      <c r="B3025" t="str">
        <f>"1578726552846982"</f>
        <v>1578726552846982</v>
      </c>
      <c r="C3025" t="s">
        <v>40</v>
      </c>
      <c r="D3025">
        <v>5.5345779999999998</v>
      </c>
      <c r="E3025">
        <v>0.40087089999999997</v>
      </c>
      <c r="F3025" t="s">
        <v>89</v>
      </c>
      <c r="G3025">
        <v>-193.74549999999999</v>
      </c>
      <c r="H3025" s="1">
        <v>-4.716689E-6</v>
      </c>
      <c r="I3025">
        <v>-44.933509999999998</v>
      </c>
      <c r="J3025">
        <v>-200.0436</v>
      </c>
      <c r="K3025">
        <v>1.1188739999999999</v>
      </c>
      <c r="L3025">
        <v>-56.662140000000001</v>
      </c>
      <c r="M3025">
        <v>0.77667519999999901</v>
      </c>
      <c r="N3025">
        <v>0</v>
      </c>
      <c r="O3025">
        <v>0.62976089999999996</v>
      </c>
      <c r="P3025">
        <v>0.67187069999999904</v>
      </c>
      <c r="Q3025">
        <v>0.1242413</v>
      </c>
      <c r="R3025">
        <v>0.73017390000000004</v>
      </c>
      <c r="S3025">
        <v>1.5046999999999999</v>
      </c>
      <c r="T3025">
        <v>-0.2626078</v>
      </c>
      <c r="U3025">
        <v>2.7756959999999999</v>
      </c>
      <c r="V3025">
        <v>-0.1469328</v>
      </c>
      <c r="W3025">
        <v>0.13414670000000001</v>
      </c>
      <c r="X3025">
        <v>0.98000790000000004</v>
      </c>
      <c r="Y3025">
        <v>-0.38313839999999999</v>
      </c>
      <c r="Z3025">
        <v>-3.9420009999999998E-2</v>
      </c>
      <c r="AA3025">
        <v>0.92284940000000004</v>
      </c>
      <c r="AB3025">
        <v>29</v>
      </c>
      <c r="AC3025">
        <v>6.2980999999999998</v>
      </c>
      <c r="AD3025">
        <v>-1.118878716689</v>
      </c>
      <c r="AE3025">
        <v>11.728630000000001</v>
      </c>
      <c r="AF3025">
        <v>-5.1074161267499596</v>
      </c>
      <c r="AG3025">
        <v>-1.118878716689</v>
      </c>
      <c r="AH3025">
        <v>12.192769502347399</v>
      </c>
      <c r="AI3025">
        <v>94.837979354929004</v>
      </c>
      <c r="AJ3025">
        <v>112.728270171872</v>
      </c>
      <c r="AK3025">
        <v>13.266545036738799</v>
      </c>
      <c r="AL3025">
        <v>82.290719677139606</v>
      </c>
      <c r="AM3025">
        <v>98.526855445385394</v>
      </c>
      <c r="AN3025">
        <v>1.0000000344495601</v>
      </c>
    </row>
    <row r="3026" spans="1:40" x14ac:dyDescent="0.3">
      <c r="A3026" t="str">
        <f>"20200111150912868"</f>
        <v>20200111150912868</v>
      </c>
      <c r="B3026" t="str">
        <f>"1578726552856742"</f>
        <v>1578726552856742</v>
      </c>
      <c r="C3026" t="s">
        <v>40</v>
      </c>
      <c r="D3026">
        <v>5.6060019999999904</v>
      </c>
      <c r="E3026">
        <v>0.4007811</v>
      </c>
      <c r="F3026" t="s">
        <v>89</v>
      </c>
      <c r="G3026">
        <v>-193.77979999999999</v>
      </c>
      <c r="H3026" s="1">
        <v>-4.7150940000000002E-6</v>
      </c>
      <c r="I3026">
        <v>-44.950020000000002</v>
      </c>
      <c r="J3026">
        <v>-199.9435</v>
      </c>
      <c r="K3026">
        <v>1.1188709999999999</v>
      </c>
      <c r="L3026">
        <v>-56.574129999999997</v>
      </c>
      <c r="M3026">
        <v>0.77329179999999997</v>
      </c>
      <c r="N3026">
        <v>0</v>
      </c>
      <c r="O3026">
        <v>0.6339108</v>
      </c>
      <c r="P3026">
        <v>0.66802519999999999</v>
      </c>
      <c r="Q3026">
        <v>0.1242109</v>
      </c>
      <c r="R3026">
        <v>0.73369890000000004</v>
      </c>
      <c r="S3026">
        <v>1.4888760000000001</v>
      </c>
      <c r="T3026">
        <v>-0.2659512</v>
      </c>
      <c r="U3026">
        <v>2.7839049999999999</v>
      </c>
      <c r="V3026">
        <v>-0.1468361</v>
      </c>
      <c r="W3026">
        <v>0.13411879999999901</v>
      </c>
      <c r="X3026">
        <v>0.98002619999999896</v>
      </c>
      <c r="Y3026">
        <v>-0.38342120000000002</v>
      </c>
      <c r="Z3026">
        <v>-4.0317409999999998E-2</v>
      </c>
      <c r="AA3026">
        <v>0.92269310000000004</v>
      </c>
      <c r="AB3026">
        <v>29</v>
      </c>
      <c r="AC3026">
        <v>6.1637000000000004</v>
      </c>
      <c r="AD3026">
        <v>-1.1188757150940001</v>
      </c>
      <c r="AE3026">
        <v>11.62411</v>
      </c>
      <c r="AF3026">
        <v>-5.0455546529252597</v>
      </c>
      <c r="AG3026">
        <v>-1.1188757150940001</v>
      </c>
      <c r="AH3026">
        <v>12.048927071739699</v>
      </c>
      <c r="AI3026">
        <v>94.8956755718214</v>
      </c>
      <c r="AJ3026">
        <v>112.721766963528</v>
      </c>
      <c r="AK3026">
        <v>13.110535770958601</v>
      </c>
      <c r="AL3026">
        <v>82.292332715714593</v>
      </c>
      <c r="AM3026">
        <v>98.521169347198907</v>
      </c>
      <c r="AN3026">
        <v>1.00000002273154</v>
      </c>
    </row>
    <row r="3027" spans="1:40" x14ac:dyDescent="0.3">
      <c r="A3027" t="str">
        <f>"20200111150912878"</f>
        <v>20200111150912878</v>
      </c>
      <c r="B3027" t="str">
        <f>"1578726552867478"</f>
        <v>1578726552867478</v>
      </c>
      <c r="C3027" t="s">
        <v>40</v>
      </c>
      <c r="D3027">
        <v>5.5935489999999897</v>
      </c>
      <c r="E3027">
        <v>0.40063189999999999</v>
      </c>
      <c r="F3027" t="s">
        <v>89</v>
      </c>
      <c r="G3027">
        <v>-193.65119999999999</v>
      </c>
      <c r="H3027" s="1">
        <v>-4.8343679999999998E-6</v>
      </c>
      <c r="I3027">
        <v>-44.644840000000002</v>
      </c>
      <c r="J3027">
        <v>-199.83690000000001</v>
      </c>
      <c r="K3027">
        <v>1.1188689999999999</v>
      </c>
      <c r="L3027">
        <v>-56.48001</v>
      </c>
      <c r="M3027">
        <v>0.76965850000000002</v>
      </c>
      <c r="N3027">
        <v>0</v>
      </c>
      <c r="O3027">
        <v>0.63831729999999998</v>
      </c>
      <c r="P3027">
        <v>0.66407130000000003</v>
      </c>
      <c r="Q3027">
        <v>0.1242096</v>
      </c>
      <c r="R3027">
        <v>0.73727969999999998</v>
      </c>
      <c r="S3027">
        <v>1.4727939999999999</v>
      </c>
      <c r="T3027">
        <v>-0.26189040000000002</v>
      </c>
      <c r="U3027">
        <v>2.7922359999999999</v>
      </c>
      <c r="V3027">
        <v>-0.1465051</v>
      </c>
      <c r="W3027">
        <v>0.13412589999999999</v>
      </c>
      <c r="X3027">
        <v>0.98007480000000002</v>
      </c>
      <c r="Y3027">
        <v>-0.38343509999999997</v>
      </c>
      <c r="Z3027">
        <v>-4.0130850000000003E-2</v>
      </c>
      <c r="AA3027">
        <v>0.9226955</v>
      </c>
      <c r="AB3027">
        <v>29</v>
      </c>
      <c r="AC3027">
        <v>6.1857000000000202</v>
      </c>
      <c r="AD3027">
        <v>-1.118873834368</v>
      </c>
      <c r="AE3027">
        <v>11.8351699999999</v>
      </c>
      <c r="AF3027">
        <v>-5.1250788915163596</v>
      </c>
      <c r="AG3027">
        <v>-1.118873834368</v>
      </c>
      <c r="AH3027">
        <v>12.2307016087563</v>
      </c>
      <c r="AI3027">
        <v>94.822776803960593</v>
      </c>
      <c r="AJ3027">
        <v>112.73533743020801</v>
      </c>
      <c r="AK3027">
        <v>13.3082070221324</v>
      </c>
      <c r="AL3027">
        <v>82.291922476167201</v>
      </c>
      <c r="AM3027">
        <v>98.501826414188798</v>
      </c>
      <c r="AN3027">
        <v>1.00000005748592</v>
      </c>
    </row>
    <row r="3028" spans="1:40" x14ac:dyDescent="0.3">
      <c r="A3028" t="str">
        <f>"20200111150912890"</f>
        <v>20200111150912890</v>
      </c>
      <c r="B3028" t="str">
        <f>"1578726552886998"</f>
        <v>1578726552886998</v>
      </c>
      <c r="C3028" t="s">
        <v>40</v>
      </c>
      <c r="D3028">
        <v>5.548616</v>
      </c>
      <c r="E3028">
        <v>0.40083400000000002</v>
      </c>
      <c r="F3028" t="s">
        <v>89</v>
      </c>
      <c r="G3028">
        <v>-193.49549999999999</v>
      </c>
      <c r="H3028" s="1">
        <v>-4.9760819999999996E-6</v>
      </c>
      <c r="I3028">
        <v>-44.281109999999998</v>
      </c>
      <c r="J3028">
        <v>-199.72649999999999</v>
      </c>
      <c r="K3028">
        <v>1.1188629999999999</v>
      </c>
      <c r="L3028">
        <v>-56.380650000000003</v>
      </c>
      <c r="M3028">
        <v>0.76583840000000003</v>
      </c>
      <c r="N3028">
        <v>0</v>
      </c>
      <c r="O3028">
        <v>0.64289549999999995</v>
      </c>
      <c r="P3028">
        <v>0.66009180000000001</v>
      </c>
      <c r="Q3028">
        <v>0.12424159999999999</v>
      </c>
      <c r="R3028">
        <v>0.74083940000000004</v>
      </c>
      <c r="S3028">
        <v>1.455978</v>
      </c>
      <c r="T3028">
        <v>-0.25689390000000001</v>
      </c>
      <c r="U3028">
        <v>2.8008730000000002</v>
      </c>
      <c r="V3028">
        <v>-0.1459326</v>
      </c>
      <c r="W3028">
        <v>0.1341717</v>
      </c>
      <c r="X3028">
        <v>0.98015390000000002</v>
      </c>
      <c r="Y3028">
        <v>-0.38344519999999999</v>
      </c>
      <c r="Z3028">
        <v>-3.9803489999999997E-2</v>
      </c>
      <c r="AA3028">
        <v>0.92270549999999996</v>
      </c>
      <c r="AB3028">
        <v>29</v>
      </c>
      <c r="AC3028">
        <v>6.2309999999999901</v>
      </c>
      <c r="AD3028">
        <v>-1.1188679760819999</v>
      </c>
      <c r="AE3028">
        <v>12.099539999999999</v>
      </c>
      <c r="AF3028">
        <v>-5.2255581810957601</v>
      </c>
      <c r="AG3028">
        <v>-1.1188679760819999</v>
      </c>
      <c r="AH3028">
        <v>12.467525646677201</v>
      </c>
      <c r="AI3028">
        <v>94.731394862710602</v>
      </c>
      <c r="AJ3028">
        <v>112.740192406719</v>
      </c>
      <c r="AK3028">
        <v>13.5645685372765</v>
      </c>
      <c r="AL3028">
        <v>82.289274089791505</v>
      </c>
      <c r="AM3028">
        <v>98.468412882372206</v>
      </c>
      <c r="AN3028">
        <v>1.00000001825443</v>
      </c>
    </row>
    <row r="3029" spans="1:40" x14ac:dyDescent="0.3">
      <c r="A3029" t="str">
        <f>"20200111150912902"</f>
        <v>20200111150912902</v>
      </c>
      <c r="B3029" t="str">
        <f>"1578726552896757"</f>
        <v>1578726552896757</v>
      </c>
      <c r="C3029" t="s">
        <v>40</v>
      </c>
      <c r="D3029">
        <v>5.5993399999999998</v>
      </c>
      <c r="E3029">
        <v>0.4009392</v>
      </c>
      <c r="F3029" t="s">
        <v>89</v>
      </c>
      <c r="G3029">
        <v>-193.48220000000001</v>
      </c>
      <c r="H3029" s="1">
        <v>-5.0024760000000001E-6</v>
      </c>
      <c r="I3029">
        <v>-44.219360000000002</v>
      </c>
      <c r="J3029">
        <v>-199.6157</v>
      </c>
      <c r="K3029">
        <v>1.11886</v>
      </c>
      <c r="L3029">
        <v>-56.280329999999999</v>
      </c>
      <c r="M3029">
        <v>0.76196889999999995</v>
      </c>
      <c r="N3029">
        <v>0</v>
      </c>
      <c r="O3029">
        <v>0.64747710000000003</v>
      </c>
      <c r="P3029">
        <v>0.65619050000000001</v>
      </c>
      <c r="Q3029">
        <v>0.1246993</v>
      </c>
      <c r="R3029">
        <v>0.74422060000000001</v>
      </c>
      <c r="S3029">
        <v>1.4418329999999999</v>
      </c>
      <c r="T3029">
        <v>-0.25835249999999998</v>
      </c>
      <c r="U3029">
        <v>2.8081049999999999</v>
      </c>
      <c r="V3029">
        <v>-0.14515239999999999</v>
      </c>
      <c r="W3029">
        <v>0.13464709999999999</v>
      </c>
      <c r="X3029">
        <v>0.98020450000000003</v>
      </c>
      <c r="Y3029">
        <v>-0.38256469999999998</v>
      </c>
      <c r="Z3029">
        <v>-4.0496709999999998E-2</v>
      </c>
      <c r="AA3029">
        <v>0.92304079999999999</v>
      </c>
      <c r="AB3029">
        <v>29</v>
      </c>
      <c r="AC3029">
        <v>6.13349999999999</v>
      </c>
      <c r="AD3029">
        <v>-1.1188650024760001</v>
      </c>
      <c r="AE3029">
        <v>12.060969999999999</v>
      </c>
      <c r="AF3029">
        <v>-5.1838003405613602</v>
      </c>
      <c r="AG3029">
        <v>-1.1188650024760001</v>
      </c>
      <c r="AH3029">
        <v>12.399062969585099</v>
      </c>
      <c r="AI3029">
        <v>94.7591649552608</v>
      </c>
      <c r="AJ3029">
        <v>112.688829716553</v>
      </c>
      <c r="AK3029">
        <v>13.485562924413101</v>
      </c>
      <c r="AL3029">
        <v>82.261785805174995</v>
      </c>
      <c r="AM3029">
        <v>98.423360883548597</v>
      </c>
      <c r="AN3029">
        <v>0.99999996129220903</v>
      </c>
    </row>
    <row r="3030" spans="1:40" x14ac:dyDescent="0.3">
      <c r="A3030" t="str">
        <f>"20200111150912913"</f>
        <v>20200111150912913</v>
      </c>
      <c r="B3030" t="str">
        <f>"1578726552907494"</f>
        <v>1578726552907494</v>
      </c>
      <c r="C3030" t="s">
        <v>40</v>
      </c>
      <c r="D3030">
        <v>7.3232439999999999</v>
      </c>
      <c r="E3030">
        <v>0.4009392</v>
      </c>
      <c r="F3030" t="s">
        <v>89</v>
      </c>
      <c r="G3030">
        <v>-193.4171</v>
      </c>
      <c r="H3030" s="1">
        <v>-5.0651930000000002E-6</v>
      </c>
      <c r="I3030">
        <v>-44.059849999999997</v>
      </c>
      <c r="J3030">
        <v>-199.50819999999999</v>
      </c>
      <c r="K3030">
        <v>1.1188579999999999</v>
      </c>
      <c r="L3030">
        <v>-56.181399999999996</v>
      </c>
      <c r="M3030">
        <v>0.75815819999999901</v>
      </c>
      <c r="N3030">
        <v>0</v>
      </c>
      <c r="O3030">
        <v>0.65193509999999999</v>
      </c>
      <c r="P3030">
        <v>0.65227060000000003</v>
      </c>
      <c r="Q3030">
        <v>0.1245662</v>
      </c>
      <c r="R3030">
        <v>0.74768059999999903</v>
      </c>
      <c r="S3030">
        <v>1.427948</v>
      </c>
      <c r="T3030">
        <v>-0.25774849999999999</v>
      </c>
      <c r="U3030">
        <v>2.8151860000000002</v>
      </c>
      <c r="V3030">
        <v>-0.14456579999999999</v>
      </c>
      <c r="W3030">
        <v>0.1345285</v>
      </c>
      <c r="X3030">
        <v>0.9803075</v>
      </c>
      <c r="Y3030">
        <v>-0.38171090000000002</v>
      </c>
      <c r="Z3030">
        <v>-4.085664E-2</v>
      </c>
      <c r="AA3030">
        <v>0.92337829999999999</v>
      </c>
      <c r="AB3030">
        <v>29</v>
      </c>
      <c r="AC3030">
        <v>6.0910999999999804</v>
      </c>
      <c r="AD3030">
        <v>-1.1188630651929901</v>
      </c>
      <c r="AE3030">
        <v>12.121549999999999</v>
      </c>
      <c r="AF3030">
        <v>-5.18424707932415</v>
      </c>
      <c r="AG3030">
        <v>-1.1188630651929901</v>
      </c>
      <c r="AH3030">
        <v>12.4369877186704</v>
      </c>
      <c r="AI3030">
        <v>94.746791505986295</v>
      </c>
      <c r="AJ3030">
        <v>112.62837806276001</v>
      </c>
      <c r="AK3030">
        <v>13.5206115191767</v>
      </c>
      <c r="AL3030">
        <v>82.268643710888796</v>
      </c>
      <c r="AM3030">
        <v>98.388936322311494</v>
      </c>
      <c r="AN3030">
        <v>0.99999999119907002</v>
      </c>
    </row>
    <row r="3031" spans="1:40" x14ac:dyDescent="0.3">
      <c r="A3031" t="str">
        <f>"20200111150912925"</f>
        <v>20200111150912925</v>
      </c>
      <c r="B3031" t="str">
        <f>"1578726552907494"</f>
        <v>1578726552907494</v>
      </c>
      <c r="C3031" t="s">
        <v>40</v>
      </c>
      <c r="D3031">
        <v>7.3232439999999999</v>
      </c>
      <c r="E3031">
        <v>0.4009392</v>
      </c>
      <c r="F3031" t="s">
        <v>89</v>
      </c>
      <c r="G3031">
        <v>-193.39</v>
      </c>
      <c r="H3031" s="1">
        <v>-5.1047749999999998E-6</v>
      </c>
      <c r="I3031">
        <v>-43.96452</v>
      </c>
      <c r="J3031">
        <v>-199.4016</v>
      </c>
      <c r="K3031">
        <v>1.1188549999999999</v>
      </c>
      <c r="L3031">
        <v>-56.0824</v>
      </c>
      <c r="M3031">
        <v>0.75434019999999902</v>
      </c>
      <c r="N3031">
        <v>0</v>
      </c>
      <c r="O3031">
        <v>0.65634910000000002</v>
      </c>
      <c r="P3031">
        <v>0.64827389999999996</v>
      </c>
      <c r="Q3031">
        <v>0.1247708</v>
      </c>
      <c r="R3031">
        <v>0.75111470000000002</v>
      </c>
      <c r="S3031">
        <v>1.4134370000000001</v>
      </c>
      <c r="T3031">
        <v>-0.25848389999999999</v>
      </c>
      <c r="U3031">
        <v>2.8223880000000001</v>
      </c>
      <c r="V3031">
        <v>-0.14404829999999999</v>
      </c>
      <c r="W3031">
        <v>0.13474529999999901</v>
      </c>
      <c r="X3031">
        <v>0.9803539</v>
      </c>
      <c r="Y3031">
        <v>-0.38106689999999999</v>
      </c>
      <c r="Z3031">
        <v>-4.1418249999999997E-2</v>
      </c>
      <c r="AA3031">
        <v>0.92361930000000003</v>
      </c>
      <c r="AB3031">
        <v>29</v>
      </c>
      <c r="AC3031">
        <v>6.0116000000000103</v>
      </c>
      <c r="AD3031">
        <v>-1.118860104775</v>
      </c>
      <c r="AE3031">
        <v>12.11788</v>
      </c>
      <c r="AF3031">
        <v>-5.1604504011607801</v>
      </c>
      <c r="AG3031">
        <v>-1.118860104775</v>
      </c>
      <c r="AH3031">
        <v>12.404590548967001</v>
      </c>
      <c r="AI3031">
        <v>94.760514432108494</v>
      </c>
      <c r="AJ3031">
        <v>112.58786466562999</v>
      </c>
      <c r="AK3031">
        <v>13.481689915007699</v>
      </c>
      <c r="AL3031">
        <v>82.256107829018504</v>
      </c>
      <c r="AM3031">
        <v>98.358941599008105</v>
      </c>
      <c r="AN3031">
        <v>0.99999998892509401</v>
      </c>
    </row>
    <row r="3032" spans="1:40" x14ac:dyDescent="0.3">
      <c r="A3032" t="str">
        <f>"20200111150912936"</f>
        <v>20200111150912936</v>
      </c>
      <c r="B3032" t="str">
        <f>"1578726552907494"</f>
        <v>1578726552907494</v>
      </c>
      <c r="C3032" t="s">
        <v>40</v>
      </c>
      <c r="D3032">
        <v>7.3232439999999999</v>
      </c>
      <c r="E3032">
        <v>0.4009392</v>
      </c>
      <c r="F3032" t="s">
        <v>89</v>
      </c>
      <c r="G3032">
        <v>-193.34280000000001</v>
      </c>
      <c r="H3032" s="1">
        <v>-5.1617489999999999E-6</v>
      </c>
      <c r="I3032">
        <v>-43.824179999999998</v>
      </c>
      <c r="J3032">
        <v>-199.29140000000001</v>
      </c>
      <c r="K3032">
        <v>1.1188499999999999</v>
      </c>
      <c r="L3032">
        <v>-55.978879999999997</v>
      </c>
      <c r="M3032">
        <v>0.75034529999999999</v>
      </c>
      <c r="N3032">
        <v>0</v>
      </c>
      <c r="O3032">
        <v>0.66091230000000001</v>
      </c>
      <c r="P3032">
        <v>0.644300599999999</v>
      </c>
      <c r="Q3032">
        <v>0.1243345</v>
      </c>
      <c r="R3032">
        <v>0.75459759999999998</v>
      </c>
      <c r="S3032">
        <v>1.398666</v>
      </c>
      <c r="T3032">
        <v>-0.25828830000000003</v>
      </c>
      <c r="U3032">
        <v>2.8298030000000001</v>
      </c>
      <c r="V3032">
        <v>-0.14331830000000001</v>
      </c>
      <c r="W3032">
        <v>0.13432720000000001</v>
      </c>
      <c r="X3032">
        <v>0.98051829999999995</v>
      </c>
      <c r="Y3032">
        <v>-0.38030419999999998</v>
      </c>
      <c r="Z3032">
        <v>-4.1849110000000002E-2</v>
      </c>
      <c r="AA3032">
        <v>0.92391420000000002</v>
      </c>
      <c r="AB3032">
        <v>29</v>
      </c>
      <c r="AC3032">
        <v>5.9485999999999901</v>
      </c>
      <c r="AD3032">
        <v>-1.1188551617489999</v>
      </c>
      <c r="AE3032">
        <v>12.1547</v>
      </c>
      <c r="AF3032">
        <v>-5.1539453371587998</v>
      </c>
      <c r="AG3032">
        <v>-1.1188551617489999</v>
      </c>
      <c r="AH3032">
        <v>12.412944398582001</v>
      </c>
      <c r="AI3032">
        <v>94.758653947492206</v>
      </c>
      <c r="AJ3032">
        <v>112.548582485556</v>
      </c>
      <c r="AK3032">
        <v>13.4868891169788</v>
      </c>
      <c r="AL3032">
        <v>82.280283330772093</v>
      </c>
      <c r="AM3032">
        <v>98.315799669838995</v>
      </c>
      <c r="AN3032">
        <v>1.0000000342048001</v>
      </c>
    </row>
    <row r="3033" spans="1:40" x14ac:dyDescent="0.3">
      <c r="A3033" t="str">
        <f>"20200111150912948"</f>
        <v>20200111150912948</v>
      </c>
      <c r="B3033" t="str">
        <f>"1578726552907494"</f>
        <v>1578726552907494</v>
      </c>
      <c r="C3033" t="s">
        <v>40</v>
      </c>
      <c r="D3033">
        <v>7.3232439999999999</v>
      </c>
      <c r="E3033">
        <v>0.4009392</v>
      </c>
      <c r="F3033" t="s">
        <v>89</v>
      </c>
      <c r="G3033">
        <v>-193.33080000000001</v>
      </c>
      <c r="H3033" s="1">
        <v>-5.1906080000000001E-6</v>
      </c>
      <c r="I3033">
        <v>-43.757620000000003</v>
      </c>
      <c r="J3033">
        <v>-199.18899999999999</v>
      </c>
      <c r="K3033">
        <v>1.1188450000000001</v>
      </c>
      <c r="L3033">
        <v>-55.881230000000002</v>
      </c>
      <c r="M3033">
        <v>0.74658409999999997</v>
      </c>
      <c r="N3033">
        <v>0</v>
      </c>
      <c r="O3033">
        <v>0.66515819999999903</v>
      </c>
      <c r="P3033">
        <v>0.64052449999999905</v>
      </c>
      <c r="Q3033">
        <v>0.1239828</v>
      </c>
      <c r="R3033">
        <v>0.75786319999999996</v>
      </c>
      <c r="S3033">
        <v>1.383667</v>
      </c>
      <c r="T3033">
        <v>-0.2597275</v>
      </c>
      <c r="U3033">
        <v>2.8370060000000001</v>
      </c>
      <c r="V3033">
        <v>-0.1426857</v>
      </c>
      <c r="W3033">
        <v>0.13399169999999999</v>
      </c>
      <c r="X3033">
        <v>0.98065639999999998</v>
      </c>
      <c r="Y3033">
        <v>-0.37994109999999998</v>
      </c>
      <c r="Z3033">
        <v>-4.2504649999999998E-2</v>
      </c>
      <c r="AA3033">
        <v>0.92403360000000001</v>
      </c>
      <c r="AB3033">
        <v>29</v>
      </c>
      <c r="AC3033">
        <v>5.8582000000000098</v>
      </c>
      <c r="AD3033">
        <v>-1.118850190608</v>
      </c>
      <c r="AE3033">
        <v>12.123609999999999</v>
      </c>
      <c r="AF3033">
        <v>-5.1197698046574196</v>
      </c>
      <c r="AG3033">
        <v>-1.118850190608</v>
      </c>
      <c r="AH3033">
        <v>12.353559248252299</v>
      </c>
      <c r="AI3033">
        <v>94.782700450556106</v>
      </c>
      <c r="AJ3033">
        <v>112.51091753065</v>
      </c>
      <c r="AK3033">
        <v>13.419176379412599</v>
      </c>
      <c r="AL3033">
        <v>82.299681005909903</v>
      </c>
      <c r="AM3033">
        <v>98.278454293616207</v>
      </c>
      <c r="AN3033">
        <v>0.99999997975716903</v>
      </c>
    </row>
    <row r="3034" spans="1:40" x14ac:dyDescent="0.3">
      <c r="A3034" t="str">
        <f>"20200111150912960"</f>
        <v>20200111150912960</v>
      </c>
      <c r="B3034" t="str">
        <f>"1578726552907494"</f>
        <v>1578726552907494</v>
      </c>
      <c r="C3034" t="s">
        <v>40</v>
      </c>
      <c r="D3034">
        <v>7.3232439999999999</v>
      </c>
      <c r="E3034">
        <v>0.4009392</v>
      </c>
      <c r="F3034" t="s">
        <v>89</v>
      </c>
      <c r="G3034">
        <v>-193.31729999999999</v>
      </c>
      <c r="H3034" s="1">
        <v>-5.2216769999999999E-6</v>
      </c>
      <c r="I3034">
        <v>-43.685749999999999</v>
      </c>
      <c r="J3034">
        <v>-199.08160000000001</v>
      </c>
      <c r="K3034">
        <v>1.1188400000000001</v>
      </c>
      <c r="L3034">
        <v>-55.778260000000003</v>
      </c>
      <c r="M3034">
        <v>0.74260490000000001</v>
      </c>
      <c r="N3034">
        <v>0</v>
      </c>
      <c r="O3034">
        <v>0.66959789999999997</v>
      </c>
      <c r="P3034">
        <v>0.63660629999999996</v>
      </c>
      <c r="Q3034">
        <v>0.1239079</v>
      </c>
      <c r="R3034">
        <v>0.76116969999999995</v>
      </c>
      <c r="S3034">
        <v>1.3692629999999999</v>
      </c>
      <c r="T3034">
        <v>-0.26091120000000001</v>
      </c>
      <c r="U3034">
        <v>2.8439329999999998</v>
      </c>
      <c r="V3034">
        <v>-0.141902</v>
      </c>
      <c r="W3034">
        <v>0.1339359</v>
      </c>
      <c r="X3034">
        <v>0.98077769999999997</v>
      </c>
      <c r="Y3034">
        <v>-0.37911850000000002</v>
      </c>
      <c r="Z3034">
        <v>-4.3156649999999998E-2</v>
      </c>
      <c r="AA3034">
        <v>0.92434119999999997</v>
      </c>
      <c r="AB3034">
        <v>29</v>
      </c>
      <c r="AC3034">
        <v>5.7643000000000102</v>
      </c>
      <c r="AD3034">
        <v>-1.118845221677</v>
      </c>
      <c r="AE3034">
        <v>12.0925099999999</v>
      </c>
      <c r="AF3034">
        <v>-5.0851740275244603</v>
      </c>
      <c r="AG3034">
        <v>-1.118845221677</v>
      </c>
      <c r="AH3034">
        <v>12.2930583423122</v>
      </c>
      <c r="AI3034">
        <v>94.807417340356494</v>
      </c>
      <c r="AJ3034">
        <v>112.473032230188</v>
      </c>
      <c r="AK3034">
        <v>13.3502843762884</v>
      </c>
      <c r="AL3034">
        <v>82.302906959095594</v>
      </c>
      <c r="AM3034">
        <v>98.232605687751203</v>
      </c>
      <c r="AN3034">
        <v>0.99999994986504803</v>
      </c>
    </row>
    <row r="3035" spans="1:40" x14ac:dyDescent="0.3">
      <c r="A3035" t="str">
        <f>"20200111150912990"</f>
        <v>20200111150912990</v>
      </c>
      <c r="B3035" t="str">
        <f>"1578726552987526"</f>
        <v>1578726552987526</v>
      </c>
      <c r="C3035" t="s">
        <v>40</v>
      </c>
      <c r="D3035">
        <v>5.7553039999999998</v>
      </c>
      <c r="E3035">
        <v>0.398206</v>
      </c>
      <c r="F3035" t="s">
        <v>89</v>
      </c>
      <c r="G3035">
        <v>-193.2724</v>
      </c>
      <c r="H3035" s="1">
        <v>-5.2769240000000001E-6</v>
      </c>
      <c r="I3035">
        <v>-43.55001</v>
      </c>
      <c r="J3035">
        <v>-198.80840000000001</v>
      </c>
      <c r="K3035">
        <v>1.118827</v>
      </c>
      <c r="L3035">
        <v>-55.509189999999997</v>
      </c>
      <c r="M3035">
        <v>0.73223499999999997</v>
      </c>
      <c r="N3035">
        <v>0</v>
      </c>
      <c r="O3035">
        <v>0.68092249999999999</v>
      </c>
      <c r="P3035">
        <v>0.6256022</v>
      </c>
      <c r="Q3035">
        <v>0.1247692</v>
      </c>
      <c r="R3035">
        <v>0.77010040000000002</v>
      </c>
      <c r="S3035">
        <v>1.3544160000000001</v>
      </c>
      <c r="T3035">
        <v>-0.2608587</v>
      </c>
      <c r="U3035">
        <v>2.851013</v>
      </c>
      <c r="V3035">
        <v>-0.14084530000000001</v>
      </c>
      <c r="W3035">
        <v>0.13482189999999999</v>
      </c>
      <c r="X3035">
        <v>0.98080869999999998</v>
      </c>
      <c r="Y3035">
        <v>-0.36974220000000002</v>
      </c>
      <c r="Z3035">
        <v>-4.4565649999999998E-2</v>
      </c>
      <c r="AA3035">
        <v>0.92806489999999997</v>
      </c>
      <c r="AB3035">
        <v>29</v>
      </c>
      <c r="AC3035">
        <v>5.5359999999999996</v>
      </c>
      <c r="AD3035">
        <v>-1.118832276924</v>
      </c>
      <c r="AE3035">
        <v>11.95918</v>
      </c>
      <c r="AF3035">
        <v>-4.9520892660871896</v>
      </c>
      <c r="AG3035">
        <v>-1.118832276924</v>
      </c>
      <c r="AH3035">
        <v>12.110711504991899</v>
      </c>
      <c r="AI3035">
        <v>94.887536591857099</v>
      </c>
      <c r="AJ3035">
        <v>112.239731245708</v>
      </c>
      <c r="AK3035">
        <v>13.1318051660968</v>
      </c>
      <c r="AL3035">
        <v>82.251678833696403</v>
      </c>
      <c r="AM3035">
        <v>98.171876342481596</v>
      </c>
      <c r="AN3035">
        <v>1.00000002462369</v>
      </c>
    </row>
    <row r="3036" spans="1:40" x14ac:dyDescent="0.3">
      <c r="A3036" t="str">
        <f>"20200111150913005"</f>
        <v>20200111150913005</v>
      </c>
      <c r="B3036" t="str">
        <f>"1578726552997285"</f>
        <v>1578726552997285</v>
      </c>
      <c r="C3036" t="s">
        <v>40</v>
      </c>
      <c r="D3036">
        <v>5.5811409999999997</v>
      </c>
      <c r="E3036">
        <v>0.398206</v>
      </c>
      <c r="F3036" t="s">
        <v>76</v>
      </c>
      <c r="G3036">
        <v>-163.435</v>
      </c>
      <c r="H3036">
        <v>19.74381</v>
      </c>
      <c r="I3036">
        <v>25.184909999999999</v>
      </c>
      <c r="J3036">
        <v>-198.67689999999999</v>
      </c>
      <c r="K3036">
        <v>1.118819</v>
      </c>
      <c r="L3036">
        <v>-55.376980000000003</v>
      </c>
      <c r="M3036">
        <v>0.72713470000000002</v>
      </c>
      <c r="N3036">
        <v>0</v>
      </c>
      <c r="O3036">
        <v>0.68636629999999998</v>
      </c>
      <c r="P3036">
        <v>0.61983140000000003</v>
      </c>
      <c r="Q3036">
        <v>0.12500349999999999</v>
      </c>
      <c r="R3036">
        <v>0.77471489999999998</v>
      </c>
      <c r="S3036">
        <v>1.2254640000000001</v>
      </c>
      <c r="T3036">
        <v>0.64523599999999903</v>
      </c>
      <c r="U3036">
        <v>2.7955320000000001</v>
      </c>
      <c r="V3036">
        <v>-0.14083039999999999</v>
      </c>
      <c r="W3036">
        <v>0.13505719999999999</v>
      </c>
      <c r="X3036">
        <v>0.9807785</v>
      </c>
      <c r="Y3036">
        <v>-0.3932196</v>
      </c>
      <c r="Z3036">
        <v>0.11174149999999999</v>
      </c>
      <c r="AA3036">
        <v>0.91262920000000003</v>
      </c>
      <c r="AB3036">
        <v>29</v>
      </c>
      <c r="AC3036">
        <v>35.241899999999902</v>
      </c>
      <c r="AD3036">
        <v>18.624991000000001</v>
      </c>
      <c r="AE3036">
        <v>80.561890000000005</v>
      </c>
      <c r="AF3036">
        <v>-32.9167811028518</v>
      </c>
      <c r="AG3036">
        <v>18.624991000000001</v>
      </c>
      <c r="AH3036">
        <v>77.4529411199576</v>
      </c>
      <c r="AI3036">
        <v>77.520936893700494</v>
      </c>
      <c r="AJ3036">
        <v>113.02504157942199</v>
      </c>
      <c r="AK3036">
        <v>86.193751838835496</v>
      </c>
      <c r="AL3036">
        <v>82.238072949402195</v>
      </c>
      <c r="AM3036">
        <v>98.171271718965599</v>
      </c>
      <c r="AN3036">
        <v>1.0000000574491199</v>
      </c>
    </row>
    <row r="3037" spans="1:40" x14ac:dyDescent="0.3">
      <c r="A3037" t="str">
        <f>"20200111150913024"</f>
        <v>20200111150913024</v>
      </c>
      <c r="B3037" t="str">
        <f>"1578726553016806"</f>
        <v>1578726553016806</v>
      </c>
      <c r="C3037" t="s">
        <v>40</v>
      </c>
      <c r="D3037">
        <v>5.5800039999999997</v>
      </c>
      <c r="E3037">
        <v>0.44540400000000002</v>
      </c>
      <c r="F3037" t="s">
        <v>76</v>
      </c>
      <c r="G3037">
        <v>-164.0762</v>
      </c>
      <c r="H3037">
        <v>19.674679999999999</v>
      </c>
      <c r="I3037">
        <v>25.184909999999999</v>
      </c>
      <c r="J3037">
        <v>-198.50579999999999</v>
      </c>
      <c r="K3037">
        <v>1.1188089999999999</v>
      </c>
      <c r="L3037">
        <v>-55.201839999999997</v>
      </c>
      <c r="M3037">
        <v>0.72038040000000003</v>
      </c>
      <c r="N3037">
        <v>0</v>
      </c>
      <c r="O3037">
        <v>0.69345199999999996</v>
      </c>
      <c r="P3037">
        <v>0.61221680000000001</v>
      </c>
      <c r="Q3037">
        <v>0.1245923</v>
      </c>
      <c r="R3037">
        <v>0.78081199999999995</v>
      </c>
      <c r="S3037">
        <v>1.2044979999999901</v>
      </c>
      <c r="T3037">
        <v>0.64595579999999997</v>
      </c>
      <c r="U3037">
        <v>2.8044739999999999</v>
      </c>
      <c r="V3037">
        <v>-0.14086599999999999</v>
      </c>
      <c r="W3037">
        <v>0.13464709999999999</v>
      </c>
      <c r="X3037">
        <v>0.98082970000000003</v>
      </c>
      <c r="Y3037">
        <v>-0.39113809999999999</v>
      </c>
      <c r="Z3037">
        <v>0.11379300000000001</v>
      </c>
      <c r="AA3037">
        <v>0.91327000000000003</v>
      </c>
      <c r="AB3037">
        <v>29</v>
      </c>
      <c r="AC3037">
        <v>34.429599999999901</v>
      </c>
      <c r="AD3037">
        <v>18.555871</v>
      </c>
      <c r="AE3037">
        <v>80.386750000000006</v>
      </c>
      <c r="AF3037">
        <v>-32.570309677175302</v>
      </c>
      <c r="AG3037">
        <v>18.555871</v>
      </c>
      <c r="AH3037">
        <v>77.083244667012806</v>
      </c>
      <c r="AI3037">
        <v>77.497355684196194</v>
      </c>
      <c r="AJ3037">
        <v>112.90572210812</v>
      </c>
      <c r="AK3037">
        <v>85.714479695266803</v>
      </c>
      <c r="AL3037">
        <v>82.261785997137196</v>
      </c>
      <c r="AM3037">
        <v>98.172888511425299</v>
      </c>
      <c r="AN3037">
        <v>0.99999998594824901</v>
      </c>
    </row>
    <row r="3038" spans="1:40" x14ac:dyDescent="0.3">
      <c r="A3038" t="str">
        <f>"20200111150913038"</f>
        <v>20200111150913038</v>
      </c>
      <c r="B3038" t="str">
        <f>"1578726553027541"</f>
        <v>1578726553027541</v>
      </c>
      <c r="C3038" t="s">
        <v>40</v>
      </c>
      <c r="D3038">
        <v>5.5942920000000003</v>
      </c>
      <c r="E3038">
        <v>0.44398579999999999</v>
      </c>
      <c r="F3038" t="s">
        <v>43</v>
      </c>
      <c r="G3038">
        <v>-187.6918</v>
      </c>
      <c r="H3038" s="1">
        <v>-2.0996390000000002E-6</v>
      </c>
      <c r="I3038">
        <v>-36.427329999999998</v>
      </c>
      <c r="J3038">
        <v>-198.38159999999999</v>
      </c>
      <c r="K3038">
        <v>1.1188</v>
      </c>
      <c r="L3038">
        <v>-55.072809999999997</v>
      </c>
      <c r="M3038">
        <v>0.71540049999999999</v>
      </c>
      <c r="N3038">
        <v>0</v>
      </c>
      <c r="O3038">
        <v>0.6985884</v>
      </c>
      <c r="P3038">
        <v>0.60665800000000003</v>
      </c>
      <c r="Q3038">
        <v>0.1243277</v>
      </c>
      <c r="R3038">
        <v>0.78518060000000001</v>
      </c>
      <c r="S3038">
        <v>1.534592</v>
      </c>
      <c r="T3038">
        <v>-0.15876770000000001</v>
      </c>
      <c r="U3038">
        <v>2.6642459999999999</v>
      </c>
      <c r="V3038">
        <v>-0.1408336</v>
      </c>
      <c r="W3038">
        <v>0.1343849</v>
      </c>
      <c r="X3038">
        <v>0.98087029999999997</v>
      </c>
      <c r="Y3038">
        <v>-0.27158070000000001</v>
      </c>
      <c r="Z3038">
        <v>-3.093274E-2</v>
      </c>
      <c r="AA3038">
        <v>0.96191850000000001</v>
      </c>
      <c r="AB3038">
        <v>29</v>
      </c>
      <c r="AC3038">
        <v>10.6897999999999</v>
      </c>
      <c r="AD3038">
        <v>-1.118802099639</v>
      </c>
      <c r="AE3038">
        <v>18.645479999999999</v>
      </c>
      <c r="AF3038">
        <v>-5.8558651451591803</v>
      </c>
      <c r="AG3038">
        <v>-1.118802099639</v>
      </c>
      <c r="AH3038">
        <v>20.618954740849201</v>
      </c>
      <c r="AI3038">
        <v>92.987934867046306</v>
      </c>
      <c r="AJ3038">
        <v>105.854757283219</v>
      </c>
      <c r="AK3038">
        <v>21.463554443326299</v>
      </c>
      <c r="AL3038">
        <v>82.276946653993903</v>
      </c>
      <c r="AM3038">
        <v>98.170700439575398</v>
      </c>
      <c r="AN3038">
        <v>0.99999997482952896</v>
      </c>
    </row>
    <row r="3039" spans="1:40" x14ac:dyDescent="0.3">
      <c r="A3039" t="str">
        <f>"20200111150913058"</f>
        <v>20200111150913058</v>
      </c>
      <c r="B3039" t="str">
        <f>"1578726553047065"</f>
        <v>1578726553047065</v>
      </c>
      <c r="C3039" t="s">
        <v>40</v>
      </c>
      <c r="D3039">
        <v>5.5644629999999999</v>
      </c>
      <c r="E3039">
        <v>0.44300099999999998</v>
      </c>
      <c r="F3039" t="s">
        <v>43</v>
      </c>
      <c r="G3039">
        <v>-188.3443</v>
      </c>
      <c r="H3039" s="1">
        <v>-1.648983E-6</v>
      </c>
      <c r="I3039">
        <v>-37.207999999999998</v>
      </c>
      <c r="J3039">
        <v>-198.20869999999999</v>
      </c>
      <c r="K3039">
        <v>1.118789</v>
      </c>
      <c r="L3039">
        <v>-54.889679999999998</v>
      </c>
      <c r="M3039">
        <v>0.70834259999999905</v>
      </c>
      <c r="N3039">
        <v>0</v>
      </c>
      <c r="O3039">
        <v>0.70574399999999904</v>
      </c>
      <c r="P3039">
        <v>0.59928579999999998</v>
      </c>
      <c r="Q3039">
        <v>0.12428640000000001</v>
      </c>
      <c r="R3039">
        <v>0.79082830000000004</v>
      </c>
      <c r="S3039">
        <v>1.5073240000000001</v>
      </c>
      <c r="T3039">
        <v>-0.168013</v>
      </c>
      <c r="U3039">
        <v>2.6827999999999999</v>
      </c>
      <c r="V3039">
        <v>-0.1401493</v>
      </c>
      <c r="W3039">
        <v>0.1343607</v>
      </c>
      <c r="X3039">
        <v>0.98097160000000005</v>
      </c>
      <c r="Y3039">
        <v>-0.27222990000000002</v>
      </c>
      <c r="Z3039">
        <v>-3.3131960000000002E-2</v>
      </c>
      <c r="AA3039">
        <v>0.96166169999999995</v>
      </c>
      <c r="AB3039">
        <v>29</v>
      </c>
      <c r="AC3039">
        <v>9.8643999999999892</v>
      </c>
      <c r="AD3039">
        <v>-1.118790648983</v>
      </c>
      <c r="AE3039">
        <v>17.68168</v>
      </c>
      <c r="AF3039">
        <v>-5.54650103943675</v>
      </c>
      <c r="AG3039">
        <v>-1.118790648983</v>
      </c>
      <c r="AH3039">
        <v>19.408569113355899</v>
      </c>
      <c r="AI3039">
        <v>93.172392084188402</v>
      </c>
      <c r="AJ3039">
        <v>105.948658925506</v>
      </c>
      <c r="AK3039">
        <v>20.2165259459838</v>
      </c>
      <c r="AL3039">
        <v>82.278345724531107</v>
      </c>
      <c r="AM3039">
        <v>98.130703363081906</v>
      </c>
      <c r="AN3039">
        <v>0.99999995200076797</v>
      </c>
    </row>
    <row r="3040" spans="1:40" x14ac:dyDescent="0.3">
      <c r="A3040" t="str">
        <f>"20200111150913073"</f>
        <v>20200111150913073</v>
      </c>
      <c r="B3040" t="str">
        <f>"1578726553067558"</f>
        <v>1578726553067558</v>
      </c>
      <c r="C3040" t="s">
        <v>40</v>
      </c>
      <c r="D3040">
        <v>5.5988959999999999</v>
      </c>
      <c r="E3040">
        <v>0.44260440000000001</v>
      </c>
      <c r="F3040" t="s">
        <v>43</v>
      </c>
      <c r="G3040">
        <v>-188.63890000000001</v>
      </c>
      <c r="H3040" s="1">
        <v>-1.5247659999999999E-6</v>
      </c>
      <c r="I3040">
        <v>-37.37576</v>
      </c>
      <c r="J3040">
        <v>-198.0865</v>
      </c>
      <c r="K3040">
        <v>1.1187830000000001</v>
      </c>
      <c r="L3040">
        <v>-54.757779999999997</v>
      </c>
      <c r="M3040">
        <v>0.70326759999999999</v>
      </c>
      <c r="N3040">
        <v>0</v>
      </c>
      <c r="O3040">
        <v>0.71080129999999997</v>
      </c>
      <c r="P3040">
        <v>0.59385639999999995</v>
      </c>
      <c r="Q3040">
        <v>0.1247027</v>
      </c>
      <c r="R3040">
        <v>0.79484829999999995</v>
      </c>
      <c r="S3040">
        <v>1.476318</v>
      </c>
      <c r="T3040">
        <v>-0.172594</v>
      </c>
      <c r="U3040">
        <v>2.7018430000000002</v>
      </c>
      <c r="V3040">
        <v>-0.13979730000000001</v>
      </c>
      <c r="W3040">
        <v>0.1347855</v>
      </c>
      <c r="X3040">
        <v>0.98096360000000005</v>
      </c>
      <c r="Y3040">
        <v>-0.27670879999999998</v>
      </c>
      <c r="Z3040">
        <v>-3.4244080000000003E-2</v>
      </c>
      <c r="AA3040">
        <v>0.96034350000000002</v>
      </c>
      <c r="AB3040">
        <v>29</v>
      </c>
      <c r="AC3040">
        <v>9.4475999999999907</v>
      </c>
      <c r="AD3040">
        <v>-1.118784524766</v>
      </c>
      <c r="AE3040">
        <v>17.382020000000001</v>
      </c>
      <c r="AF3040">
        <v>-5.4917677207984497</v>
      </c>
      <c r="AG3040">
        <v>-1.118784524766</v>
      </c>
      <c r="AH3040">
        <v>18.940455443226099</v>
      </c>
      <c r="AI3040">
        <v>93.247017500179297</v>
      </c>
      <c r="AJ3040">
        <v>106.169468057567</v>
      </c>
      <c r="AK3040">
        <v>19.7522668043162</v>
      </c>
      <c r="AL3040">
        <v>82.2537834222653</v>
      </c>
      <c r="AM3040">
        <v>98.110619536570994</v>
      </c>
      <c r="AN3040">
        <v>1.0000000003112499</v>
      </c>
    </row>
    <row r="3041" spans="1:40" x14ac:dyDescent="0.3">
      <c r="A3041" t="str">
        <f>"20200111150913091"</f>
        <v>20200111150913091</v>
      </c>
      <c r="B3041" t="str">
        <f>"1578726553087078"</f>
        <v>1578726553087078</v>
      </c>
      <c r="C3041" t="s">
        <v>40</v>
      </c>
      <c r="D3041">
        <v>5.5549710000000001</v>
      </c>
      <c r="E3041">
        <v>0.44286520000000001</v>
      </c>
      <c r="F3041" t="s">
        <v>43</v>
      </c>
      <c r="G3041">
        <v>-188.90960000000001</v>
      </c>
      <c r="H3041" s="1">
        <v>-1.360148E-6</v>
      </c>
      <c r="I3041">
        <v>-37.647539999999999</v>
      </c>
      <c r="J3041">
        <v>-197.93020000000001</v>
      </c>
      <c r="K3041">
        <v>1.11877</v>
      </c>
      <c r="L3041">
        <v>-54.586519999999901</v>
      </c>
      <c r="M3041">
        <v>0.69667599999999996</v>
      </c>
      <c r="N3041">
        <v>0</v>
      </c>
      <c r="O3041">
        <v>0.71726309999999904</v>
      </c>
      <c r="P3041">
        <v>0.58675459999999902</v>
      </c>
      <c r="Q3041">
        <v>0.12535579999999999</v>
      </c>
      <c r="R3041">
        <v>0.80000319999999903</v>
      </c>
      <c r="S3041">
        <v>1.455856</v>
      </c>
      <c r="T3041">
        <v>-0.17748710000000001</v>
      </c>
      <c r="U3041">
        <v>2.7144170000000001</v>
      </c>
      <c r="V3041">
        <v>-0.1394155</v>
      </c>
      <c r="W3041">
        <v>0.1354484</v>
      </c>
      <c r="X3041">
        <v>0.98092659999999998</v>
      </c>
      <c r="Y3041">
        <v>-0.2753429</v>
      </c>
      <c r="Z3041">
        <v>-3.565165E-2</v>
      </c>
      <c r="AA3041">
        <v>0.96068480000000001</v>
      </c>
      <c r="AB3041">
        <v>29</v>
      </c>
      <c r="AC3041">
        <v>9.0206</v>
      </c>
      <c r="AD3041">
        <v>-1.118771360148</v>
      </c>
      <c r="AE3041">
        <v>16.938979999999901</v>
      </c>
      <c r="AF3041">
        <v>-5.3132502046475203</v>
      </c>
      <c r="AG3041">
        <v>-1.118771360148</v>
      </c>
      <c r="AH3041">
        <v>18.3733242710206</v>
      </c>
      <c r="AI3041">
        <v>93.34766342783</v>
      </c>
      <c r="AJ3041">
        <v>106.128962171852</v>
      </c>
      <c r="AK3041">
        <v>19.158844481375901</v>
      </c>
      <c r="AL3041">
        <v>82.215450306769398</v>
      </c>
      <c r="AM3041">
        <v>98.089063253934796</v>
      </c>
      <c r="AN3041">
        <v>0.99999997264518403</v>
      </c>
    </row>
    <row r="3042" spans="1:40" x14ac:dyDescent="0.3">
      <c r="A3042" t="str">
        <f>"20200111150913106"</f>
        <v>20200111150913106</v>
      </c>
      <c r="B3042" t="str">
        <f>"1578726553096837"</f>
        <v>1578726553096837</v>
      </c>
      <c r="C3042" t="s">
        <v>40</v>
      </c>
      <c r="D3042">
        <v>5.6217180000000004</v>
      </c>
      <c r="E3042">
        <v>0.44331009999999998</v>
      </c>
      <c r="F3042" t="s">
        <v>43</v>
      </c>
      <c r="G3042">
        <v>-189.0675</v>
      </c>
      <c r="H3042" s="1">
        <v>-1.293615E-6</v>
      </c>
      <c r="I3042">
        <v>-37.737340000000003</v>
      </c>
      <c r="J3042">
        <v>-197.80029999999999</v>
      </c>
      <c r="K3042">
        <v>1.11876</v>
      </c>
      <c r="L3042">
        <v>-54.441830000000003</v>
      </c>
      <c r="M3042">
        <v>0.69110939999999998</v>
      </c>
      <c r="N3042">
        <v>0</v>
      </c>
      <c r="O3042">
        <v>0.72262839999999995</v>
      </c>
      <c r="P3042">
        <v>0.58081210000000005</v>
      </c>
      <c r="Q3042">
        <v>0.1255655</v>
      </c>
      <c r="R3042">
        <v>0.80429519999999899</v>
      </c>
      <c r="S3042">
        <v>1.4341429999999999</v>
      </c>
      <c r="T3042">
        <v>-0.18103739999999999</v>
      </c>
      <c r="U3042">
        <v>2.7265009999999998</v>
      </c>
      <c r="V3042">
        <v>-0.13907449999999999</v>
      </c>
      <c r="W3042">
        <v>0.1356676</v>
      </c>
      <c r="X3042">
        <v>0.98094479999999995</v>
      </c>
      <c r="Y3042">
        <v>-0.27567789999999998</v>
      </c>
      <c r="Z3042">
        <v>-3.671046E-2</v>
      </c>
      <c r="AA3042">
        <v>0.96054879999999998</v>
      </c>
      <c r="AB3042">
        <v>29</v>
      </c>
      <c r="AC3042">
        <v>8.7327999999999903</v>
      </c>
      <c r="AD3042">
        <v>-1.118761293615</v>
      </c>
      <c r="AE3042">
        <v>16.70449</v>
      </c>
      <c r="AF3042">
        <v>-5.2161464128854904</v>
      </c>
      <c r="AG3042">
        <v>-1.118761293615</v>
      </c>
      <c r="AH3042">
        <v>18.044486982241501</v>
      </c>
      <c r="AI3042">
        <v>93.408598138983095</v>
      </c>
      <c r="AJ3042">
        <v>106.123073191778</v>
      </c>
      <c r="AK3042">
        <v>18.816570375204702</v>
      </c>
      <c r="AL3042">
        <v>82.202774727642904</v>
      </c>
      <c r="AM3042">
        <v>98.069391172783398</v>
      </c>
      <c r="AN3042">
        <v>1.0000000574435199</v>
      </c>
    </row>
    <row r="3043" spans="1:40" x14ac:dyDescent="0.3">
      <c r="A3043" t="str">
        <f>"20200111150913127"</f>
        <v>20200111150913127</v>
      </c>
      <c r="B3043" t="str">
        <f>"1578726553117334"</f>
        <v>1578726553117334</v>
      </c>
      <c r="C3043" t="s">
        <v>40</v>
      </c>
      <c r="D3043">
        <v>5.6050339999999998</v>
      </c>
      <c r="E3043">
        <v>0.44392799999999999</v>
      </c>
      <c r="F3043" t="s">
        <v>43</v>
      </c>
      <c r="G3043">
        <v>-189.1481</v>
      </c>
      <c r="H3043" s="1">
        <v>-1.276509E-6</v>
      </c>
      <c r="I3043">
        <v>-37.743899999999996</v>
      </c>
      <c r="J3043">
        <v>-197.63159999999999</v>
      </c>
      <c r="K3043">
        <v>1.1187450000000001</v>
      </c>
      <c r="L3043">
        <v>-54.250489999999999</v>
      </c>
      <c r="M3043">
        <v>0.68375799999999998</v>
      </c>
      <c r="N3043">
        <v>0</v>
      </c>
      <c r="O3043">
        <v>0.72958819999999902</v>
      </c>
      <c r="P3043">
        <v>0.57320689999999996</v>
      </c>
      <c r="Q3043">
        <v>0.12531249999999999</v>
      </c>
      <c r="R3043">
        <v>0.80977200000000005</v>
      </c>
      <c r="S3043">
        <v>1.4172359999999999</v>
      </c>
      <c r="T3043">
        <v>-0.1832541</v>
      </c>
      <c r="U3043">
        <v>2.7351380000000001</v>
      </c>
      <c r="V3043">
        <v>-0.1384021</v>
      </c>
      <c r="W3043">
        <v>0.13543279999999999</v>
      </c>
      <c r="X3043">
        <v>0.98107219999999995</v>
      </c>
      <c r="Y3043">
        <v>-0.27188220000000002</v>
      </c>
      <c r="Z3043">
        <v>-3.7717029999999999E-2</v>
      </c>
      <c r="AA3043">
        <v>0.96159110000000003</v>
      </c>
      <c r="AB3043">
        <v>29</v>
      </c>
      <c r="AC3043">
        <v>8.4834999999999905</v>
      </c>
      <c r="AD3043">
        <v>-1.1187462765089999</v>
      </c>
      <c r="AE3043">
        <v>16.506589999999999</v>
      </c>
      <c r="AF3043">
        <v>-5.0790443202288502</v>
      </c>
      <c r="AG3043">
        <v>-1.1187462765089999</v>
      </c>
      <c r="AH3043">
        <v>17.780635142523099</v>
      </c>
      <c r="AI3043">
        <v>93.462145998541203</v>
      </c>
      <c r="AJ3043">
        <v>105.942008081084</v>
      </c>
      <c r="AK3043">
        <v>18.5256381943937</v>
      </c>
      <c r="AL3043">
        <v>82.216352045650396</v>
      </c>
      <c r="AM3043">
        <v>98.029858053074193</v>
      </c>
      <c r="AN3043">
        <v>0.99999992310654195</v>
      </c>
    </row>
    <row r="3044" spans="1:40" x14ac:dyDescent="0.3">
      <c r="A3044" t="str">
        <f>"20200111150913183"</f>
        <v>20200111150913183</v>
      </c>
      <c r="B3044" t="str">
        <f>"1578726553176871"</f>
        <v>1578726553176871</v>
      </c>
      <c r="C3044" t="s">
        <v>40</v>
      </c>
      <c r="D3044">
        <v>5.5883839999999996</v>
      </c>
      <c r="E3044">
        <v>0.45052370000000003</v>
      </c>
      <c r="F3044" t="s">
        <v>43</v>
      </c>
      <c r="G3044">
        <v>-189.28700000000001</v>
      </c>
      <c r="H3044" s="1">
        <v>-1.2141350000000001E-6</v>
      </c>
      <c r="I3044">
        <v>-37.831870000000002</v>
      </c>
      <c r="J3044">
        <v>-197.16139999999999</v>
      </c>
      <c r="K3044">
        <v>1.1186969999999901</v>
      </c>
      <c r="L3044">
        <v>-53.696319999999901</v>
      </c>
      <c r="M3044">
        <v>0.66254309999999905</v>
      </c>
      <c r="N3044">
        <v>0</v>
      </c>
      <c r="O3044">
        <v>0.74890659999999998</v>
      </c>
      <c r="P3044">
        <v>0.55227329999999997</v>
      </c>
      <c r="Q3044">
        <v>0.12549460000000001</v>
      </c>
      <c r="R3044">
        <v>0.82416339999999999</v>
      </c>
      <c r="S3044">
        <v>1.395554</v>
      </c>
      <c r="T3044">
        <v>-0.18709909999999999</v>
      </c>
      <c r="U3044">
        <v>2.7458499999999999</v>
      </c>
      <c r="V3044">
        <v>-0.13534179999999901</v>
      </c>
      <c r="W3044">
        <v>0.13569500000000001</v>
      </c>
      <c r="X3044">
        <v>0.98146290000000003</v>
      </c>
      <c r="Y3044">
        <v>-0.2518089</v>
      </c>
      <c r="Z3044">
        <v>-4.0285260000000003E-2</v>
      </c>
      <c r="AA3044">
        <v>0.96693810000000002</v>
      </c>
      <c r="AB3044">
        <v>29</v>
      </c>
      <c r="AC3044">
        <v>7.8743999999999801</v>
      </c>
      <c r="AD3044">
        <v>-1.1186982141349999</v>
      </c>
      <c r="AE3044">
        <v>15.8644499999999</v>
      </c>
      <c r="AF3044">
        <v>-4.5957615069595503</v>
      </c>
      <c r="AG3044">
        <v>-1.1186982141349999</v>
      </c>
      <c r="AH3044">
        <v>17.031672068420299</v>
      </c>
      <c r="AI3044">
        <v>93.628569175925605</v>
      </c>
      <c r="AJ3044">
        <v>105.100826882994</v>
      </c>
      <c r="AK3044">
        <v>17.676265526670701</v>
      </c>
      <c r="AL3044">
        <v>82.201189562231207</v>
      </c>
      <c r="AM3044">
        <v>97.851457556475793</v>
      </c>
      <c r="AN3044">
        <v>0.99999997996432399</v>
      </c>
    </row>
    <row r="3045" spans="1:40" x14ac:dyDescent="0.3">
      <c r="A3045" t="str">
        <f>"20200111150913203"</f>
        <v>20200111150913203</v>
      </c>
      <c r="B3045" t="str">
        <f>"1578726553197366"</f>
        <v>1578726553197366</v>
      </c>
      <c r="C3045" t="s">
        <v>40</v>
      </c>
      <c r="D3045">
        <v>5.1194519999999999</v>
      </c>
      <c r="E3045">
        <v>0.45075349999999997</v>
      </c>
      <c r="F3045" t="s">
        <v>89</v>
      </c>
      <c r="G3045">
        <v>-192.15180000000001</v>
      </c>
      <c r="H3045" s="1">
        <v>-5.019663E-6</v>
      </c>
      <c r="I3045">
        <v>-43.674019999999999</v>
      </c>
      <c r="J3045">
        <v>-197.00880000000001</v>
      </c>
      <c r="K3045">
        <v>1.118665</v>
      </c>
      <c r="L3045">
        <v>-53.509369999999997</v>
      </c>
      <c r="M3045">
        <v>0.65544720000000001</v>
      </c>
      <c r="N3045">
        <v>0</v>
      </c>
      <c r="O3045">
        <v>0.75512489999999999</v>
      </c>
      <c r="P3045">
        <v>0.5480566</v>
      </c>
      <c r="Q3045">
        <v>0.12852330000000001</v>
      </c>
      <c r="R3045">
        <v>0.82650820000000003</v>
      </c>
      <c r="S3045">
        <v>1.380539</v>
      </c>
      <c r="T3045">
        <v>-0.30828709999999998</v>
      </c>
      <c r="U3045">
        <v>2.7619020000000001</v>
      </c>
      <c r="V3045">
        <v>-0.13082959999999999</v>
      </c>
      <c r="W3045">
        <v>0.13882890000000001</v>
      </c>
      <c r="X3045">
        <v>0.98163650000000002</v>
      </c>
      <c r="Y3045">
        <v>-0.24994279999999999</v>
      </c>
      <c r="Z3045">
        <v>-6.6821430000000001E-2</v>
      </c>
      <c r="AA3045">
        <v>0.96595209999999998</v>
      </c>
      <c r="AB3045">
        <v>29</v>
      </c>
      <c r="AC3045">
        <v>4.8569999999999904</v>
      </c>
      <c r="AD3045">
        <v>-1.1186700196629999</v>
      </c>
      <c r="AE3045">
        <v>9.8353499999999894</v>
      </c>
      <c r="AF3045">
        <v>-2.7505478800389702</v>
      </c>
      <c r="AG3045">
        <v>-1.1186700196629999</v>
      </c>
      <c r="AH3045">
        <v>10.5021288846937</v>
      </c>
      <c r="AI3045">
        <v>95.883163714413996</v>
      </c>
      <c r="AJ3045">
        <v>104.676343691328</v>
      </c>
      <c r="AK3045">
        <v>10.9138282634462</v>
      </c>
      <c r="AL3045">
        <v>82.019914852884696</v>
      </c>
      <c r="AM3045">
        <v>97.591473907358207</v>
      </c>
      <c r="AN3045">
        <v>1.0000000329218</v>
      </c>
    </row>
    <row r="3046" spans="1:40" x14ac:dyDescent="0.3">
      <c r="A3046" t="str">
        <f>"20200111150913216"</f>
        <v>20200111150913216</v>
      </c>
      <c r="B3046" t="str">
        <f>"1578726553207126"</f>
        <v>1578726553207126</v>
      </c>
      <c r="C3046" t="s">
        <v>40</v>
      </c>
      <c r="D3046">
        <v>5.7330649999999999</v>
      </c>
      <c r="E3046">
        <v>0.45070779999999999</v>
      </c>
      <c r="F3046" t="s">
        <v>89</v>
      </c>
      <c r="G3046">
        <v>-191.64750000000001</v>
      </c>
      <c r="H3046" s="1">
        <v>-5.3996400000000002E-6</v>
      </c>
      <c r="I3046">
        <v>-42.665590000000002</v>
      </c>
      <c r="J3046">
        <v>-196.8964</v>
      </c>
      <c r="K3046">
        <v>1.1186229999999999</v>
      </c>
      <c r="L3046">
        <v>-53.369509999999998</v>
      </c>
      <c r="M3046">
        <v>0.65016909999999895</v>
      </c>
      <c r="N3046">
        <v>0</v>
      </c>
      <c r="O3046">
        <v>0.75967419999999997</v>
      </c>
      <c r="P3046">
        <v>0.5441511</v>
      </c>
      <c r="Q3046">
        <v>0.12917149999999999</v>
      </c>
      <c r="R3046">
        <v>0.8289839</v>
      </c>
      <c r="S3046">
        <v>1.3680110000000001</v>
      </c>
      <c r="T3046">
        <v>-0.28544709999999901</v>
      </c>
      <c r="U3046">
        <v>2.7669679999999999</v>
      </c>
      <c r="V3046">
        <v>-0.12854949999999901</v>
      </c>
      <c r="W3046">
        <v>0.139533399999999</v>
      </c>
      <c r="X3046">
        <v>0.98183779999999998</v>
      </c>
      <c r="Y3046">
        <v>-0.2472472</v>
      </c>
      <c r="Z3046">
        <v>-6.2491690000000003E-2</v>
      </c>
      <c r="AA3046">
        <v>0.96693519999999999</v>
      </c>
      <c r="AB3046">
        <v>29</v>
      </c>
      <c r="AC3046">
        <v>5.2488999999999901</v>
      </c>
      <c r="AD3046">
        <v>-1.1186283996399999</v>
      </c>
      <c r="AE3046">
        <v>10.703919999999901</v>
      </c>
      <c r="AF3046">
        <v>-2.9462247202712399</v>
      </c>
      <c r="AG3046">
        <v>-1.1186283996399999</v>
      </c>
      <c r="AH3046">
        <v>11.444414509415701</v>
      </c>
      <c r="AI3046">
        <v>95.407397977108005</v>
      </c>
      <c r="AJ3046">
        <v>104.43662206757899</v>
      </c>
      <c r="AK3046">
        <v>11.8703914451944</v>
      </c>
      <c r="AL3046">
        <v>81.979153012595205</v>
      </c>
      <c r="AM3046">
        <v>97.459160649041905</v>
      </c>
      <c r="AN3046">
        <v>1.0000000045873201</v>
      </c>
    </row>
    <row r="3047" spans="1:40" x14ac:dyDescent="0.3">
      <c r="A3047" t="str">
        <f>"20200111150913230"</f>
        <v>20200111150913230</v>
      </c>
      <c r="B3047" t="str">
        <f>"1578726553227622"</f>
        <v>1578726553227622</v>
      </c>
      <c r="C3047" t="s">
        <v>40</v>
      </c>
      <c r="D3047">
        <v>5.5763319999999998</v>
      </c>
      <c r="E3047">
        <v>0.45146900000000001</v>
      </c>
      <c r="F3047" t="s">
        <v>89</v>
      </c>
      <c r="G3047">
        <v>-191.11109999999999</v>
      </c>
      <c r="H3047" s="1">
        <v>-5.8364179999999998E-6</v>
      </c>
      <c r="I3047">
        <v>-41.522959999999998</v>
      </c>
      <c r="J3047">
        <v>-196.79560000000001</v>
      </c>
      <c r="K3047">
        <v>1.1185700000000001</v>
      </c>
      <c r="L3047">
        <v>-53.242100000000001</v>
      </c>
      <c r="M3047">
        <v>0.64540050000000004</v>
      </c>
      <c r="N3047">
        <v>0</v>
      </c>
      <c r="O3047">
        <v>0.76372980000000001</v>
      </c>
      <c r="P3047">
        <v>0.54116219999999904</v>
      </c>
      <c r="Q3047">
        <v>0.1295415</v>
      </c>
      <c r="R3047">
        <v>0.83088050000000002</v>
      </c>
      <c r="S3047">
        <v>1.353378</v>
      </c>
      <c r="T3047">
        <v>-0.26168750000000002</v>
      </c>
      <c r="U3047">
        <v>2.7713320000000001</v>
      </c>
      <c r="V3047">
        <v>-0.12588849999999999</v>
      </c>
      <c r="W3047">
        <v>0.13996919999999999</v>
      </c>
      <c r="X3047">
        <v>0.98212049999999995</v>
      </c>
      <c r="Y3047">
        <v>-0.2457394</v>
      </c>
      <c r="Z3047">
        <v>-5.7804729999999999E-2</v>
      </c>
      <c r="AA3047">
        <v>0.96761079999999999</v>
      </c>
      <c r="AB3047">
        <v>29</v>
      </c>
      <c r="AC3047">
        <v>5.6845000000000097</v>
      </c>
      <c r="AD3047">
        <v>-1.1185758364180001</v>
      </c>
      <c r="AE3047">
        <v>11.719139999999999</v>
      </c>
      <c r="AF3047">
        <v>-3.1988069520325602</v>
      </c>
      <c r="AG3047">
        <v>-1.1185758364180001</v>
      </c>
      <c r="AH3047">
        <v>12.5277454817142</v>
      </c>
      <c r="AI3047">
        <v>94.944474282955298</v>
      </c>
      <c r="AJ3047">
        <v>104.323723124342</v>
      </c>
      <c r="AK3047">
        <v>12.977980762537801</v>
      </c>
      <c r="AL3047">
        <v>81.953935881394997</v>
      </c>
      <c r="AM3047">
        <v>97.304359962583206</v>
      </c>
      <c r="AN3047">
        <v>0.99999998395056899</v>
      </c>
    </row>
    <row r="3048" spans="1:40" x14ac:dyDescent="0.3">
      <c r="A3048" t="str">
        <f>"20200111150913249"</f>
        <v>20200111150913249</v>
      </c>
      <c r="B3048" t="str">
        <f>"1578726553237382"</f>
        <v>1578726553237382</v>
      </c>
      <c r="C3048" t="s">
        <v>40</v>
      </c>
      <c r="D3048">
        <v>5.6546459999999996</v>
      </c>
      <c r="E3048">
        <v>0.45133879999999998</v>
      </c>
      <c r="F3048" t="s">
        <v>89</v>
      </c>
      <c r="G3048">
        <v>-190.6644</v>
      </c>
      <c r="H3048" s="1">
        <v>-6.1571800000000004E-6</v>
      </c>
      <c r="I3048">
        <v>-40.634929999999997</v>
      </c>
      <c r="J3048">
        <v>-196.64869999999999</v>
      </c>
      <c r="K3048">
        <v>1.1184609999999999</v>
      </c>
      <c r="L3048">
        <v>-53.053919999999998</v>
      </c>
      <c r="M3048">
        <v>0.63841219999999999</v>
      </c>
      <c r="N3048">
        <v>0</v>
      </c>
      <c r="O3048">
        <v>0.76958110000000002</v>
      </c>
      <c r="P3048">
        <v>0.53697759999999894</v>
      </c>
      <c r="Q3048">
        <v>0.1289901</v>
      </c>
      <c r="R3048">
        <v>0.83367659999999999</v>
      </c>
      <c r="S3048">
        <v>1.3477170000000001</v>
      </c>
      <c r="T3048">
        <v>-0.24587419999999999</v>
      </c>
      <c r="U3048">
        <v>2.7711790000000001</v>
      </c>
      <c r="V3048">
        <v>-0.1218804</v>
      </c>
      <c r="W3048">
        <v>0.1395197</v>
      </c>
      <c r="X3048">
        <v>0.98268990000000001</v>
      </c>
      <c r="Y3048">
        <v>-0.23838500000000001</v>
      </c>
      <c r="Z3048">
        <v>-5.5106009999999997E-2</v>
      </c>
      <c r="AA3048">
        <v>0.96960599999999997</v>
      </c>
      <c r="AB3048">
        <v>29</v>
      </c>
      <c r="AC3048">
        <v>5.9842999999999904</v>
      </c>
      <c r="AD3048">
        <v>-1.11846715718</v>
      </c>
      <c r="AE3048">
        <v>12.4189899999999</v>
      </c>
      <c r="AF3048">
        <v>-3.3015881387424901</v>
      </c>
      <c r="AG3048">
        <v>-1.11846715718</v>
      </c>
      <c r="AH3048">
        <v>13.291547161951399</v>
      </c>
      <c r="AI3048">
        <v>94.668812318267399</v>
      </c>
      <c r="AJ3048">
        <v>103.94979969430101</v>
      </c>
      <c r="AK3048">
        <v>13.741058146225701</v>
      </c>
      <c r="AL3048">
        <v>81.979945755006199</v>
      </c>
      <c r="AM3048">
        <v>97.070137033676104</v>
      </c>
      <c r="AN3048">
        <v>1.0000000090771299</v>
      </c>
    </row>
    <row r="3049" spans="1:40" x14ac:dyDescent="0.3">
      <c r="A3049" t="str">
        <f>"20200111150913262"</f>
        <v>20200111150913262</v>
      </c>
      <c r="B3049" t="str">
        <f>"1578726553256903"</f>
        <v>1578726553256903</v>
      </c>
      <c r="C3049" t="s">
        <v>40</v>
      </c>
      <c r="D3049">
        <v>5.5279119999999997</v>
      </c>
      <c r="E3049">
        <v>0.4517407</v>
      </c>
      <c r="F3049" t="s">
        <v>43</v>
      </c>
      <c r="G3049">
        <v>-190.44149999999999</v>
      </c>
      <c r="H3049" s="1">
        <v>-2.3967719999999999E-7</v>
      </c>
      <c r="I3049">
        <v>-40.126010000000001</v>
      </c>
      <c r="J3049">
        <v>-196.54409999999999</v>
      </c>
      <c r="K3049">
        <v>1.118374</v>
      </c>
      <c r="L3049">
        <v>-52.918120000000002</v>
      </c>
      <c r="M3049">
        <v>0.63342519999999902</v>
      </c>
      <c r="N3049">
        <v>0</v>
      </c>
      <c r="O3049">
        <v>0.77369119999999902</v>
      </c>
      <c r="P3049">
        <v>0.53290499999999996</v>
      </c>
      <c r="Q3049">
        <v>0.12817899999999999</v>
      </c>
      <c r="R3049">
        <v>0.836410399999999</v>
      </c>
      <c r="S3049">
        <v>1.333313</v>
      </c>
      <c r="T3049">
        <v>-0.2402455</v>
      </c>
      <c r="U3049">
        <v>2.7769170000000001</v>
      </c>
      <c r="V3049">
        <v>-0.120355</v>
      </c>
      <c r="W3049">
        <v>0.1387543</v>
      </c>
      <c r="X3049">
        <v>0.98298620000000003</v>
      </c>
      <c r="Y3049">
        <v>-0.2369463</v>
      </c>
      <c r="Z3049">
        <v>-5.4273179999999997E-2</v>
      </c>
      <c r="AA3049">
        <v>0.97000560000000002</v>
      </c>
      <c r="AB3049">
        <v>29</v>
      </c>
      <c r="AC3049">
        <v>6.10259999999999</v>
      </c>
      <c r="AD3049">
        <v>-1.1183742396772001</v>
      </c>
      <c r="AE3049">
        <v>12.7921099999999</v>
      </c>
      <c r="AF3049">
        <v>-3.3606868507640799</v>
      </c>
      <c r="AG3049">
        <v>-1.1183742396772001</v>
      </c>
      <c r="AH3049">
        <v>13.6787147726233</v>
      </c>
      <c r="AI3049">
        <v>94.539700694618702</v>
      </c>
      <c r="AJ3049">
        <v>103.803445656713</v>
      </c>
      <c r="AK3049">
        <v>14.1298342127449</v>
      </c>
      <c r="AL3049">
        <v>82.024230429958806</v>
      </c>
      <c r="AM3049">
        <v>96.980445404327398</v>
      </c>
      <c r="AN3049">
        <v>0.99999997559196396</v>
      </c>
    </row>
    <row r="3050" spans="1:40" x14ac:dyDescent="0.3">
      <c r="A3050" t="str">
        <f>"20200111150913281"</f>
        <v>20200111150913281</v>
      </c>
      <c r="B3050" t="str">
        <f>"1578726553277398"</f>
        <v>1578726553277398</v>
      </c>
      <c r="C3050" t="s">
        <v>40</v>
      </c>
      <c r="D3050">
        <v>5.6252259999999996</v>
      </c>
      <c r="E3050">
        <v>0.4521442</v>
      </c>
      <c r="F3050" t="s">
        <v>89</v>
      </c>
      <c r="G3050">
        <v>-190.76650000000001</v>
      </c>
      <c r="H3050" s="1">
        <v>-6.1209600000000001E-6</v>
      </c>
      <c r="I3050">
        <v>-40.777470000000001</v>
      </c>
      <c r="J3050">
        <v>-196.4006</v>
      </c>
      <c r="K3050">
        <v>1.118225</v>
      </c>
      <c r="L3050">
        <v>-52.728789999999996</v>
      </c>
      <c r="M3050">
        <v>0.62659290000000001</v>
      </c>
      <c r="N3050">
        <v>0</v>
      </c>
      <c r="O3050">
        <v>0.77923520000000002</v>
      </c>
      <c r="P3050">
        <v>0.52730379999999999</v>
      </c>
      <c r="Q3050">
        <v>0.12744230000000001</v>
      </c>
      <c r="R3050">
        <v>0.84006499999999995</v>
      </c>
      <c r="S3050">
        <v>1.324112</v>
      </c>
      <c r="T3050">
        <v>-0.25631169999999998</v>
      </c>
      <c r="U3050">
        <v>2.78241</v>
      </c>
      <c r="V3050">
        <v>-0.1182796</v>
      </c>
      <c r="W3050">
        <v>0.13808219999999999</v>
      </c>
      <c r="X3050">
        <v>0.98333269999999995</v>
      </c>
      <c r="Y3050">
        <v>-0.23187640000000001</v>
      </c>
      <c r="Z3050">
        <v>-5.8528940000000002E-2</v>
      </c>
      <c r="AA3050">
        <v>0.97098280000000003</v>
      </c>
      <c r="AB3050">
        <v>29</v>
      </c>
      <c r="AC3050">
        <v>5.6340999999999797</v>
      </c>
      <c r="AD3050">
        <v>-1.11823112096</v>
      </c>
      <c r="AE3050">
        <v>11.951320000000001</v>
      </c>
      <c r="AF3050">
        <v>-3.0765561601569198</v>
      </c>
      <c r="AG3050">
        <v>-1.11823112096</v>
      </c>
      <c r="AH3050">
        <v>12.7529474346603</v>
      </c>
      <c r="AI3050">
        <v>94.872048923485096</v>
      </c>
      <c r="AJ3050">
        <v>103.56304081533</v>
      </c>
      <c r="AK3050">
        <v>13.166370301555901</v>
      </c>
      <c r="AL3050">
        <v>82.063113237866602</v>
      </c>
      <c r="AM3050">
        <v>96.858837404910901</v>
      </c>
      <c r="AN3050">
        <v>0.99999997831114396</v>
      </c>
    </row>
    <row r="3051" spans="1:40" x14ac:dyDescent="0.3">
      <c r="A3051" t="str">
        <f>"20200111150913293"</f>
        <v>20200111150913293</v>
      </c>
      <c r="B3051" t="str">
        <f>"1578726553277398"</f>
        <v>1578726553277398</v>
      </c>
      <c r="C3051" t="s">
        <v>40</v>
      </c>
      <c r="D3051">
        <v>5.6252259999999996</v>
      </c>
      <c r="E3051">
        <v>0.4521442</v>
      </c>
      <c r="F3051" t="s">
        <v>89</v>
      </c>
      <c r="G3051">
        <v>-190.79740000000001</v>
      </c>
      <c r="H3051" s="1">
        <v>-6.1200720000000001E-6</v>
      </c>
      <c r="I3051">
        <v>-40.790509999999998</v>
      </c>
      <c r="J3051">
        <v>-196.30170000000001</v>
      </c>
      <c r="K3051">
        <v>1.1181030000000001</v>
      </c>
      <c r="L3051">
        <v>-52.5961</v>
      </c>
      <c r="M3051">
        <v>0.62191090000000004</v>
      </c>
      <c r="N3051">
        <v>0</v>
      </c>
      <c r="O3051">
        <v>0.78297729999999999</v>
      </c>
      <c r="P3051">
        <v>0.52235429999999905</v>
      </c>
      <c r="Q3051">
        <v>0.12647249999999999</v>
      </c>
      <c r="R3051">
        <v>0.84329750000000003</v>
      </c>
      <c r="S3051">
        <v>1.3090520000000001</v>
      </c>
      <c r="T3051">
        <v>-0.26124789999999998</v>
      </c>
      <c r="U3051">
        <v>2.7890929999999998</v>
      </c>
      <c r="V3051">
        <v>-0.11819979999999999</v>
      </c>
      <c r="W3051">
        <v>0.13713049999999999</v>
      </c>
      <c r="X3051">
        <v>0.98347549999999995</v>
      </c>
      <c r="Y3051">
        <v>-0.23127829999999999</v>
      </c>
      <c r="Z3051">
        <v>-6.0035810000000002E-2</v>
      </c>
      <c r="AA3051">
        <v>0.97103349999999999</v>
      </c>
      <c r="AB3051">
        <v>29</v>
      </c>
      <c r="AC3051">
        <v>5.5042999999999997</v>
      </c>
      <c r="AD3051">
        <v>-1.1181091200719999</v>
      </c>
      <c r="AE3051">
        <v>11.80559</v>
      </c>
      <c r="AF3051">
        <v>-3.0103648892853299</v>
      </c>
      <c r="AG3051">
        <v>-1.1181091200719999</v>
      </c>
      <c r="AH3051">
        <v>12.5751344586055</v>
      </c>
      <c r="AI3051">
        <v>94.942134216346503</v>
      </c>
      <c r="AJ3051">
        <v>103.46269665899401</v>
      </c>
      <c r="AK3051">
        <v>12.9786929782254</v>
      </c>
      <c r="AL3051">
        <v>82.118165620041793</v>
      </c>
      <c r="AM3051">
        <v>96.853268206579102</v>
      </c>
      <c r="AN3051">
        <v>1.00000001292527</v>
      </c>
    </row>
    <row r="3052" spans="1:40" x14ac:dyDescent="0.3">
      <c r="A3052" t="str">
        <f>"20200111150913383"</f>
        <v>20200111150913383</v>
      </c>
      <c r="B3052" t="str">
        <f>"1578726553376919"</f>
        <v>1578726553376919</v>
      </c>
      <c r="C3052" t="s">
        <v>40</v>
      </c>
      <c r="D3052">
        <v>5.6459510000000002</v>
      </c>
      <c r="E3052">
        <v>0.44978590000000002</v>
      </c>
      <c r="F3052" t="s">
        <v>89</v>
      </c>
      <c r="G3052">
        <v>-190.8372</v>
      </c>
      <c r="H3052" s="1">
        <v>-6.130716E-6</v>
      </c>
      <c r="I3052">
        <v>-40.772060000000003</v>
      </c>
      <c r="J3052">
        <v>-195.64400000000001</v>
      </c>
      <c r="K3052">
        <v>1.116843</v>
      </c>
      <c r="L3052">
        <v>-51.678919999999998</v>
      </c>
      <c r="M3052">
        <v>0.59239010000000003</v>
      </c>
      <c r="N3052">
        <v>0</v>
      </c>
      <c r="O3052">
        <v>0.80554650000000005</v>
      </c>
      <c r="P3052">
        <v>0.48148780000000002</v>
      </c>
      <c r="Q3052">
        <v>0.12550549999999999</v>
      </c>
      <c r="R3052">
        <v>0.86742030000000003</v>
      </c>
      <c r="S3052">
        <v>1.2924500000000001</v>
      </c>
      <c r="T3052">
        <v>-0.26445020000000002</v>
      </c>
      <c r="U3052">
        <v>2.79657</v>
      </c>
      <c r="V3052">
        <v>-0.12828809999999999</v>
      </c>
      <c r="W3052">
        <v>0.13616130000000001</v>
      </c>
      <c r="X3052">
        <v>0.98234529999999998</v>
      </c>
      <c r="Y3052">
        <v>-0.20084830000000001</v>
      </c>
      <c r="Z3052">
        <v>-6.3795309999999994E-2</v>
      </c>
      <c r="AA3052">
        <v>0.97754289999999999</v>
      </c>
      <c r="AB3052">
        <v>29</v>
      </c>
      <c r="AC3052">
        <v>4.8068000000000097</v>
      </c>
      <c r="AD3052">
        <v>-1.116849130716</v>
      </c>
      <c r="AE3052">
        <v>10.90686</v>
      </c>
      <c r="AF3052">
        <v>-2.56669751671263</v>
      </c>
      <c r="AG3052">
        <v>-1.116849130716</v>
      </c>
      <c r="AH3052">
        <v>11.533202355117799</v>
      </c>
      <c r="AI3052">
        <v>95.399850678367102</v>
      </c>
      <c r="AJ3052">
        <v>102.54662407713199</v>
      </c>
      <c r="AK3052">
        <v>11.8680261495825</v>
      </c>
      <c r="AL3052">
        <v>82.174222502479907</v>
      </c>
      <c r="AM3052">
        <v>97.440360340729896</v>
      </c>
      <c r="AN3052">
        <v>1.00000001232569</v>
      </c>
    </row>
    <row r="3053" spans="1:40" x14ac:dyDescent="0.3">
      <c r="A3053" t="str">
        <f>"20200111150913404"</f>
        <v>20200111150913404</v>
      </c>
      <c r="B3053" t="str">
        <f>"1578726553396910"</f>
        <v>1578726553396910</v>
      </c>
      <c r="C3053" t="s">
        <v>40</v>
      </c>
      <c r="D3053">
        <v>5.5777060000000001</v>
      </c>
      <c r="E3053">
        <v>0.4467121</v>
      </c>
      <c r="F3053" t="s">
        <v>43</v>
      </c>
      <c r="G3053">
        <v>-190.85599999999999</v>
      </c>
      <c r="H3053" s="1">
        <v>-5.4658419999999995E-7</v>
      </c>
      <c r="I3053">
        <v>-39.66771</v>
      </c>
      <c r="J3053">
        <v>-195.48740000000001</v>
      </c>
      <c r="K3053">
        <v>1.116439</v>
      </c>
      <c r="L3053">
        <v>-51.452089999999998</v>
      </c>
      <c r="M3053">
        <v>0.58610960000000001</v>
      </c>
      <c r="N3053">
        <v>0</v>
      </c>
      <c r="O3053">
        <v>0.81012850000000003</v>
      </c>
      <c r="P3053">
        <v>0.47590789999999999</v>
      </c>
      <c r="Q3053">
        <v>0.12583820000000001</v>
      </c>
      <c r="R3053">
        <v>0.870446099999999</v>
      </c>
      <c r="S3053">
        <v>1.1414489999999999</v>
      </c>
      <c r="T3053">
        <v>-0.26625460000000001</v>
      </c>
      <c r="U3053">
        <v>2.863464</v>
      </c>
      <c r="V3053">
        <v>-0.1267974</v>
      </c>
      <c r="W3053">
        <v>0.13659260000000001</v>
      </c>
      <c r="X3053">
        <v>0.98247899999999999</v>
      </c>
      <c r="Y3053">
        <v>-0.2453671</v>
      </c>
      <c r="Z3053">
        <v>-6.3470910000000005E-2</v>
      </c>
      <c r="AA3053">
        <v>0.96735020000000005</v>
      </c>
      <c r="AB3053">
        <v>29</v>
      </c>
      <c r="AC3053">
        <v>4.63140000000001</v>
      </c>
      <c r="AD3053">
        <v>-1.1164395465842001</v>
      </c>
      <c r="AE3053">
        <v>11.784380000000001</v>
      </c>
      <c r="AF3053">
        <v>-3.13083212918988</v>
      </c>
      <c r="AG3053">
        <v>-1.1164395465842001</v>
      </c>
      <c r="AH3053">
        <v>12.167796301657701</v>
      </c>
      <c r="AI3053">
        <v>95.077924470623898</v>
      </c>
      <c r="AJ3053">
        <v>104.429474786203</v>
      </c>
      <c r="AK3053">
        <v>12.6136360309381</v>
      </c>
      <c r="AL3053">
        <v>82.149278090003193</v>
      </c>
      <c r="AM3053">
        <v>97.3538659692408</v>
      </c>
      <c r="AN3053">
        <v>1.00000005223125</v>
      </c>
    </row>
    <row r="3054" spans="1:40" x14ac:dyDescent="0.3">
      <c r="A3054" t="str">
        <f>"20200111150913428"</f>
        <v>20200111150913428</v>
      </c>
      <c r="B3054" t="str">
        <f>"1578726553417409"</f>
        <v>1578726553417409</v>
      </c>
      <c r="C3054" t="s">
        <v>40</v>
      </c>
      <c r="D3054">
        <v>5.2070369999999997</v>
      </c>
      <c r="E3054">
        <v>0.44571810000000001</v>
      </c>
      <c r="F3054" t="s">
        <v>43</v>
      </c>
      <c r="G3054">
        <v>-191.0154</v>
      </c>
      <c r="H3054" s="1">
        <v>-5.6337929999999996E-7</v>
      </c>
      <c r="I3054">
        <v>-39.72739</v>
      </c>
      <c r="J3054">
        <v>-195.32089999999999</v>
      </c>
      <c r="K3054">
        <v>1.115999</v>
      </c>
      <c r="L3054">
        <v>-51.207819999999998</v>
      </c>
      <c r="M3054">
        <v>0.57983169999999995</v>
      </c>
      <c r="N3054">
        <v>0</v>
      </c>
      <c r="O3054">
        <v>0.81463439999999998</v>
      </c>
      <c r="P3054">
        <v>0.47035959999999899</v>
      </c>
      <c r="Q3054">
        <v>0.12578210000000001</v>
      </c>
      <c r="R3054">
        <v>0.87346480000000004</v>
      </c>
      <c r="S3054">
        <v>1.100266</v>
      </c>
      <c r="T3054">
        <v>-0.27468219999999999</v>
      </c>
      <c r="U3054">
        <v>2.884674</v>
      </c>
      <c r="V3054">
        <v>-0.12531039999999999</v>
      </c>
      <c r="W3054">
        <v>0.13663839999999999</v>
      </c>
      <c r="X3054">
        <v>0.98266330000000002</v>
      </c>
      <c r="Y3054">
        <v>-0.25236700000000001</v>
      </c>
      <c r="Z3054">
        <v>-6.5644649999999999E-2</v>
      </c>
      <c r="AA3054">
        <v>0.96540230000000005</v>
      </c>
      <c r="AB3054">
        <v>29</v>
      </c>
      <c r="AC3054">
        <v>4.3054999999999897</v>
      </c>
      <c r="AD3054">
        <v>-1.1159995633793001</v>
      </c>
      <c r="AE3054">
        <v>11.480429999999901</v>
      </c>
      <c r="AF3054">
        <v>-3.12369237081078</v>
      </c>
      <c r="AG3054">
        <v>-1.1159995633793001</v>
      </c>
      <c r="AH3054">
        <v>11.752440353062701</v>
      </c>
      <c r="AI3054">
        <v>95.243497612820903</v>
      </c>
      <c r="AJ3054">
        <v>104.884563601042</v>
      </c>
      <c r="AK3054">
        <v>12.2115831612949</v>
      </c>
      <c r="AL3054">
        <v>82.146628338044806</v>
      </c>
      <c r="AM3054">
        <v>97.267203499933899</v>
      </c>
      <c r="AN3054">
        <v>0.99999995493480398</v>
      </c>
    </row>
    <row r="3055" spans="1:40" x14ac:dyDescent="0.3">
      <c r="A3055" t="str">
        <f>"20200111150913443"</f>
        <v>20200111150913443</v>
      </c>
      <c r="B3055" t="str">
        <f>"1578726553436927"</f>
        <v>1578726553436927</v>
      </c>
      <c r="C3055" t="s">
        <v>40</v>
      </c>
      <c r="D3055">
        <v>5.6439719999999998</v>
      </c>
      <c r="E3055">
        <v>0.44470389999999999</v>
      </c>
      <c r="F3055" t="s">
        <v>43</v>
      </c>
      <c r="G3055">
        <v>-190.97710000000001</v>
      </c>
      <c r="H3055" s="1">
        <v>-6.5604559999999902E-7</v>
      </c>
      <c r="I3055">
        <v>-39.487609999999997</v>
      </c>
      <c r="J3055">
        <v>-195.21289999999999</v>
      </c>
      <c r="K3055">
        <v>1.115715</v>
      </c>
      <c r="L3055">
        <v>-51.047939999999997</v>
      </c>
      <c r="M3055">
        <v>0.57597940000000003</v>
      </c>
      <c r="N3055">
        <v>0</v>
      </c>
      <c r="O3055">
        <v>0.81736330000000001</v>
      </c>
      <c r="P3055">
        <v>0.46650710000000001</v>
      </c>
      <c r="Q3055">
        <v>0.12566069999999999</v>
      </c>
      <c r="R3055">
        <v>0.87554589999999999</v>
      </c>
      <c r="S3055">
        <v>1.0734410000000001</v>
      </c>
      <c r="T3055">
        <v>-0.27578330000000001</v>
      </c>
      <c r="U3055">
        <v>2.896271</v>
      </c>
      <c r="V3055">
        <v>-0.1249123</v>
      </c>
      <c r="W3055">
        <v>0.13657320000000001</v>
      </c>
      <c r="X3055">
        <v>0.98272309999999996</v>
      </c>
      <c r="Y3055">
        <v>-0.2569264</v>
      </c>
      <c r="Z3055">
        <v>-6.6039319999999999E-2</v>
      </c>
      <c r="AA3055">
        <v>0.96417200000000003</v>
      </c>
      <c r="AB3055">
        <v>29</v>
      </c>
      <c r="AC3055">
        <v>4.2357999999999798</v>
      </c>
      <c r="AD3055">
        <v>-1.1157156560456001</v>
      </c>
      <c r="AE3055">
        <v>11.56033</v>
      </c>
      <c r="AF3055">
        <v>-3.17055116405264</v>
      </c>
      <c r="AG3055">
        <v>-1.1157156560456001</v>
      </c>
      <c r="AH3055">
        <v>11.7928592521562</v>
      </c>
      <c r="AI3055">
        <v>95.220335481236603</v>
      </c>
      <c r="AJ3055">
        <v>105.048329801695</v>
      </c>
      <c r="AK3055">
        <v>12.262493443431</v>
      </c>
      <c r="AL3055">
        <v>82.150399781687597</v>
      </c>
      <c r="AM3055">
        <v>97.243925750220995</v>
      </c>
      <c r="AN3055">
        <v>1.0000000064615699</v>
      </c>
    </row>
    <row r="3056" spans="1:40" x14ac:dyDescent="0.3">
      <c r="A3056" t="str">
        <f>"20200111150913461"</f>
        <v>20200111150913461</v>
      </c>
      <c r="B3056" t="str">
        <f>"1578726553457264"</f>
        <v>1578726553457264</v>
      </c>
      <c r="C3056" t="s">
        <v>40</v>
      </c>
      <c r="D3056">
        <v>5.5738219999999998</v>
      </c>
      <c r="E3056">
        <v>0.44348939999999998</v>
      </c>
      <c r="F3056" t="s">
        <v>43</v>
      </c>
      <c r="G3056">
        <v>-190.90029999999999</v>
      </c>
      <c r="H3056" s="1">
        <v>-7.8151079999999995E-7</v>
      </c>
      <c r="I3056">
        <v>-39.147570000000002</v>
      </c>
      <c r="J3056">
        <v>-195.0883</v>
      </c>
      <c r="K3056">
        <v>1.115378</v>
      </c>
      <c r="L3056">
        <v>-50.861879999999999</v>
      </c>
      <c r="M3056">
        <v>0.57179019999999903</v>
      </c>
      <c r="N3056">
        <v>0</v>
      </c>
      <c r="O3056">
        <v>0.82029989999999997</v>
      </c>
      <c r="P3056">
        <v>0.46192719999999998</v>
      </c>
      <c r="Q3056">
        <v>0.12549160000000001</v>
      </c>
      <c r="R3056">
        <v>0.87799499999999997</v>
      </c>
      <c r="S3056">
        <v>1.0526279999999999</v>
      </c>
      <c r="T3056">
        <v>-0.27232580000000001</v>
      </c>
      <c r="U3056">
        <v>2.9046630000000002</v>
      </c>
      <c r="V3056">
        <v>-0.1249175</v>
      </c>
      <c r="W3056">
        <v>0.13646259999999999</v>
      </c>
      <c r="X3056">
        <v>0.98273779999999999</v>
      </c>
      <c r="Y3056">
        <v>-0.25896219999999998</v>
      </c>
      <c r="Z3056">
        <v>-6.5453430000000007E-2</v>
      </c>
      <c r="AA3056">
        <v>0.96366719999999895</v>
      </c>
      <c r="AB3056">
        <v>29</v>
      </c>
      <c r="AC3056">
        <v>4.1880000000000104</v>
      </c>
      <c r="AD3056">
        <v>-1.1153787815108001</v>
      </c>
      <c r="AE3056">
        <v>11.7143099999999</v>
      </c>
      <c r="AF3056">
        <v>-3.2369591033904301</v>
      </c>
      <c r="AG3056">
        <v>-1.1153787815108001</v>
      </c>
      <c r="AH3056">
        <v>11.909157896664301</v>
      </c>
      <c r="AI3056">
        <v>95.1642620777655</v>
      </c>
      <c r="AJ3056">
        <v>105.20588035447901</v>
      </c>
      <c r="AK3056">
        <v>12.3915300052475</v>
      </c>
      <c r="AL3056">
        <v>82.156796559125695</v>
      </c>
      <c r="AM3056">
        <v>97.244116896109702</v>
      </c>
      <c r="AN3056">
        <v>1.0000000032769201</v>
      </c>
    </row>
    <row r="3057" spans="1:40" x14ac:dyDescent="0.3">
      <c r="A3057" t="str">
        <f>"20200111150913506"</f>
        <v>20200111150913506</v>
      </c>
      <c r="B3057" t="str">
        <f>"1578726553497281"</f>
        <v>1578726553497281</v>
      </c>
      <c r="C3057" t="s">
        <v>40</v>
      </c>
      <c r="D3057">
        <v>5.689832</v>
      </c>
      <c r="E3057">
        <v>0.44253100000000001</v>
      </c>
      <c r="F3057" t="s">
        <v>43</v>
      </c>
      <c r="G3057">
        <v>-190.9409</v>
      </c>
      <c r="H3057" s="1">
        <v>-8.1468889999999998E-7</v>
      </c>
      <c r="I3057">
        <v>-39.095370000000003</v>
      </c>
      <c r="J3057">
        <v>-194.77279999999999</v>
      </c>
      <c r="K3057">
        <v>1.1145130000000001</v>
      </c>
      <c r="L3057">
        <v>-50.384340000000002</v>
      </c>
      <c r="M3057">
        <v>0.56248750000000003</v>
      </c>
      <c r="N3057">
        <v>0</v>
      </c>
      <c r="O3057">
        <v>0.82670829999999995</v>
      </c>
      <c r="P3057">
        <v>0.45161980000000002</v>
      </c>
      <c r="Q3057">
        <v>0.1222497</v>
      </c>
      <c r="R3057">
        <v>0.88379560000000001</v>
      </c>
      <c r="S3057">
        <v>1.0277099999999999</v>
      </c>
      <c r="T3057">
        <v>-0.27638499999999999</v>
      </c>
      <c r="U3057">
        <v>2.91568</v>
      </c>
      <c r="V3057">
        <v>-0.125248</v>
      </c>
      <c r="W3057">
        <v>0.13337599999999999</v>
      </c>
      <c r="X3057">
        <v>0.98311939999999998</v>
      </c>
      <c r="Y3057">
        <v>-0.25655789999999901</v>
      </c>
      <c r="Z3057">
        <v>-6.7122219999999996E-2</v>
      </c>
      <c r="AA3057">
        <v>0.96419540000000004</v>
      </c>
      <c r="AB3057">
        <v>29</v>
      </c>
      <c r="AC3057">
        <v>3.8318999999999899</v>
      </c>
      <c r="AD3057">
        <v>-1.11451381468889</v>
      </c>
      <c r="AE3057">
        <v>11.288970000000001</v>
      </c>
      <c r="AF3057">
        <v>-3.1547257398412998</v>
      </c>
      <c r="AG3057">
        <v>-1.11451381468889</v>
      </c>
      <c r="AH3057">
        <v>11.3894652001945</v>
      </c>
      <c r="AI3057">
        <v>95.387292877364004</v>
      </c>
      <c r="AJ3057">
        <v>105.48200212480199</v>
      </c>
      <c r="AK3057">
        <v>11.870735153443199</v>
      </c>
      <c r="AL3057">
        <v>82.335277586088594</v>
      </c>
      <c r="AM3057">
        <v>97.260289498639594</v>
      </c>
      <c r="AN3057">
        <v>0.99999998676817903</v>
      </c>
    </row>
    <row r="3058" spans="1:40" x14ac:dyDescent="0.3">
      <c r="A3058" t="str">
        <f>"20200111150913529"</f>
        <v>20200111150913529</v>
      </c>
      <c r="B3058" t="str">
        <f>"1578726553516800"</f>
        <v>1578726553516800</v>
      </c>
      <c r="C3058" t="s">
        <v>40</v>
      </c>
      <c r="D3058">
        <v>5.6772850000000004</v>
      </c>
      <c r="E3058">
        <v>0.44228709999999999</v>
      </c>
      <c r="F3058" t="s">
        <v>43</v>
      </c>
      <c r="G3058">
        <v>-190.87309999999999</v>
      </c>
      <c r="H3058" s="1">
        <v>-9.5181789999999996E-7</v>
      </c>
      <c r="I3058">
        <v>-38.733719999999998</v>
      </c>
      <c r="J3058">
        <v>-194.61080000000001</v>
      </c>
      <c r="K3058">
        <v>1.114117</v>
      </c>
      <c r="L3058">
        <v>-50.136319999999998</v>
      </c>
      <c r="M3058">
        <v>0.55829050000000002</v>
      </c>
      <c r="N3058">
        <v>0</v>
      </c>
      <c r="O3058">
        <v>0.82954910000000004</v>
      </c>
      <c r="P3058">
        <v>0.44741789999999998</v>
      </c>
      <c r="Q3058">
        <v>0.1216305</v>
      </c>
      <c r="R3058">
        <v>0.88601540000000001</v>
      </c>
      <c r="S3058">
        <v>0.98130799999999996</v>
      </c>
      <c r="T3058">
        <v>-0.28045900000000001</v>
      </c>
      <c r="U3058">
        <v>2.9317929999999999</v>
      </c>
      <c r="V3058">
        <v>-0.1248442</v>
      </c>
      <c r="W3058">
        <v>0.1328329</v>
      </c>
      <c r="X3058">
        <v>0.98324429999999996</v>
      </c>
      <c r="Y3058">
        <v>-0.26698060000000001</v>
      </c>
      <c r="Z3058">
        <v>-6.8129179999999998E-2</v>
      </c>
      <c r="AA3058">
        <v>0.96129070000000005</v>
      </c>
      <c r="AB3058">
        <v>29</v>
      </c>
      <c r="AC3058">
        <v>3.73770000000001</v>
      </c>
      <c r="AD3058">
        <v>-1.1141179518178901</v>
      </c>
      <c r="AE3058">
        <v>11.4026</v>
      </c>
      <c r="AF3058">
        <v>-3.2377082900092402</v>
      </c>
      <c r="AG3058">
        <v>-1.1141179518178901</v>
      </c>
      <c r="AH3058">
        <v>11.4479758530582</v>
      </c>
      <c r="AI3058">
        <v>95.349967411628498</v>
      </c>
      <c r="AJ3058">
        <v>105.791925917542</v>
      </c>
      <c r="AK3058">
        <v>11.949065441027599</v>
      </c>
      <c r="AL3058">
        <v>82.3666744209537</v>
      </c>
      <c r="AM3058">
        <v>97.236221293721201</v>
      </c>
      <c r="AN3058">
        <v>1.00000000353927</v>
      </c>
    </row>
    <row r="3059" spans="1:40" x14ac:dyDescent="0.3">
      <c r="A3059" t="str">
        <f>"20200111150913552"</f>
        <v>20200111150913552</v>
      </c>
      <c r="B3059" t="str">
        <f>"1578726553547057"</f>
        <v>1578726553547057</v>
      </c>
      <c r="C3059" t="s">
        <v>40</v>
      </c>
      <c r="D3059">
        <v>5.5782600000000002</v>
      </c>
      <c r="E3059">
        <v>0.44231239999999999</v>
      </c>
      <c r="F3059" t="s">
        <v>43</v>
      </c>
      <c r="G3059">
        <v>-190.7748</v>
      </c>
      <c r="H3059" s="1">
        <v>-1.0553179999999999E-6</v>
      </c>
      <c r="I3059">
        <v>-38.431429999999999</v>
      </c>
      <c r="J3059">
        <v>-194.45249999999999</v>
      </c>
      <c r="K3059">
        <v>1.113782</v>
      </c>
      <c r="L3059">
        <v>-49.89188</v>
      </c>
      <c r="M3059">
        <v>0.55451459999999997</v>
      </c>
      <c r="N3059">
        <v>0</v>
      </c>
      <c r="O3059">
        <v>0.8320786</v>
      </c>
      <c r="P3059">
        <v>0.44340810000000003</v>
      </c>
      <c r="Q3059">
        <v>0.1211801</v>
      </c>
      <c r="R3059">
        <v>0.88809039999999995</v>
      </c>
      <c r="S3059">
        <v>0.96290589999999998</v>
      </c>
      <c r="T3059">
        <v>-0.27965830000000003</v>
      </c>
      <c r="U3059">
        <v>2.9380799999999998</v>
      </c>
      <c r="V3059">
        <v>-0.1247373</v>
      </c>
      <c r="W3059">
        <v>0.13244349999999999</v>
      </c>
      <c r="X3059">
        <v>0.98331040000000003</v>
      </c>
      <c r="Y3059">
        <v>-0.26864310000000002</v>
      </c>
      <c r="Z3059">
        <v>-6.816179E-2</v>
      </c>
      <c r="AA3059">
        <v>0.96082509999999999</v>
      </c>
      <c r="AB3059">
        <v>29</v>
      </c>
      <c r="AC3059">
        <v>3.6776999999999802</v>
      </c>
      <c r="AD3059">
        <v>-1.1137830553179999</v>
      </c>
      <c r="AE3059">
        <v>11.46045</v>
      </c>
      <c r="AF3059">
        <v>-3.2671361745498499</v>
      </c>
      <c r="AG3059">
        <v>-1.1137830553179999</v>
      </c>
      <c r="AH3059">
        <v>11.47796563839</v>
      </c>
      <c r="AI3059">
        <v>95.331934041430202</v>
      </c>
      <c r="AJ3059">
        <v>105.88869497704999</v>
      </c>
      <c r="AK3059">
        <v>11.9857576595486</v>
      </c>
      <c r="AL3059">
        <v>82.389184322685594</v>
      </c>
      <c r="AM3059">
        <v>97.229609871640903</v>
      </c>
      <c r="AN3059">
        <v>1.00000000872585</v>
      </c>
    </row>
    <row r="3060" spans="1:40" x14ac:dyDescent="0.3">
      <c r="A3060" t="str">
        <f>"20200111150913572"</f>
        <v>20200111150913572</v>
      </c>
      <c r="B3060" t="str">
        <f>"1578726553567555"</f>
        <v>1578726553567555</v>
      </c>
      <c r="C3060" t="s">
        <v>40</v>
      </c>
      <c r="D3060">
        <v>5.6088430000000002</v>
      </c>
      <c r="E3060">
        <v>0.44257679999999999</v>
      </c>
      <c r="F3060" t="s">
        <v>43</v>
      </c>
      <c r="G3060">
        <v>-190.7508</v>
      </c>
      <c r="H3060" s="1">
        <v>-1.0570039999999999E-6</v>
      </c>
      <c r="I3060">
        <v>-38.41263</v>
      </c>
      <c r="J3060">
        <v>-194.31110000000001</v>
      </c>
      <c r="K3060">
        <v>1.113524</v>
      </c>
      <c r="L3060">
        <v>-49.672269999999997</v>
      </c>
      <c r="M3060">
        <v>0.5513865</v>
      </c>
      <c r="N3060">
        <v>0</v>
      </c>
      <c r="O3060">
        <v>0.83415539999999999</v>
      </c>
      <c r="P3060">
        <v>0.44029089999999999</v>
      </c>
      <c r="Q3060">
        <v>0.119797</v>
      </c>
      <c r="R3060">
        <v>0.88982729999999999</v>
      </c>
      <c r="S3060">
        <v>0.94906619999999997</v>
      </c>
      <c r="T3060">
        <v>-0.28556120000000002</v>
      </c>
      <c r="U3060">
        <v>2.943146</v>
      </c>
      <c r="V3060">
        <v>-0.1244989</v>
      </c>
      <c r="W3060">
        <v>0.13110720000000001</v>
      </c>
      <c r="X3060">
        <v>0.9835197</v>
      </c>
      <c r="Y3060">
        <v>-0.26963860000000001</v>
      </c>
      <c r="Z3060">
        <v>-6.9781179999999998E-2</v>
      </c>
      <c r="AA3060">
        <v>0.96042989999999995</v>
      </c>
      <c r="AB3060">
        <v>29</v>
      </c>
      <c r="AC3060">
        <v>3.56030000000001</v>
      </c>
      <c r="AD3060">
        <v>-1.1135250570039901</v>
      </c>
      <c r="AE3060">
        <v>11.259639999999999</v>
      </c>
      <c r="AF3060">
        <v>-3.2102818319808502</v>
      </c>
      <c r="AG3060">
        <v>-1.1135250570039901</v>
      </c>
      <c r="AH3060">
        <v>11.256204052385501</v>
      </c>
      <c r="AI3060">
        <v>95.434312051558507</v>
      </c>
      <c r="AJ3060">
        <v>105.918208220705</v>
      </c>
      <c r="AK3060">
        <v>11.757889996179699</v>
      </c>
      <c r="AL3060">
        <v>82.466422438510094</v>
      </c>
      <c r="AM3060">
        <v>97.214418881622706</v>
      </c>
      <c r="AN3060">
        <v>1.00000003714056</v>
      </c>
    </row>
    <row r="3061" spans="1:40" x14ac:dyDescent="0.3">
      <c r="A3061" t="str">
        <f>"20200111150913595"</f>
        <v>20200111150913595</v>
      </c>
      <c r="B3061" t="str">
        <f>"1578726553587073"</f>
        <v>1578726553587073</v>
      </c>
      <c r="C3061" t="s">
        <v>40</v>
      </c>
      <c r="D3061">
        <v>5.6331569999999997</v>
      </c>
      <c r="E3061">
        <v>0.44289669999999998</v>
      </c>
      <c r="F3061" t="s">
        <v>43</v>
      </c>
      <c r="G3061">
        <v>-190.6652</v>
      </c>
      <c r="H3061" s="1">
        <v>-1.1079039999999999E-6</v>
      </c>
      <c r="I3061">
        <v>-38.24089</v>
      </c>
      <c r="J3061">
        <v>-194.1499</v>
      </c>
      <c r="K3061">
        <v>1.113273</v>
      </c>
      <c r="L3061">
        <v>-49.420140000000004</v>
      </c>
      <c r="M3061">
        <v>0.54803440000000003</v>
      </c>
      <c r="N3061">
        <v>0</v>
      </c>
      <c r="O3061">
        <v>0.83636200000000005</v>
      </c>
      <c r="P3061">
        <v>0.43713380000000002</v>
      </c>
      <c r="Q3061">
        <v>0.11912789999999999</v>
      </c>
      <c r="R3061">
        <v>0.89147219999999905</v>
      </c>
      <c r="S3061">
        <v>0.93936160000000002</v>
      </c>
      <c r="T3061">
        <v>-0.28689550000000003</v>
      </c>
      <c r="U3061">
        <v>2.9452509999999998</v>
      </c>
      <c r="V3061">
        <v>-0.123998499999999</v>
      </c>
      <c r="W3061">
        <v>0.13048180000000001</v>
      </c>
      <c r="X3061">
        <v>0.98366609999999999</v>
      </c>
      <c r="Y3061">
        <v>-0.2688564</v>
      </c>
      <c r="Z3061">
        <v>-7.0393349999999993E-2</v>
      </c>
      <c r="AA3061">
        <v>0.96060449999999997</v>
      </c>
      <c r="AB3061">
        <v>29</v>
      </c>
      <c r="AC3061">
        <v>3.4847000000000001</v>
      </c>
      <c r="AD3061">
        <v>-1.1132741079040001</v>
      </c>
      <c r="AE3061">
        <v>11.17925</v>
      </c>
      <c r="AF3061">
        <v>-3.1836190620065801</v>
      </c>
      <c r="AG3061">
        <v>-1.1132741079040001</v>
      </c>
      <c r="AH3061">
        <v>11.159649751794401</v>
      </c>
      <c r="AI3061">
        <v>95.479704792766498</v>
      </c>
      <c r="AJ3061">
        <v>105.922360838518</v>
      </c>
      <c r="AK3061">
        <v>11.6581556068714</v>
      </c>
      <c r="AL3061">
        <v>82.502565896045496</v>
      </c>
      <c r="AM3061">
        <v>97.184667299921699</v>
      </c>
      <c r="AN3061">
        <v>1.0000000622113401</v>
      </c>
    </row>
    <row r="3062" spans="1:40" x14ac:dyDescent="0.3">
      <c r="A3062" t="str">
        <f>"20200111150913621"</f>
        <v>20200111150913621</v>
      </c>
      <c r="B3062" t="str">
        <f>"1578726553617329"</f>
        <v>1578726553617329</v>
      </c>
      <c r="C3062" t="s">
        <v>40</v>
      </c>
      <c r="D3062">
        <v>5.6325419999999999</v>
      </c>
      <c r="E3062">
        <v>0.4435887</v>
      </c>
      <c r="F3062" t="s">
        <v>43</v>
      </c>
      <c r="G3062">
        <v>-190.50909999999999</v>
      </c>
      <c r="H3062" s="1">
        <v>-1.22133E-6</v>
      </c>
      <c r="I3062">
        <v>-37.8797</v>
      </c>
      <c r="J3062">
        <v>-193.98259999999999</v>
      </c>
      <c r="K3062">
        <v>1.113067</v>
      </c>
      <c r="L3062">
        <v>-49.156739999999999</v>
      </c>
      <c r="M3062">
        <v>0.54473819999999995</v>
      </c>
      <c r="N3062">
        <v>0</v>
      </c>
      <c r="O3062">
        <v>0.83851330000000002</v>
      </c>
      <c r="P3062">
        <v>0.43360009999999999</v>
      </c>
      <c r="Q3062">
        <v>0.1209486</v>
      </c>
      <c r="R3062">
        <v>0.89295149999999901</v>
      </c>
      <c r="S3062">
        <v>0.92980960000000001</v>
      </c>
      <c r="T3062">
        <v>-0.2843176</v>
      </c>
      <c r="U3062">
        <v>2.9472960000000001</v>
      </c>
      <c r="V3062">
        <v>-0.12383280000000001</v>
      </c>
      <c r="W3062">
        <v>0.13233010000000001</v>
      </c>
      <c r="X3062">
        <v>0.98343999999999998</v>
      </c>
      <c r="Y3062">
        <v>-0.26807599999999998</v>
      </c>
      <c r="Z3062">
        <v>-7.0045189999999993E-2</v>
      </c>
      <c r="AA3062">
        <v>0.96084800000000004</v>
      </c>
      <c r="AB3062">
        <v>29</v>
      </c>
      <c r="AC3062">
        <v>3.4735</v>
      </c>
      <c r="AD3062">
        <v>-1.1130682213299901</v>
      </c>
      <c r="AE3062">
        <v>11.27704</v>
      </c>
      <c r="AF3062">
        <v>-3.2022169755909502</v>
      </c>
      <c r="AG3062">
        <v>-1.1130682213299901</v>
      </c>
      <c r="AH3062">
        <v>11.248888016571501</v>
      </c>
      <c r="AI3062">
        <v>95.436364474566204</v>
      </c>
      <c r="AJ3062">
        <v>105.890044467199</v>
      </c>
      <c r="AK3062">
        <v>11.748642305962999</v>
      </c>
      <c r="AL3062">
        <v>82.395739490152806</v>
      </c>
      <c r="AM3062">
        <v>97.176798936361294</v>
      </c>
      <c r="AN3062">
        <v>1.0000000256609201</v>
      </c>
    </row>
    <row r="3063" spans="1:40" x14ac:dyDescent="0.3">
      <c r="A3063" t="str">
        <f>"20200111150913639"</f>
        <v>20200111150913639</v>
      </c>
      <c r="B3063" t="str">
        <f>"1578726553636848"</f>
        <v>1578726553636848</v>
      </c>
      <c r="C3063" t="s">
        <v>40</v>
      </c>
      <c r="D3063">
        <v>5.6020789999999998</v>
      </c>
      <c r="E3063">
        <v>0.44394489999999998</v>
      </c>
      <c r="F3063" t="s">
        <v>43</v>
      </c>
      <c r="G3063">
        <v>-190.2543</v>
      </c>
      <c r="H3063" s="1">
        <v>-1.4254539999999999E-6</v>
      </c>
      <c r="I3063">
        <v>-37.245829999999998</v>
      </c>
      <c r="J3063">
        <v>-193.84729999999999</v>
      </c>
      <c r="K3063">
        <v>1.1129439999999999</v>
      </c>
      <c r="L3063">
        <v>-48.942079999999997</v>
      </c>
      <c r="M3063">
        <v>0.54216370000000003</v>
      </c>
      <c r="N3063">
        <v>0</v>
      </c>
      <c r="O3063">
        <v>0.84018060000000006</v>
      </c>
      <c r="P3063">
        <v>0.43090109999999898</v>
      </c>
      <c r="Q3063">
        <v>0.1230971</v>
      </c>
      <c r="R3063">
        <v>0.89396390000000003</v>
      </c>
      <c r="S3063">
        <v>0.92301940000000005</v>
      </c>
      <c r="T3063">
        <v>-0.27556009999999997</v>
      </c>
      <c r="U3063">
        <v>2.9487610000000002</v>
      </c>
      <c r="V3063">
        <v>-0.1235986</v>
      </c>
      <c r="W3063">
        <v>0.13449159999999999</v>
      </c>
      <c r="X3063">
        <v>0.98317619999999895</v>
      </c>
      <c r="Y3063">
        <v>-0.26722509999999999</v>
      </c>
      <c r="Z3063">
        <v>-6.8117469999999999E-2</v>
      </c>
      <c r="AA3063">
        <v>0.96122359999999896</v>
      </c>
      <c r="AB3063">
        <v>29</v>
      </c>
      <c r="AC3063">
        <v>3.59299999999998</v>
      </c>
      <c r="AD3063">
        <v>-1.1129454254539899</v>
      </c>
      <c r="AE3063">
        <v>11.696249999999999</v>
      </c>
      <c r="AF3063">
        <v>-3.2955054444116501</v>
      </c>
      <c r="AG3063">
        <v>-1.1129454254539899</v>
      </c>
      <c r="AH3063">
        <v>11.6792409946947</v>
      </c>
      <c r="AI3063">
        <v>95.240026560159194</v>
      </c>
      <c r="AJ3063">
        <v>105.757356174102</v>
      </c>
      <c r="AK3063">
        <v>12.1862083465836</v>
      </c>
      <c r="AL3063">
        <v>82.270777556881796</v>
      </c>
      <c r="AM3063">
        <v>97.165268934847106</v>
      </c>
      <c r="AN3063">
        <v>1.00000002231947</v>
      </c>
    </row>
    <row r="3064" spans="1:40" x14ac:dyDescent="0.3">
      <c r="A3064" t="str">
        <f>"20200111150913661"</f>
        <v>20200111150913661</v>
      </c>
      <c r="B3064" t="str">
        <f>"1578726553657344"</f>
        <v>1578726553657344</v>
      </c>
      <c r="C3064" t="s">
        <v>40</v>
      </c>
      <c r="D3064">
        <v>5.5622210000000001</v>
      </c>
      <c r="E3064">
        <v>0.44427509999999998</v>
      </c>
      <c r="F3064" t="s">
        <v>43</v>
      </c>
      <c r="G3064">
        <v>-190.05510000000001</v>
      </c>
      <c r="H3064" s="1">
        <v>-1.5834519999999999E-6</v>
      </c>
      <c r="I3064">
        <v>-36.753999999999998</v>
      </c>
      <c r="J3064">
        <v>-193.7047</v>
      </c>
      <c r="K3064">
        <v>1.1128420000000001</v>
      </c>
      <c r="L3064">
        <v>-48.714599999999997</v>
      </c>
      <c r="M3064">
        <v>0.53949720000000001</v>
      </c>
      <c r="N3064">
        <v>0</v>
      </c>
      <c r="O3064">
        <v>0.84189559999999997</v>
      </c>
      <c r="P3064">
        <v>0.42897940000000001</v>
      </c>
      <c r="Q3064">
        <v>0.1241903</v>
      </c>
      <c r="R3064">
        <v>0.89473649999999905</v>
      </c>
      <c r="S3064">
        <v>0.91799929999999996</v>
      </c>
      <c r="T3064">
        <v>-0.26941989999999999</v>
      </c>
      <c r="U3064">
        <v>2.9504700000000001</v>
      </c>
      <c r="V3064">
        <v>-0.1224819</v>
      </c>
      <c r="W3064">
        <v>0.13560050000000001</v>
      </c>
      <c r="X3064">
        <v>0.98316360000000003</v>
      </c>
      <c r="Y3064">
        <v>-0.26578800000000002</v>
      </c>
      <c r="Z3064">
        <v>-6.6822729999999997E-2</v>
      </c>
      <c r="AA3064">
        <v>0.96171280000000003</v>
      </c>
      <c r="AB3064">
        <v>29</v>
      </c>
      <c r="AC3064">
        <v>3.6495999999999902</v>
      </c>
      <c r="AD3064">
        <v>-1.1128435834520001</v>
      </c>
      <c r="AE3064">
        <v>11.960599999999999</v>
      </c>
      <c r="AF3064">
        <v>-3.3538285435188699</v>
      </c>
      <c r="AG3064">
        <v>-1.1128435834520001</v>
      </c>
      <c r="AH3064">
        <v>11.944858326111101</v>
      </c>
      <c r="AI3064">
        <v>95.125515587626893</v>
      </c>
      <c r="AJ3064">
        <v>105.683462866985</v>
      </c>
      <c r="AK3064">
        <v>12.456573652952001</v>
      </c>
      <c r="AL3064">
        <v>82.206654587661703</v>
      </c>
      <c r="AM3064">
        <v>97.101285463451603</v>
      </c>
      <c r="AN3064">
        <v>0.99999998789640898</v>
      </c>
    </row>
    <row r="3065" spans="1:40" x14ac:dyDescent="0.3">
      <c r="A3065" t="str">
        <f>"20200111150913683"</f>
        <v>20200111150913683</v>
      </c>
      <c r="B3065" t="str">
        <f>"1578726553676864"</f>
        <v>1578726553676864</v>
      </c>
      <c r="C3065" t="s">
        <v>40</v>
      </c>
      <c r="D3065">
        <v>5.6673850000000003</v>
      </c>
      <c r="E3065">
        <v>0.44419409999999998</v>
      </c>
      <c r="F3065" t="s">
        <v>43</v>
      </c>
      <c r="G3065">
        <v>-189.87459999999999</v>
      </c>
      <c r="H3065" s="1">
        <v>-1.741117E-6</v>
      </c>
      <c r="I3065">
        <v>-36.360460000000003</v>
      </c>
      <c r="J3065">
        <v>-193.55080000000001</v>
      </c>
      <c r="K3065">
        <v>1.1127640000000001</v>
      </c>
      <c r="L3065">
        <v>-48.467289999999998</v>
      </c>
      <c r="M3065">
        <v>0.53663919999999998</v>
      </c>
      <c r="N3065">
        <v>0</v>
      </c>
      <c r="O3065">
        <v>0.84372049999999998</v>
      </c>
      <c r="P3065">
        <v>0.42780069999999998</v>
      </c>
      <c r="Q3065">
        <v>0.1240825</v>
      </c>
      <c r="R3065">
        <v>0.89531559999999899</v>
      </c>
      <c r="S3065">
        <v>0.91493230000000003</v>
      </c>
      <c r="T3065">
        <v>-0.2658374</v>
      </c>
      <c r="U3065">
        <v>2.9511720000000001</v>
      </c>
      <c r="V3065">
        <v>-0.120419899999999</v>
      </c>
      <c r="W3065">
        <v>0.1355102</v>
      </c>
      <c r="X3065">
        <v>0.98343069999999999</v>
      </c>
      <c r="Y3065">
        <v>-0.26347939999999997</v>
      </c>
      <c r="Z3065">
        <v>-6.6190470000000001E-2</v>
      </c>
      <c r="AA3065">
        <v>0.96239149999999996</v>
      </c>
      <c r="AB3065">
        <v>29</v>
      </c>
      <c r="AC3065">
        <v>3.6762000000000201</v>
      </c>
      <c r="AD3065">
        <v>-1.11276574111699</v>
      </c>
      <c r="AE3065">
        <v>12.10683</v>
      </c>
      <c r="AF3065">
        <v>-3.3695136783103199</v>
      </c>
      <c r="AG3065">
        <v>-1.11276574111699</v>
      </c>
      <c r="AH3065">
        <v>12.0949617792784</v>
      </c>
      <c r="AI3065">
        <v>95.064744512891707</v>
      </c>
      <c r="AJ3065">
        <v>105.567209760132</v>
      </c>
      <c r="AK3065">
        <v>12.604759833695001</v>
      </c>
      <c r="AL3065">
        <v>82.211876332574207</v>
      </c>
      <c r="AM3065">
        <v>96.981046746740901</v>
      </c>
      <c r="AN3065">
        <v>0.99999995416126797</v>
      </c>
    </row>
    <row r="3066" spans="1:40" x14ac:dyDescent="0.3">
      <c r="A3066" t="str">
        <f>"20200111150913707"</f>
        <v>20200111150913707</v>
      </c>
      <c r="B3066" t="str">
        <f>"1578726553697369"</f>
        <v>1578726553697369</v>
      </c>
      <c r="C3066" t="s">
        <v>40</v>
      </c>
      <c r="D3066">
        <v>5.7389489999999999</v>
      </c>
      <c r="E3066">
        <v>0.44404290000000002</v>
      </c>
      <c r="F3066" t="s">
        <v>43</v>
      </c>
      <c r="G3066">
        <v>-189.7808</v>
      </c>
      <c r="H3066" s="1">
        <v>-1.8044E-6</v>
      </c>
      <c r="I3066">
        <v>-36.251750000000001</v>
      </c>
      <c r="J3066">
        <v>-193.3948</v>
      </c>
      <c r="K3066">
        <v>1.112717</v>
      </c>
      <c r="L3066">
        <v>-48.2149</v>
      </c>
      <c r="M3066">
        <v>0.53374089999999996</v>
      </c>
      <c r="N3066">
        <v>0</v>
      </c>
      <c r="O3066">
        <v>0.84555729999999996</v>
      </c>
      <c r="P3066">
        <v>0.42600739999999998</v>
      </c>
      <c r="Q3066">
        <v>0.1231566</v>
      </c>
      <c r="R3066">
        <v>0.89629809999999999</v>
      </c>
      <c r="S3066">
        <v>0.91125489999999998</v>
      </c>
      <c r="T3066">
        <v>-0.268968599999999</v>
      </c>
      <c r="U3066">
        <v>2.9526370000000002</v>
      </c>
      <c r="V3066">
        <v>-0.1190566</v>
      </c>
      <c r="W3066">
        <v>0.13459179999999901</v>
      </c>
      <c r="X3066">
        <v>0.98372280000000001</v>
      </c>
      <c r="Y3066">
        <v>-0.26141880000000001</v>
      </c>
      <c r="Z3066">
        <v>-6.7201289999999997E-2</v>
      </c>
      <c r="AA3066">
        <v>0.9628833</v>
      </c>
      <c r="AB3066">
        <v>29</v>
      </c>
      <c r="AC3066">
        <v>3.6139999999999999</v>
      </c>
      <c r="AD3066">
        <v>-1.1127188044</v>
      </c>
      <c r="AE3066">
        <v>11.963150000000001</v>
      </c>
      <c r="AF3066">
        <v>-3.3034449746055898</v>
      </c>
      <c r="AG3066">
        <v>-1.1127188044</v>
      </c>
      <c r="AH3066">
        <v>11.9506509397259</v>
      </c>
      <c r="AI3066">
        <v>95.128209097017006</v>
      </c>
      <c r="AJ3066">
        <v>105.45206857708</v>
      </c>
      <c r="AK3066">
        <v>12.4486525263213</v>
      </c>
      <c r="AL3066">
        <v>82.264983567694202</v>
      </c>
      <c r="AM3066">
        <v>96.900749734500096</v>
      </c>
      <c r="AN3066">
        <v>0.99999998693532</v>
      </c>
    </row>
    <row r="3067" spans="1:40" x14ac:dyDescent="0.3">
      <c r="A3067" t="str">
        <f>"20200111150913729"</f>
        <v>20200111150913729</v>
      </c>
      <c r="B3067" t="str">
        <f>"1578726553727622"</f>
        <v>1578726553727622</v>
      </c>
      <c r="C3067" t="s">
        <v>40</v>
      </c>
      <c r="D3067">
        <v>5.8306610000000001</v>
      </c>
      <c r="E3067">
        <v>0.45884740000000002</v>
      </c>
      <c r="F3067" t="s">
        <v>43</v>
      </c>
      <c r="G3067">
        <v>-189.71520000000001</v>
      </c>
      <c r="H3067" s="1">
        <v>-1.836267E-6</v>
      </c>
      <c r="I3067">
        <v>-36.204610000000002</v>
      </c>
      <c r="J3067">
        <v>-193.2466</v>
      </c>
      <c r="K3067">
        <v>1.112679</v>
      </c>
      <c r="L3067">
        <v>-47.973269999999999</v>
      </c>
      <c r="M3067">
        <v>0.5309663</v>
      </c>
      <c r="N3067">
        <v>0</v>
      </c>
      <c r="O3067">
        <v>0.84730260000000002</v>
      </c>
      <c r="P3067">
        <v>0.42375649999999998</v>
      </c>
      <c r="Q3067">
        <v>0.1221325</v>
      </c>
      <c r="R3067">
        <v>0.89750439999999998</v>
      </c>
      <c r="S3067">
        <v>0.90518189999999998</v>
      </c>
      <c r="T3067">
        <v>-0.27372560000000001</v>
      </c>
      <c r="U3067">
        <v>2.9544980000000001</v>
      </c>
      <c r="V3067">
        <v>-0.1183578</v>
      </c>
      <c r="W3067">
        <v>0.1335674</v>
      </c>
      <c r="X3067">
        <v>0.98394669999999895</v>
      </c>
      <c r="Y3067">
        <v>-0.26026349999999998</v>
      </c>
      <c r="Z3067">
        <v>-6.8596660000000004E-2</v>
      </c>
      <c r="AA3067">
        <v>0.9630978</v>
      </c>
      <c r="AB3067">
        <v>29</v>
      </c>
      <c r="AC3067">
        <v>3.5313999999999899</v>
      </c>
      <c r="AD3067">
        <v>-1.112680836267</v>
      </c>
      <c r="AE3067">
        <v>11.768660000000001</v>
      </c>
      <c r="AF3067">
        <v>-3.2303559812369498</v>
      </c>
      <c r="AG3067">
        <v>-1.112680836267</v>
      </c>
      <c r="AH3067">
        <v>11.751210824134899</v>
      </c>
      <c r="AI3067">
        <v>95.216622396764194</v>
      </c>
      <c r="AJ3067">
        <v>105.37068921464</v>
      </c>
      <c r="AK3067">
        <v>12.237819014929601</v>
      </c>
      <c r="AL3067">
        <v>82.324211989927306</v>
      </c>
      <c r="AM3067">
        <v>96.859086829304303</v>
      </c>
      <c r="AN3067">
        <v>0.99999996380224399</v>
      </c>
    </row>
    <row r="3068" spans="1:40" x14ac:dyDescent="0.3">
      <c r="A3068" t="str">
        <f>"20200111150913752"</f>
        <v>20200111150913752</v>
      </c>
      <c r="B3068" t="str">
        <f>"1578726553746724"</f>
        <v>1578726553746724</v>
      </c>
      <c r="C3068" t="s">
        <v>40</v>
      </c>
      <c r="D3068">
        <v>9.1323139999999992</v>
      </c>
      <c r="E3068">
        <v>0.45884740000000002</v>
      </c>
      <c r="F3068" t="s">
        <v>89</v>
      </c>
      <c r="G3068">
        <v>-192.05179999999999</v>
      </c>
      <c r="H3068" s="1">
        <v>-4.6003060000000004E-6</v>
      </c>
      <c r="I3068">
        <v>-44.536050000000003</v>
      </c>
      <c r="J3068">
        <v>-193.09379999999999</v>
      </c>
      <c r="K3068">
        <v>1.1126640000000001</v>
      </c>
      <c r="L3068">
        <v>-47.722410000000004</v>
      </c>
      <c r="M3068">
        <v>0.5280762</v>
      </c>
      <c r="N3068">
        <v>0</v>
      </c>
      <c r="O3068">
        <v>0.84910699999999995</v>
      </c>
      <c r="P3068">
        <v>0.42104580000000003</v>
      </c>
      <c r="Q3068">
        <v>0.12253799999999999</v>
      </c>
      <c r="R3068">
        <v>0.89872399999999997</v>
      </c>
      <c r="S3068">
        <v>1.0373540000000001</v>
      </c>
      <c r="T3068">
        <v>-0.96605039999999998</v>
      </c>
      <c r="U3068">
        <v>2.9842529999999998</v>
      </c>
      <c r="V3068">
        <v>-0.1179413</v>
      </c>
      <c r="W3068">
        <v>0.13396620000000001</v>
      </c>
      <c r="X3068">
        <v>0.98394250000000005</v>
      </c>
      <c r="Y3068">
        <v>-0.23024439999999999</v>
      </c>
      <c r="Z3068">
        <v>-0.23149230000000001</v>
      </c>
      <c r="AA3068">
        <v>0.94519779999999998</v>
      </c>
      <c r="AB3068">
        <v>29</v>
      </c>
      <c r="AC3068">
        <v>1.042</v>
      </c>
      <c r="AD3068">
        <v>-1.11266860030599</v>
      </c>
      <c r="AE3068">
        <v>3.1863599999999899</v>
      </c>
      <c r="AF3068">
        <v>-0.71875545844033695</v>
      </c>
      <c r="AG3068">
        <v>-1.11266860030599</v>
      </c>
      <c r="AH3068">
        <v>2.9329733427862199</v>
      </c>
      <c r="AI3068">
        <v>110.226963629614</v>
      </c>
      <c r="AJ3068">
        <v>103.769562353442</v>
      </c>
      <c r="AK3068">
        <v>3.2182252022876301</v>
      </c>
      <c r="AL3068">
        <v>82.301155250732094</v>
      </c>
      <c r="AM3068">
        <v>96.835207419167503</v>
      </c>
      <c r="AN3068">
        <v>0.99999996814718894</v>
      </c>
    </row>
    <row r="3069" spans="1:40" x14ac:dyDescent="0.3">
      <c r="A3069" t="str">
        <f>"20200111150913774"</f>
        <v>20200111150913774</v>
      </c>
      <c r="B3069" t="str">
        <f>"1578726553767220"</f>
        <v>1578726553767220</v>
      </c>
      <c r="C3069" t="s">
        <v>40</v>
      </c>
      <c r="D3069">
        <v>7.6841860000000004</v>
      </c>
      <c r="E3069">
        <v>0.45323409999999897</v>
      </c>
      <c r="F3069" t="s">
        <v>89</v>
      </c>
      <c r="G3069">
        <v>-191.90729999999999</v>
      </c>
      <c r="H3069" s="1">
        <v>-4.6952880000000003E-6</v>
      </c>
      <c r="I3069">
        <v>-44.276949999999999</v>
      </c>
      <c r="J3069">
        <v>-192.94980000000001</v>
      </c>
      <c r="K3069">
        <v>1.1126640000000001</v>
      </c>
      <c r="L3069">
        <v>-47.484310000000001</v>
      </c>
      <c r="M3069">
        <v>0.52531609999999995</v>
      </c>
      <c r="N3069">
        <v>0</v>
      </c>
      <c r="O3069">
        <v>0.85081759999999995</v>
      </c>
      <c r="P3069">
        <v>0.41743760000000002</v>
      </c>
      <c r="Q3069">
        <v>0.1224991</v>
      </c>
      <c r="R3069">
        <v>0.90041099999999996</v>
      </c>
      <c r="S3069">
        <v>1.0287930000000001</v>
      </c>
      <c r="T3069">
        <v>-0.96482369999999995</v>
      </c>
      <c r="U3069">
        <v>2.9876399999999999</v>
      </c>
      <c r="V3069">
        <v>-0.1186942</v>
      </c>
      <c r="W3069">
        <v>0.13391129999999901</v>
      </c>
      <c r="X3069">
        <v>0.9838595</v>
      </c>
      <c r="Y3069">
        <v>-0.22983919999999999</v>
      </c>
      <c r="Z3069">
        <v>-0.23180829999999999</v>
      </c>
      <c r="AA3069">
        <v>0.94521889999999997</v>
      </c>
      <c r="AB3069">
        <v>29</v>
      </c>
      <c r="AC3069">
        <v>1.04250000000001</v>
      </c>
      <c r="AD3069">
        <v>-1.1126686952879901</v>
      </c>
      <c r="AE3069">
        <v>3.20736</v>
      </c>
      <c r="AF3069">
        <v>-0.71963101591034895</v>
      </c>
      <c r="AG3069">
        <v>-1.1126686952879901</v>
      </c>
      <c r="AH3069">
        <v>2.9551124334974701</v>
      </c>
      <c r="AI3069">
        <v>110.094145499771</v>
      </c>
      <c r="AJ3069">
        <v>103.68631463736899</v>
      </c>
      <c r="AK3069">
        <v>3.2386092569412299</v>
      </c>
      <c r="AL3069">
        <v>82.304329888058504</v>
      </c>
      <c r="AM3069">
        <v>96.878999209870102</v>
      </c>
      <c r="AN3069">
        <v>1.0000000325607801</v>
      </c>
    </row>
    <row r="3070" spans="1:40" x14ac:dyDescent="0.3">
      <c r="A3070" t="str">
        <f>"20200111150913788"</f>
        <v>20200111150913788</v>
      </c>
      <c r="B3070" t="str">
        <f>"1578726553776981"</f>
        <v>1578726553776981</v>
      </c>
      <c r="C3070" t="s">
        <v>40</v>
      </c>
      <c r="D3070">
        <v>6.92306799999999</v>
      </c>
      <c r="E3070">
        <v>0.4480037</v>
      </c>
      <c r="F3070" t="s">
        <v>89</v>
      </c>
      <c r="G3070">
        <v>-191.69220000000001</v>
      </c>
      <c r="H3070" s="1">
        <v>-4.9694170000000001E-6</v>
      </c>
      <c r="I3070">
        <v>-43.606250000000003</v>
      </c>
      <c r="J3070">
        <v>-192.8553</v>
      </c>
      <c r="K3070">
        <v>1.112668</v>
      </c>
      <c r="L3070">
        <v>-47.326810000000002</v>
      </c>
      <c r="M3070">
        <v>0.52347479999999902</v>
      </c>
      <c r="N3070">
        <v>0</v>
      </c>
      <c r="O3070">
        <v>0.85195180000000004</v>
      </c>
      <c r="P3070">
        <v>0.41513359999999999</v>
      </c>
      <c r="Q3070">
        <v>0.1219778</v>
      </c>
      <c r="R3070">
        <v>0.90154619999999996</v>
      </c>
      <c r="S3070">
        <v>0.97225950000000005</v>
      </c>
      <c r="T3070">
        <v>-0.86019000000000001</v>
      </c>
      <c r="U3070">
        <v>2.9980769999999999</v>
      </c>
      <c r="V3070">
        <v>-0.1191176</v>
      </c>
      <c r="W3070">
        <v>0.13338069999999999</v>
      </c>
      <c r="X3070">
        <v>0.98388039999999999</v>
      </c>
      <c r="Y3070">
        <v>-0.242815</v>
      </c>
      <c r="Z3070">
        <v>-0.2081913</v>
      </c>
      <c r="AA3070">
        <v>0.94746889999999995</v>
      </c>
      <c r="AB3070">
        <v>29</v>
      </c>
      <c r="AC3070">
        <v>1.16309999999998</v>
      </c>
      <c r="AD3070">
        <v>-1.1126729694169999</v>
      </c>
      <c r="AE3070">
        <v>3.7205599999999901</v>
      </c>
      <c r="AF3070">
        <v>-0.88470579115408199</v>
      </c>
      <c r="AG3070">
        <v>-1.1126729694169999</v>
      </c>
      <c r="AH3070">
        <v>3.4941902292885101</v>
      </c>
      <c r="AI3070">
        <v>107.155149881401</v>
      </c>
      <c r="AJ3070">
        <v>104.208317408086</v>
      </c>
      <c r="AK3070">
        <v>3.7722819131433099</v>
      </c>
      <c r="AL3070">
        <v>82.335006183286296</v>
      </c>
      <c r="AM3070">
        <v>96.903156027906903</v>
      </c>
      <c r="AN3070">
        <v>1.0000000276332</v>
      </c>
    </row>
    <row r="3071" spans="1:40" x14ac:dyDescent="0.3">
      <c r="A3071" t="str">
        <f>"20200111150913818"</f>
        <v>20200111150913818</v>
      </c>
      <c r="B3071" t="str">
        <f>"1578726553807238"</f>
        <v>1578726553807238</v>
      </c>
      <c r="C3071" t="s">
        <v>40</v>
      </c>
      <c r="D3071">
        <v>6.0576119999999998</v>
      </c>
      <c r="E3071">
        <v>0.42755330000000002</v>
      </c>
      <c r="F3071" t="s">
        <v>89</v>
      </c>
      <c r="G3071">
        <v>-191.55779999999999</v>
      </c>
      <c r="H3071" s="1">
        <v>-5.1816779999999997E-6</v>
      </c>
      <c r="I3071">
        <v>-43.099229999999999</v>
      </c>
      <c r="J3071">
        <v>-192.65649999999999</v>
      </c>
      <c r="K3071">
        <v>1.112703</v>
      </c>
      <c r="L3071">
        <v>-46.993560000000002</v>
      </c>
      <c r="M3071">
        <v>0.51952240000000005</v>
      </c>
      <c r="N3071">
        <v>0</v>
      </c>
      <c r="O3071">
        <v>0.85436789999999996</v>
      </c>
      <c r="P3071">
        <v>0.41019349999999999</v>
      </c>
      <c r="Q3071">
        <v>0.1206839</v>
      </c>
      <c r="R3071">
        <v>0.90397830000000001</v>
      </c>
      <c r="S3071">
        <v>0.92359919999999995</v>
      </c>
      <c r="T3071">
        <v>-0.79207850000000002</v>
      </c>
      <c r="U3071">
        <v>3.0094910000000001</v>
      </c>
      <c r="V3071">
        <v>-0.1200364</v>
      </c>
      <c r="W3071">
        <v>0.13206119999999999</v>
      </c>
      <c r="X3071">
        <v>0.98394669999999895</v>
      </c>
      <c r="Y3071">
        <v>-0.25220379999999998</v>
      </c>
      <c r="Z3071">
        <v>-0.1928956</v>
      </c>
      <c r="AA3071">
        <v>0.94825340000000002</v>
      </c>
      <c r="AB3071">
        <v>29</v>
      </c>
      <c r="AC3071">
        <v>1.0987</v>
      </c>
      <c r="AD3071">
        <v>-1.112708181678</v>
      </c>
      <c r="AE3071">
        <v>3.8943299999999899</v>
      </c>
      <c r="AF3071">
        <v>-1.0083303056085799</v>
      </c>
      <c r="AG3071">
        <v>-1.112708181678</v>
      </c>
      <c r="AH3071">
        <v>3.6242229095895402</v>
      </c>
      <c r="AI3071">
        <v>106.47744459347</v>
      </c>
      <c r="AJ3071">
        <v>105.547616215087</v>
      </c>
      <c r="AK3071">
        <v>3.9229888097183601</v>
      </c>
      <c r="AL3071">
        <v>82.411282566213899</v>
      </c>
      <c r="AM3071">
        <v>96.9554189393928</v>
      </c>
      <c r="AN3071">
        <v>1.00000000315564</v>
      </c>
    </row>
    <row r="3072" spans="1:40" x14ac:dyDescent="0.3">
      <c r="A3072" t="str">
        <f>"20200111150913843"</f>
        <v>20200111150913843</v>
      </c>
      <c r="B3072" t="str">
        <f>"1578726553837492"</f>
        <v>1578726553837492</v>
      </c>
      <c r="C3072" t="s">
        <v>40</v>
      </c>
      <c r="D3072">
        <v>7.3519819999999996</v>
      </c>
      <c r="E3072">
        <v>0.42608230000000002</v>
      </c>
      <c r="F3072" t="s">
        <v>43</v>
      </c>
      <c r="G3072">
        <v>-189.40360000000001</v>
      </c>
      <c r="H3072" s="1">
        <v>-3.0222090000000001E-6</v>
      </c>
      <c r="I3072">
        <v>-33.56897</v>
      </c>
      <c r="J3072">
        <v>-192.505</v>
      </c>
      <c r="K3072">
        <v>1.1127689999999999</v>
      </c>
      <c r="L3072">
        <v>-46.736789999999999</v>
      </c>
      <c r="M3072">
        <v>0.51638930000000005</v>
      </c>
      <c r="N3072">
        <v>0</v>
      </c>
      <c r="O3072">
        <v>0.85626530000000001</v>
      </c>
      <c r="P3072">
        <v>0.40679179999999998</v>
      </c>
      <c r="Q3072">
        <v>0.1224063</v>
      </c>
      <c r="R3072">
        <v>0.9052829</v>
      </c>
      <c r="S3072">
        <v>0.73178100000000001</v>
      </c>
      <c r="T3072">
        <v>-0.25031629999999999</v>
      </c>
      <c r="U3072">
        <v>3.0200200000000001</v>
      </c>
      <c r="V3072">
        <v>-0.1200402</v>
      </c>
      <c r="W3072">
        <v>0.1337602</v>
      </c>
      <c r="X3072">
        <v>0.9837167</v>
      </c>
      <c r="Y3072">
        <v>-0.30073460000000002</v>
      </c>
      <c r="Z3072">
        <v>-6.2397130000000002E-2</v>
      </c>
      <c r="AA3072">
        <v>0.95166439999999997</v>
      </c>
      <c r="AB3072">
        <v>29</v>
      </c>
      <c r="AC3072">
        <v>3.10139999999998</v>
      </c>
      <c r="AD3072">
        <v>-1.1127720222090001</v>
      </c>
      <c r="AE3072">
        <v>13.167820000000001</v>
      </c>
      <c r="AF3072">
        <v>-4.11656178976276</v>
      </c>
      <c r="AG3072">
        <v>-1.1127720222090001</v>
      </c>
      <c r="AH3072">
        <v>12.791109063835499</v>
      </c>
      <c r="AI3072">
        <v>94.734018455148998</v>
      </c>
      <c r="AJ3072">
        <v>107.839729455851</v>
      </c>
      <c r="AK3072">
        <v>13.4832048721838</v>
      </c>
      <c r="AL3072">
        <v>82.313065569411506</v>
      </c>
      <c r="AM3072">
        <v>96.957247311391498</v>
      </c>
      <c r="AN3072">
        <v>0.99999999328948497</v>
      </c>
    </row>
    <row r="3073" spans="1:40" x14ac:dyDescent="0.3">
      <c r="A3073" t="str">
        <f>"20200111150913863"</f>
        <v>20200111150913863</v>
      </c>
      <c r="B3073" t="str">
        <f>"1578726553856822"</f>
        <v>1578726553856822</v>
      </c>
      <c r="C3073" t="s">
        <v>40</v>
      </c>
      <c r="D3073">
        <v>5.5915019999999904</v>
      </c>
      <c r="E3073">
        <v>0.42411270000000001</v>
      </c>
      <c r="F3073" t="s">
        <v>43</v>
      </c>
      <c r="G3073">
        <v>-186.79679999999999</v>
      </c>
      <c r="H3073" s="1">
        <v>-4.030699E-6</v>
      </c>
      <c r="I3073">
        <v>-22.296019999999999</v>
      </c>
      <c r="J3073">
        <v>-192.3683</v>
      </c>
      <c r="K3073">
        <v>1.112854</v>
      </c>
      <c r="L3073">
        <v>-46.503019999999999</v>
      </c>
      <c r="M3073">
        <v>0.51343570000000005</v>
      </c>
      <c r="N3073">
        <v>0</v>
      </c>
      <c r="O3073">
        <v>0.85803969999999896</v>
      </c>
      <c r="P3073">
        <v>0.4037732</v>
      </c>
      <c r="Q3073">
        <v>0.123044</v>
      </c>
      <c r="R3073">
        <v>0.90654699999999999</v>
      </c>
      <c r="S3073">
        <v>0.70437620000000001</v>
      </c>
      <c r="T3073">
        <v>-0.1373135</v>
      </c>
      <c r="U3073">
        <v>3.01593</v>
      </c>
      <c r="V3073">
        <v>-0.1199129</v>
      </c>
      <c r="W3073">
        <v>0.13437160000000001</v>
      </c>
      <c r="X3073">
        <v>0.98364890000000005</v>
      </c>
      <c r="Y3073">
        <v>-0.305002299999999</v>
      </c>
      <c r="Z3073">
        <v>-3.4458349999999999E-2</v>
      </c>
      <c r="AA3073">
        <v>0.95172800000000002</v>
      </c>
      <c r="AB3073">
        <v>29</v>
      </c>
      <c r="AC3073">
        <v>5.5715000000000101</v>
      </c>
      <c r="AD3073">
        <v>-1.1128580306989999</v>
      </c>
      <c r="AE3073">
        <v>24.207000000000001</v>
      </c>
      <c r="AF3073">
        <v>-7.6334283692178602</v>
      </c>
      <c r="AG3073">
        <v>-1.1128580306989999</v>
      </c>
      <c r="AH3073">
        <v>23.585626215279198</v>
      </c>
      <c r="AI3073">
        <v>92.570348176431196</v>
      </c>
      <c r="AJ3073">
        <v>107.934043110454</v>
      </c>
      <c r="AK3073">
        <v>24.815105190817398</v>
      </c>
      <c r="AL3073">
        <v>82.277715815314906</v>
      </c>
      <c r="AM3073">
        <v>96.950415852530497</v>
      </c>
      <c r="AN3073">
        <v>0.99999999447208998</v>
      </c>
    </row>
    <row r="3074" spans="1:40" x14ac:dyDescent="0.3">
      <c r="A3074" t="str">
        <f>"20200111150913886"</f>
        <v>20200111150913886</v>
      </c>
      <c r="B3074" t="str">
        <f>"1578726553877318"</f>
        <v>1578726553877318</v>
      </c>
      <c r="C3074" t="s">
        <v>40</v>
      </c>
      <c r="D3074">
        <v>4.7306489999999997</v>
      </c>
      <c r="E3074">
        <v>0.4273981</v>
      </c>
      <c r="F3074" t="s">
        <v>43</v>
      </c>
      <c r="G3074">
        <v>-186.84610000000001</v>
      </c>
      <c r="H3074" s="1">
        <v>-4.183154E-6</v>
      </c>
      <c r="I3074">
        <v>-21.920259999999999</v>
      </c>
      <c r="J3074">
        <v>-192.22309999999999</v>
      </c>
      <c r="K3074">
        <v>1.1129579999999999</v>
      </c>
      <c r="L3074">
        <v>-46.252470000000002</v>
      </c>
      <c r="M3074">
        <v>0.51015869999999996</v>
      </c>
      <c r="N3074">
        <v>0</v>
      </c>
      <c r="O3074">
        <v>0.85999210000000004</v>
      </c>
      <c r="P3074">
        <v>0.40080480000000002</v>
      </c>
      <c r="Q3074">
        <v>0.1238667</v>
      </c>
      <c r="R3074">
        <v>0.90775139999999999</v>
      </c>
      <c r="S3074">
        <v>0.67956539999999999</v>
      </c>
      <c r="T3074">
        <v>-0.1369493</v>
      </c>
      <c r="U3074">
        <v>3.0251769999999998</v>
      </c>
      <c r="V3074">
        <v>-0.11935949999999999</v>
      </c>
      <c r="W3074">
        <v>0.13516819999999999</v>
      </c>
      <c r="X3074">
        <v>0.98360709999999996</v>
      </c>
      <c r="Y3074">
        <v>-0.30942639999999999</v>
      </c>
      <c r="Z3074">
        <v>-3.4383759999999999E-2</v>
      </c>
      <c r="AA3074">
        <v>0.95030159999999997</v>
      </c>
      <c r="AB3074">
        <v>29</v>
      </c>
      <c r="AC3074">
        <v>5.3769999999999802</v>
      </c>
      <c r="AD3074">
        <v>-1.112962183154</v>
      </c>
      <c r="AE3074">
        <v>24.33221</v>
      </c>
      <c r="AF3074">
        <v>-7.7741942563563198</v>
      </c>
      <c r="AG3074">
        <v>-1.112962183154</v>
      </c>
      <c r="AH3074">
        <v>23.623304161063299</v>
      </c>
      <c r="AI3074">
        <v>92.562382785152096</v>
      </c>
      <c r="AJ3074">
        <v>108.21586079066699</v>
      </c>
      <c r="AK3074">
        <v>24.89452310535</v>
      </c>
      <c r="AL3074">
        <v>82.231654044671401</v>
      </c>
      <c r="AM3074">
        <v>96.918942350573104</v>
      </c>
      <c r="AN3074">
        <v>1.0000000298509399</v>
      </c>
    </row>
    <row r="3075" spans="1:40" x14ac:dyDescent="0.3">
      <c r="A3075" t="str">
        <f>"20200111150913911"</f>
        <v>20200111150913911</v>
      </c>
      <c r="B3075" t="str">
        <f>"1578726553907574"</f>
        <v>1578726553907574</v>
      </c>
      <c r="C3075" t="s">
        <v>40</v>
      </c>
      <c r="D3075">
        <v>5.6453100000000003</v>
      </c>
      <c r="E3075">
        <v>0.38852009999999998</v>
      </c>
      <c r="F3075" t="s">
        <v>43</v>
      </c>
      <c r="G3075">
        <v>-187.0557</v>
      </c>
      <c r="H3075" s="1">
        <v>-3.3509399999999998E-6</v>
      </c>
      <c r="I3075">
        <v>-23.773510000000002</v>
      </c>
      <c r="J3075">
        <v>-192.0659</v>
      </c>
      <c r="K3075">
        <v>1.1130979999999999</v>
      </c>
      <c r="L3075">
        <v>-45.978149999999999</v>
      </c>
      <c r="M3075">
        <v>0.50639820000000002</v>
      </c>
      <c r="N3075">
        <v>0</v>
      </c>
      <c r="O3075">
        <v>0.86221170000000003</v>
      </c>
      <c r="P3075">
        <v>0.39768959999999998</v>
      </c>
      <c r="Q3075">
        <v>0.124386999999999</v>
      </c>
      <c r="R3075">
        <v>0.90904940000000001</v>
      </c>
      <c r="S3075">
        <v>0.69396969999999902</v>
      </c>
      <c r="T3075">
        <v>-0.1494675</v>
      </c>
      <c r="U3075">
        <v>3.0188600000000001</v>
      </c>
      <c r="V3075">
        <v>-0.1184477</v>
      </c>
      <c r="W3075">
        <v>0.13565769999999999</v>
      </c>
      <c r="X3075">
        <v>0.98364989999999997</v>
      </c>
      <c r="Y3075">
        <v>-0.30055379999999998</v>
      </c>
      <c r="Z3075">
        <v>-3.780849E-2</v>
      </c>
      <c r="AA3075">
        <v>0.95301519999999995</v>
      </c>
      <c r="AB3075">
        <v>29</v>
      </c>
      <c r="AC3075">
        <v>5.0101999999999904</v>
      </c>
      <c r="AD3075">
        <v>-1.1131013509399901</v>
      </c>
      <c r="AE3075">
        <v>22.204640000000001</v>
      </c>
      <c r="AF3075">
        <v>-6.9085427734714102</v>
      </c>
      <c r="AG3075">
        <v>-1.1131013509399901</v>
      </c>
      <c r="AH3075">
        <v>21.632176239848501</v>
      </c>
      <c r="AI3075">
        <v>92.806209929317802</v>
      </c>
      <c r="AJ3075">
        <v>107.71162094114401</v>
      </c>
      <c r="AK3075">
        <v>22.7358309006338</v>
      </c>
      <c r="AL3075">
        <v>82.203346778368996</v>
      </c>
      <c r="AM3075">
        <v>96.8662984380273</v>
      </c>
      <c r="AN3075">
        <v>0.99999999748729496</v>
      </c>
    </row>
    <row r="3076" spans="1:40" x14ac:dyDescent="0.3">
      <c r="A3076" t="str">
        <f>"20200111150913930"</f>
        <v>20200111150913930</v>
      </c>
      <c r="B3076" t="str">
        <f>"1578726553927096"</f>
        <v>1578726553927096</v>
      </c>
      <c r="C3076" t="s">
        <v>40</v>
      </c>
      <c r="D3076">
        <v>5.623532</v>
      </c>
      <c r="E3076">
        <v>0.39341609999999999</v>
      </c>
      <c r="F3076" t="s">
        <v>45</v>
      </c>
      <c r="G3076">
        <v>-182.40299999999999</v>
      </c>
      <c r="H3076">
        <v>8.7789420000000007</v>
      </c>
      <c r="I3076">
        <v>32.377569999999999</v>
      </c>
      <c r="J3076">
        <v>-191.94479999999999</v>
      </c>
      <c r="K3076">
        <v>1.113219</v>
      </c>
      <c r="L3076">
        <v>-45.764710000000001</v>
      </c>
      <c r="M3076">
        <v>0.50331369999999997</v>
      </c>
      <c r="N3076">
        <v>0</v>
      </c>
      <c r="O3076">
        <v>0.86401589999999995</v>
      </c>
      <c r="P3076">
        <v>0.3946074</v>
      </c>
      <c r="Q3076">
        <v>0.1245351</v>
      </c>
      <c r="R3076">
        <v>0.91037140000000005</v>
      </c>
      <c r="S3076">
        <v>0.38130190000000003</v>
      </c>
      <c r="T3076">
        <v>0.30249740000000003</v>
      </c>
      <c r="U3076">
        <v>3.0919490000000001</v>
      </c>
      <c r="V3076">
        <v>-0.1182976</v>
      </c>
      <c r="W3076">
        <v>0.13577429999999999</v>
      </c>
      <c r="X3076">
        <v>0.98365190000000002</v>
      </c>
      <c r="Y3076">
        <v>-0.39408749999999998</v>
      </c>
      <c r="Z3076">
        <v>7.3550630000000006E-2</v>
      </c>
      <c r="AA3076">
        <v>0.91612519999999997</v>
      </c>
      <c r="AB3076">
        <v>29</v>
      </c>
      <c r="AC3076">
        <v>9.5417999999999896</v>
      </c>
      <c r="AD3076">
        <v>7.6657229999999998</v>
      </c>
      <c r="AE3076">
        <v>78.14228</v>
      </c>
      <c r="AF3076">
        <v>-30.796160000951801</v>
      </c>
      <c r="AG3076">
        <v>7.6657229999999998</v>
      </c>
      <c r="AH3076">
        <v>71.644835832812007</v>
      </c>
      <c r="AI3076">
        <v>84.385883023363903</v>
      </c>
      <c r="AJ3076">
        <v>113.260199612424</v>
      </c>
      <c r="AK3076">
        <v>78.359104649220797</v>
      </c>
      <c r="AL3076">
        <v>82.196603890905195</v>
      </c>
      <c r="AM3076">
        <v>96.857666388683</v>
      </c>
      <c r="AN3076">
        <v>1.0000000215399201</v>
      </c>
    </row>
    <row r="3077" spans="1:40" x14ac:dyDescent="0.3">
      <c r="A3077" t="str">
        <f>"20200111150913978"</f>
        <v>20200111150913978</v>
      </c>
      <c r="B3077" t="str">
        <f>"1578726553967657"</f>
        <v>1578726553967657</v>
      </c>
      <c r="C3077" t="s">
        <v>40</v>
      </c>
      <c r="D3077">
        <v>6.4608720000000002</v>
      </c>
      <c r="E3077">
        <v>0.39405859999999998</v>
      </c>
      <c r="F3077" t="s">
        <v>73</v>
      </c>
      <c r="G3077">
        <v>-163.69649999999999</v>
      </c>
      <c r="H3077">
        <v>23.577870000000001</v>
      </c>
      <c r="I3077">
        <v>168.22229999999999</v>
      </c>
      <c r="J3077">
        <v>-191.64519999999999</v>
      </c>
      <c r="K3077">
        <v>1.1136280000000001</v>
      </c>
      <c r="L3077">
        <v>-45.227020000000003</v>
      </c>
      <c r="M3077">
        <v>0.49479800000000002</v>
      </c>
      <c r="N3077">
        <v>0</v>
      </c>
      <c r="O3077">
        <v>0.86892029999999998</v>
      </c>
      <c r="P3077">
        <v>0.3868972</v>
      </c>
      <c r="Q3077">
        <v>0.12293809999999999</v>
      </c>
      <c r="R3077">
        <v>0.91389100000000001</v>
      </c>
      <c r="S3077">
        <v>0.40596009999999999</v>
      </c>
      <c r="T3077">
        <v>0.32284190000000001</v>
      </c>
      <c r="U3077">
        <v>3.0752259999999998</v>
      </c>
      <c r="V3077">
        <v>-0.117174</v>
      </c>
      <c r="W3077">
        <v>0.134092299999999</v>
      </c>
      <c r="X3077">
        <v>0.98401700000000003</v>
      </c>
      <c r="Y3077">
        <v>-0.37722529999999999</v>
      </c>
      <c r="Z3077">
        <v>7.9963450000000005E-2</v>
      </c>
      <c r="AA3077">
        <v>0.92266300000000001</v>
      </c>
      <c r="AB3077">
        <v>29</v>
      </c>
      <c r="AC3077">
        <v>27.948699999999999</v>
      </c>
      <c r="AD3077">
        <v>22.464241999999999</v>
      </c>
      <c r="AE3077">
        <v>213.44932</v>
      </c>
      <c r="AF3077">
        <v>-80.459137605127097</v>
      </c>
      <c r="AG3077">
        <v>22.464241999999999</v>
      </c>
      <c r="AH3077">
        <v>197.16752966160999</v>
      </c>
      <c r="AI3077">
        <v>83.978166944470502</v>
      </c>
      <c r="AJ3077">
        <v>112.199142858548</v>
      </c>
      <c r="AK3077">
        <v>214.133952809118</v>
      </c>
      <c r="AL3077">
        <v>82.293864514108193</v>
      </c>
      <c r="AM3077">
        <v>96.790646372930794</v>
      </c>
      <c r="AN3077">
        <v>0.999999973742144</v>
      </c>
    </row>
    <row r="3078" spans="1:40" x14ac:dyDescent="0.3">
      <c r="A3078" t="str">
        <f>"20200111150913997"</f>
        <v>20200111150913997</v>
      </c>
      <c r="B3078" t="str">
        <f>"1578726553987180"</f>
        <v>1578726553987180</v>
      </c>
      <c r="C3078" t="s">
        <v>40</v>
      </c>
      <c r="D3078">
        <v>6.5010110000000001</v>
      </c>
      <c r="E3078">
        <v>0.39643879999999998</v>
      </c>
      <c r="F3078" t="s">
        <v>73</v>
      </c>
      <c r="G3078">
        <v>-164.88990000000001</v>
      </c>
      <c r="H3078">
        <v>26.32479</v>
      </c>
      <c r="I3078">
        <v>169.4126</v>
      </c>
      <c r="J3078">
        <v>-191.52539999999999</v>
      </c>
      <c r="K3078">
        <v>1.1138319999999999</v>
      </c>
      <c r="L3078">
        <v>-45.007510000000003</v>
      </c>
      <c r="M3078">
        <v>0.49096640000000003</v>
      </c>
      <c r="N3078">
        <v>0</v>
      </c>
      <c r="O3078">
        <v>0.8710909</v>
      </c>
      <c r="P3078">
        <v>0.38332080000000002</v>
      </c>
      <c r="Q3078">
        <v>0.1231903</v>
      </c>
      <c r="R3078">
        <v>0.91536300000000004</v>
      </c>
      <c r="S3078">
        <v>0.38293460000000001</v>
      </c>
      <c r="T3078">
        <v>0.36083419999999999</v>
      </c>
      <c r="U3078">
        <v>3.0720209999999999</v>
      </c>
      <c r="V3078">
        <v>-0.11673799999999999</v>
      </c>
      <c r="W3078">
        <v>0.13430539999999999</v>
      </c>
      <c r="X3078">
        <v>0.98403980000000002</v>
      </c>
      <c r="Y3078">
        <v>-0.3799112</v>
      </c>
      <c r="Z3078">
        <v>8.969067E-2</v>
      </c>
      <c r="AA3078">
        <v>0.9206645</v>
      </c>
      <c r="AB3078">
        <v>29</v>
      </c>
      <c r="AC3078">
        <v>26.635499999999901</v>
      </c>
      <c r="AD3078">
        <v>25.210958000000002</v>
      </c>
      <c r="AE3078">
        <v>214.42010999999999</v>
      </c>
      <c r="AF3078">
        <v>-80.974969561183599</v>
      </c>
      <c r="AG3078">
        <v>25.210958000000002</v>
      </c>
      <c r="AH3078">
        <v>197.18721851677799</v>
      </c>
      <c r="AI3078">
        <v>83.255010188536403</v>
      </c>
      <c r="AJ3078">
        <v>112.32551416525401</v>
      </c>
      <c r="AK3078">
        <v>214.65166490175599</v>
      </c>
      <c r="AL3078">
        <v>82.2815436478148</v>
      </c>
      <c r="AM3078">
        <v>96.765457986840204</v>
      </c>
      <c r="AN3078">
        <v>1.0000000145486001</v>
      </c>
    </row>
    <row r="3079" spans="1:40" x14ac:dyDescent="0.3">
      <c r="A3079" t="str">
        <f>"20200111150914064"</f>
        <v>20200111150914064</v>
      </c>
      <c r="B3079" t="str">
        <f>"1578726554057050"</f>
        <v>1578726554057050</v>
      </c>
      <c r="C3079" t="s">
        <v>40</v>
      </c>
      <c r="D3079">
        <v>5.5266080000000004</v>
      </c>
      <c r="E3079">
        <v>0.37985370000000002</v>
      </c>
      <c r="F3079" t="s">
        <v>73</v>
      </c>
      <c r="G3079">
        <v>-164.44710000000001</v>
      </c>
      <c r="H3079">
        <v>27.586010000000002</v>
      </c>
      <c r="I3079">
        <v>168.96950000000001</v>
      </c>
      <c r="J3079">
        <v>-191.1275</v>
      </c>
      <c r="K3079">
        <v>1.1145039999999999</v>
      </c>
      <c r="L3079">
        <v>-44.256230000000002</v>
      </c>
      <c r="M3079">
        <v>0.47624689999999997</v>
      </c>
      <c r="N3079">
        <v>0</v>
      </c>
      <c r="O3079">
        <v>0.87922409999999995</v>
      </c>
      <c r="P3079">
        <v>0.3667955</v>
      </c>
      <c r="Q3079">
        <v>0.12301040000000001</v>
      </c>
      <c r="R3079">
        <v>0.92213310000000004</v>
      </c>
      <c r="S3079">
        <v>0.38774110000000001</v>
      </c>
      <c r="T3079">
        <v>0.37906289999999998</v>
      </c>
      <c r="U3079">
        <v>3.0639949999999998</v>
      </c>
      <c r="V3079">
        <v>-0.1181242</v>
      </c>
      <c r="W3079">
        <v>0.13397000000000001</v>
      </c>
      <c r="X3079">
        <v>0.98392009999999996</v>
      </c>
      <c r="Y3079">
        <v>-0.36265449999999999</v>
      </c>
      <c r="Z3079">
        <v>9.6284770000000006E-2</v>
      </c>
      <c r="AA3079">
        <v>0.92693630000000005</v>
      </c>
      <c r="AB3079">
        <v>29</v>
      </c>
      <c r="AC3079">
        <v>26.680399999999899</v>
      </c>
      <c r="AD3079">
        <v>26.471506000000002</v>
      </c>
      <c r="AE3079">
        <v>213.225729999999</v>
      </c>
      <c r="AF3079">
        <v>-76.928652227779807</v>
      </c>
      <c r="AG3079">
        <v>26.471506000000002</v>
      </c>
      <c r="AH3079">
        <v>197.202497005689</v>
      </c>
      <c r="AI3079">
        <v>82.871792850158499</v>
      </c>
      <c r="AJ3079">
        <v>111.31074605545599</v>
      </c>
      <c r="AK3079">
        <v>213.32506413633001</v>
      </c>
      <c r="AL3079">
        <v>82.3009359893843</v>
      </c>
      <c r="AM3079">
        <v>96.845861120086695</v>
      </c>
      <c r="AN3079">
        <v>1.00000002535482</v>
      </c>
    </row>
    <row r="3080" spans="1:40" x14ac:dyDescent="0.3">
      <c r="A3080" t="str">
        <f>"20200111150914087"</f>
        <v>20200111150914087</v>
      </c>
      <c r="B3080" t="str">
        <f>"1578726554077555"</f>
        <v>1578726554077555</v>
      </c>
      <c r="C3080" t="s">
        <v>40</v>
      </c>
      <c r="D3080">
        <v>5.7010329999999998</v>
      </c>
      <c r="E3080">
        <v>0.38586890000000001</v>
      </c>
      <c r="F3080" t="s">
        <v>47</v>
      </c>
      <c r="G3080">
        <v>-168.15790000000001</v>
      </c>
      <c r="H3080">
        <v>81.928510000000003</v>
      </c>
      <c r="I3080">
        <v>314.49709999999999</v>
      </c>
      <c r="J3080">
        <v>-190.99959999999999</v>
      </c>
      <c r="K3080">
        <v>1.114682</v>
      </c>
      <c r="L3080">
        <v>-44.006770000000003</v>
      </c>
      <c r="M3080">
        <v>0.47088669999999999</v>
      </c>
      <c r="N3080">
        <v>0</v>
      </c>
      <c r="O3080">
        <v>0.88210619999999995</v>
      </c>
      <c r="P3080">
        <v>0.36070390000000002</v>
      </c>
      <c r="Q3080">
        <v>0.12199019999999999</v>
      </c>
      <c r="R3080">
        <v>0.92466809999999999</v>
      </c>
      <c r="S3080">
        <v>0.19734189999999999</v>
      </c>
      <c r="T3080">
        <v>0.69431039999999999</v>
      </c>
      <c r="U3080">
        <v>3.082214</v>
      </c>
      <c r="V3080">
        <v>-0.1187423</v>
      </c>
      <c r="W3080">
        <v>0.13290669999999999</v>
      </c>
      <c r="X3080">
        <v>0.98398989999999997</v>
      </c>
      <c r="Y3080">
        <v>-0.4141069</v>
      </c>
      <c r="Z3080">
        <v>0.1714146</v>
      </c>
      <c r="AA3080">
        <v>0.89394209999999996</v>
      </c>
      <c r="AB3080">
        <v>29</v>
      </c>
      <c r="AC3080">
        <v>22.8416999999999</v>
      </c>
      <c r="AD3080">
        <v>80.813828000000001</v>
      </c>
      <c r="AE3080">
        <v>358.50387000000001</v>
      </c>
      <c r="AF3080">
        <v>-141.515476495467</v>
      </c>
      <c r="AG3080">
        <v>80.813828000000001</v>
      </c>
      <c r="AH3080">
        <v>311.26680700553402</v>
      </c>
      <c r="AI3080">
        <v>76.702244854429694</v>
      </c>
      <c r="AJ3080">
        <v>114.448617288428</v>
      </c>
      <c r="AK3080">
        <v>351.34673760713002</v>
      </c>
      <c r="AL3080">
        <v>82.362408322955702</v>
      </c>
      <c r="AM3080">
        <v>96.880856910241903</v>
      </c>
      <c r="AN3080">
        <v>1.00000002400809</v>
      </c>
    </row>
    <row r="3081" spans="1:40" x14ac:dyDescent="0.3">
      <c r="A3081" t="str">
        <f>"20200111150914109"</f>
        <v>20200111150914109</v>
      </c>
      <c r="B3081" t="str">
        <f>"1578726554106826"</f>
        <v>1578726554106826</v>
      </c>
      <c r="C3081" t="s">
        <v>40</v>
      </c>
      <c r="D3081">
        <v>5.5357710000000004</v>
      </c>
      <c r="E3081">
        <v>0.38498929999999998</v>
      </c>
      <c r="F3081" t="s">
        <v>47</v>
      </c>
      <c r="G3081">
        <v>-164.96019999999999</v>
      </c>
      <c r="H3081">
        <v>79.862780000000001</v>
      </c>
      <c r="I3081">
        <v>315.18990000000002</v>
      </c>
      <c r="J3081">
        <v>-190.86930000000001</v>
      </c>
      <c r="K3081">
        <v>1.1148690000000001</v>
      </c>
      <c r="L3081">
        <v>-43.748170000000002</v>
      </c>
      <c r="M3081">
        <v>0.4650918</v>
      </c>
      <c r="N3081">
        <v>0</v>
      </c>
      <c r="O3081">
        <v>0.88517489999999999</v>
      </c>
      <c r="P3081">
        <v>0.35354940000000001</v>
      </c>
      <c r="Q3081">
        <v>0.12100080000000001</v>
      </c>
      <c r="R3081">
        <v>0.92755679999999996</v>
      </c>
      <c r="S3081">
        <v>0.22247310000000001</v>
      </c>
      <c r="T3081">
        <v>0.67280209999999996</v>
      </c>
      <c r="U3081">
        <v>3.0688780000000002</v>
      </c>
      <c r="V3081">
        <v>-0.1200039</v>
      </c>
      <c r="W3081">
        <v>0.13186639999999999</v>
      </c>
      <c r="X3081">
        <v>0.98397679999999998</v>
      </c>
      <c r="Y3081">
        <v>-0.40058640000000001</v>
      </c>
      <c r="Z3081">
        <v>0.1686203</v>
      </c>
      <c r="AA3081">
        <v>0.90060960000000001</v>
      </c>
      <c r="AB3081">
        <v>29</v>
      </c>
      <c r="AC3081">
        <v>25.909099999999999</v>
      </c>
      <c r="AD3081">
        <v>78.747911000000002</v>
      </c>
      <c r="AE3081">
        <v>358.93806999999998</v>
      </c>
      <c r="AF3081">
        <v>-137.43540027946599</v>
      </c>
      <c r="AG3081">
        <v>78.747911000000002</v>
      </c>
      <c r="AH3081">
        <v>314.72847368941001</v>
      </c>
      <c r="AI3081">
        <v>77.085338462958504</v>
      </c>
      <c r="AJ3081">
        <v>113.58989622829</v>
      </c>
      <c r="AK3081">
        <v>352.34036795080198</v>
      </c>
      <c r="AL3081">
        <v>82.422542331816004</v>
      </c>
      <c r="AM3081">
        <v>96.953343562968996</v>
      </c>
      <c r="AN3081">
        <v>1.0000000132011999</v>
      </c>
    </row>
    <row r="3082" spans="1:40" x14ac:dyDescent="0.3">
      <c r="A3082" t="str">
        <f>"20200111150914132"</f>
        <v>20200111150914132</v>
      </c>
      <c r="B3082" t="str">
        <f>"1578726554127322"</f>
        <v>1578726554127322</v>
      </c>
      <c r="C3082" t="s">
        <v>40</v>
      </c>
      <c r="D3082">
        <v>6.2170529999999999</v>
      </c>
      <c r="E3082">
        <v>0.38388539999999999</v>
      </c>
      <c r="F3082" t="s">
        <v>47</v>
      </c>
      <c r="G3082">
        <v>-168.43870000000001</v>
      </c>
      <c r="H3082">
        <v>78.487629999999996</v>
      </c>
      <c r="I3082">
        <v>314.49709999999999</v>
      </c>
      <c r="J3082">
        <v>-190.7441</v>
      </c>
      <c r="K3082">
        <v>1.1150500000000001</v>
      </c>
      <c r="L3082">
        <v>-43.49512</v>
      </c>
      <c r="M3082">
        <v>0.45919110000000002</v>
      </c>
      <c r="N3082">
        <v>0</v>
      </c>
      <c r="O3082">
        <v>0.88824999999999998</v>
      </c>
      <c r="P3082">
        <v>0.34795359999999997</v>
      </c>
      <c r="Q3082">
        <v>0.1201276</v>
      </c>
      <c r="R3082">
        <v>0.92978360000000004</v>
      </c>
      <c r="S3082">
        <v>0.19248960000000001</v>
      </c>
      <c r="T3082">
        <v>0.66398040000000003</v>
      </c>
      <c r="U3082">
        <v>3.0743100000000001</v>
      </c>
      <c r="V3082">
        <v>-0.1194866</v>
      </c>
      <c r="W3082">
        <v>0.1309678</v>
      </c>
      <c r="X3082">
        <v>0.98415980000000003</v>
      </c>
      <c r="Y3082">
        <v>-0.40333370000000002</v>
      </c>
      <c r="Z3082">
        <v>0.16707179999999999</v>
      </c>
      <c r="AA3082">
        <v>0.89967160000000002</v>
      </c>
      <c r="AB3082">
        <v>29</v>
      </c>
      <c r="AC3082">
        <v>22.305399999999899</v>
      </c>
      <c r="AD3082">
        <v>77.372579999999999</v>
      </c>
      <c r="AE3082">
        <v>357.99221999999997</v>
      </c>
      <c r="AF3082">
        <v>-138.15671210019701</v>
      </c>
      <c r="AG3082">
        <v>77.372579999999999</v>
      </c>
      <c r="AH3082">
        <v>313.659591660383</v>
      </c>
      <c r="AI3082">
        <v>77.278819805188107</v>
      </c>
      <c r="AJ3082">
        <v>113.771909748092</v>
      </c>
      <c r="AK3082">
        <v>351.36324889599803</v>
      </c>
      <c r="AL3082">
        <v>82.474479126491005</v>
      </c>
      <c r="AM3082">
        <v>96.922386464583994</v>
      </c>
      <c r="AN3082">
        <v>1.00000006207621</v>
      </c>
    </row>
    <row r="3083" spans="1:40" x14ac:dyDescent="0.3">
      <c r="A3083" t="str">
        <f>"20200111150914154"</f>
        <v>20200111150914154</v>
      </c>
      <c r="B3083" t="str">
        <f>"1578726554147656"</f>
        <v>1578726554147656</v>
      </c>
      <c r="C3083" t="s">
        <v>40</v>
      </c>
      <c r="D3083">
        <v>6.1826129999999999</v>
      </c>
      <c r="E3083">
        <v>0.37795580000000001</v>
      </c>
      <c r="F3083" t="s">
        <v>49</v>
      </c>
      <c r="G3083">
        <v>0</v>
      </c>
      <c r="H3083">
        <v>0</v>
      </c>
      <c r="I3083">
        <v>0</v>
      </c>
      <c r="J3083">
        <v>-190.6183</v>
      </c>
      <c r="K3083">
        <v>1.115254</v>
      </c>
      <c r="L3083">
        <v>-43.235930000000003</v>
      </c>
      <c r="M3083">
        <v>0.45291360000000003</v>
      </c>
      <c r="N3083">
        <v>0</v>
      </c>
      <c r="O3083">
        <v>0.89146689999999995</v>
      </c>
      <c r="P3083">
        <v>0.34265319999999999</v>
      </c>
      <c r="Q3083">
        <v>0.12013989999999999</v>
      </c>
      <c r="R3083">
        <v>0.93174840000000003</v>
      </c>
      <c r="S3083">
        <v>0.16665650000000001</v>
      </c>
      <c r="T3083">
        <v>0.66116359999999996</v>
      </c>
      <c r="U3083">
        <v>3.0787960000000001</v>
      </c>
      <c r="V3083">
        <v>-0.1182111</v>
      </c>
      <c r="W3083">
        <v>0.130963</v>
      </c>
      <c r="X3083">
        <v>0.98431440000000003</v>
      </c>
      <c r="Y3083">
        <v>-0.40448709999999999</v>
      </c>
      <c r="Z3083">
        <v>0.16711819999999999</v>
      </c>
      <c r="AA3083">
        <v>0.89914499999999997</v>
      </c>
      <c r="AB3083">
        <v>29</v>
      </c>
      <c r="AC3083">
        <v>0.16665650000000001</v>
      </c>
      <c r="AD3083">
        <v>0.66116359999999996</v>
      </c>
      <c r="AE3083">
        <v>3.0787960000000001</v>
      </c>
      <c r="AF3083">
        <v>-1.1911843137526399</v>
      </c>
      <c r="AG3083">
        <v>0.66116359999999996</v>
      </c>
      <c r="AH3083">
        <v>2.6963623436615798</v>
      </c>
      <c r="AI3083">
        <v>77.358148373937397</v>
      </c>
      <c r="AJ3083">
        <v>113.83462251116801</v>
      </c>
      <c r="AK3083">
        <v>3.0209977265154402</v>
      </c>
      <c r="AL3083">
        <v>82.474756101965994</v>
      </c>
      <c r="AM3083">
        <v>96.848131272365507</v>
      </c>
      <c r="AN3083">
        <v>1.0000000047897799</v>
      </c>
    </row>
    <row r="3084" spans="1:40" x14ac:dyDescent="0.3">
      <c r="A3084" t="str">
        <f>"20200111150914177"</f>
        <v>20200111150914177</v>
      </c>
      <c r="B3084" t="str">
        <f>"1578726554167175"</f>
        <v>1578726554167175</v>
      </c>
      <c r="C3084" t="s">
        <v>40</v>
      </c>
      <c r="D3084">
        <v>5.6196089999999996</v>
      </c>
      <c r="E3084">
        <v>0.37752730000000001</v>
      </c>
      <c r="F3084" t="s">
        <v>48</v>
      </c>
      <c r="G3084">
        <v>-175.7602</v>
      </c>
      <c r="H3084">
        <v>89.05341</v>
      </c>
      <c r="I3084">
        <v>391.00349999999997</v>
      </c>
      <c r="J3084">
        <v>-190.49590000000001</v>
      </c>
      <c r="K3084">
        <v>1.1154660000000001</v>
      </c>
      <c r="L3084">
        <v>-42.978670000000001</v>
      </c>
      <c r="M3084">
        <v>0.44644329999999999</v>
      </c>
      <c r="N3084">
        <v>0</v>
      </c>
      <c r="O3084">
        <v>0.89472439999999998</v>
      </c>
      <c r="P3084">
        <v>0.33662419999999998</v>
      </c>
      <c r="Q3084">
        <v>0.1205962</v>
      </c>
      <c r="R3084">
        <v>0.93388470000000001</v>
      </c>
      <c r="S3084">
        <v>0.1060638</v>
      </c>
      <c r="T3084">
        <v>0.627741199999999</v>
      </c>
      <c r="U3084">
        <v>3.0997919999999999</v>
      </c>
      <c r="V3084">
        <v>-0.1174876</v>
      </c>
      <c r="W3084">
        <v>0.1313937</v>
      </c>
      <c r="X3084">
        <v>0.98434359999999999</v>
      </c>
      <c r="Y3084">
        <v>-0.4156704</v>
      </c>
      <c r="Z3084">
        <v>0.15842590000000001</v>
      </c>
      <c r="AA3084">
        <v>0.89561119999999905</v>
      </c>
      <c r="AB3084">
        <v>29</v>
      </c>
      <c r="AC3084">
        <v>14.7357</v>
      </c>
      <c r="AD3084">
        <v>87.937943999999902</v>
      </c>
      <c r="AE3084">
        <v>433.98217</v>
      </c>
      <c r="AF3084">
        <v>-173.46411518319201</v>
      </c>
      <c r="AG3084">
        <v>87.937943999999902</v>
      </c>
      <c r="AH3084">
        <v>379.34635656869199</v>
      </c>
      <c r="AI3084">
        <v>78.095282395703194</v>
      </c>
      <c r="AJ3084">
        <v>114.57324737224999</v>
      </c>
      <c r="AK3084">
        <v>426.29395901557899</v>
      </c>
      <c r="AL3084">
        <v>82.449863533833494</v>
      </c>
      <c r="AM3084">
        <v>96.806412331648502</v>
      </c>
      <c r="AN3084">
        <v>0.99999998170720406</v>
      </c>
    </row>
    <row r="3085" spans="1:40" x14ac:dyDescent="0.3">
      <c r="A3085" t="str">
        <f>"20200111150914199"</f>
        <v>20200111150914199</v>
      </c>
      <c r="B3085" t="str">
        <f>"1578726554197431"</f>
        <v>1578726554197431</v>
      </c>
      <c r="C3085" t="s">
        <v>40</v>
      </c>
      <c r="D3085">
        <v>5.4914620000000003</v>
      </c>
      <c r="E3085">
        <v>0.41329539999999998</v>
      </c>
      <c r="F3085" t="s">
        <v>48</v>
      </c>
      <c r="G3085">
        <v>-178.82980000000001</v>
      </c>
      <c r="H3085">
        <v>85.80659</v>
      </c>
      <c r="I3085">
        <v>391.87</v>
      </c>
      <c r="J3085">
        <v>-190.37909999999999</v>
      </c>
      <c r="K3085">
        <v>1.115672</v>
      </c>
      <c r="L3085">
        <v>-42.727719999999998</v>
      </c>
      <c r="M3085">
        <v>0.43989299999999998</v>
      </c>
      <c r="N3085">
        <v>0</v>
      </c>
      <c r="O3085">
        <v>0.89796260000000006</v>
      </c>
      <c r="P3085">
        <v>0.3301384</v>
      </c>
      <c r="Q3085">
        <v>0.1205019</v>
      </c>
      <c r="R3085">
        <v>0.93620939999999997</v>
      </c>
      <c r="S3085">
        <v>8.3282469999999997E-2</v>
      </c>
      <c r="T3085">
        <v>0.604595199999999</v>
      </c>
      <c r="U3085">
        <v>3.1043090000000002</v>
      </c>
      <c r="V3085">
        <v>-0.1171938</v>
      </c>
      <c r="W3085">
        <v>0.13127030000000001</v>
      </c>
      <c r="X3085">
        <v>0.98439509999999997</v>
      </c>
      <c r="Y3085">
        <v>-0.4156473</v>
      </c>
      <c r="Z3085">
        <v>0.1534924</v>
      </c>
      <c r="AA3085">
        <v>0.89648059999999996</v>
      </c>
      <c r="AB3085">
        <v>29</v>
      </c>
      <c r="AC3085">
        <v>11.549299999999899</v>
      </c>
      <c r="AD3085">
        <v>84.690917999999996</v>
      </c>
      <c r="AE3085">
        <v>434.59771999999998</v>
      </c>
      <c r="AF3085">
        <v>-174.20894756557999</v>
      </c>
      <c r="AG3085">
        <v>84.690917999999996</v>
      </c>
      <c r="AH3085">
        <v>380.90920248731402</v>
      </c>
      <c r="AI3085">
        <v>78.569155602512694</v>
      </c>
      <c r="AJ3085">
        <v>114.577002836368</v>
      </c>
      <c r="AK3085">
        <v>427.33257486776199</v>
      </c>
      <c r="AL3085">
        <v>82.456995713914694</v>
      </c>
      <c r="AM3085">
        <v>96.7891988079501</v>
      </c>
      <c r="AN3085">
        <v>0.99999999566226905</v>
      </c>
    </row>
    <row r="3086" spans="1:40" x14ac:dyDescent="0.3">
      <c r="A3086" t="str">
        <f>"20200111150914221"</f>
        <v>20200111150914221</v>
      </c>
      <c r="B3086" t="str">
        <f>"1578726554216951"</f>
        <v>1578726554216951</v>
      </c>
      <c r="C3086" t="s">
        <v>40</v>
      </c>
      <c r="D3086">
        <v>5.532648</v>
      </c>
      <c r="E3086">
        <v>0.41342760000000001</v>
      </c>
      <c r="F3086" t="s">
        <v>43</v>
      </c>
      <c r="G3086">
        <v>-188.69479999999999</v>
      </c>
      <c r="H3086" s="1">
        <v>-1.221964E-6</v>
      </c>
      <c r="I3086">
        <v>-28.05847</v>
      </c>
      <c r="J3086">
        <v>-190.26339999999999</v>
      </c>
      <c r="K3086">
        <v>1.1158809999999999</v>
      </c>
      <c r="L3086">
        <v>-42.473239999999997</v>
      </c>
      <c r="M3086">
        <v>0.43298550000000002</v>
      </c>
      <c r="N3086">
        <v>0</v>
      </c>
      <c r="O3086">
        <v>0.90131320000000004</v>
      </c>
      <c r="P3086">
        <v>0.32309110000000002</v>
      </c>
      <c r="Q3086">
        <v>0.1194412</v>
      </c>
      <c r="R3086">
        <v>0.93880030000000003</v>
      </c>
      <c r="S3086">
        <v>0.35696409999999901</v>
      </c>
      <c r="T3086">
        <v>-0.23645169999999999</v>
      </c>
      <c r="U3086">
        <v>3.1089479999999998</v>
      </c>
      <c r="V3086">
        <v>-0.1171493</v>
      </c>
      <c r="W3086">
        <v>0.13017919999999999</v>
      </c>
      <c r="X3086">
        <v>0.98454529999999996</v>
      </c>
      <c r="Y3086">
        <v>-0.32758369999999998</v>
      </c>
      <c r="Z3086">
        <v>-6.2430329999999999E-2</v>
      </c>
      <c r="AA3086">
        <v>0.94275730000000002</v>
      </c>
      <c r="AB3086">
        <v>29</v>
      </c>
      <c r="AC3086">
        <v>1.5686</v>
      </c>
      <c r="AD3086">
        <v>-1.1158822219640001</v>
      </c>
      <c r="AE3086">
        <v>14.414770000000001</v>
      </c>
      <c r="AF3086">
        <v>-4.7995425763860702</v>
      </c>
      <c r="AG3086">
        <v>-1.1158822219640001</v>
      </c>
      <c r="AH3086">
        <v>13.591984977805099</v>
      </c>
      <c r="AI3086">
        <v>94.426660778919796</v>
      </c>
      <c r="AJ3086">
        <v>109.448923496058</v>
      </c>
      <c r="AK3086">
        <v>14.457622823712001</v>
      </c>
      <c r="AL3086">
        <v>82.520052396362104</v>
      </c>
      <c r="AM3086">
        <v>96.785619210866201</v>
      </c>
      <c r="AN3086">
        <v>1.0000000151776101</v>
      </c>
    </row>
    <row r="3087" spans="1:40" x14ac:dyDescent="0.3">
      <c r="A3087" t="str">
        <f>"20200111150914244"</f>
        <v>20200111150914244</v>
      </c>
      <c r="B3087" t="str">
        <f>"1578726554237447"</f>
        <v>1578726554237447</v>
      </c>
      <c r="C3087" t="s">
        <v>40</v>
      </c>
      <c r="D3087">
        <v>5.5939639999999997</v>
      </c>
      <c r="E3087">
        <v>0.4137035</v>
      </c>
      <c r="F3087" t="s">
        <v>43</v>
      </c>
      <c r="G3087">
        <v>-188.624</v>
      </c>
      <c r="H3087" s="1">
        <v>-1.6044339999999999E-6</v>
      </c>
      <c r="I3087">
        <v>-27.196200000000001</v>
      </c>
      <c r="J3087">
        <v>-190.1446</v>
      </c>
      <c r="K3087">
        <v>1.1161000000000001</v>
      </c>
      <c r="L3087">
        <v>-42.205779999999997</v>
      </c>
      <c r="M3087">
        <v>0.42545359999999999</v>
      </c>
      <c r="N3087">
        <v>0</v>
      </c>
      <c r="O3087">
        <v>0.90489249999999999</v>
      </c>
      <c r="P3087">
        <v>0.3150559</v>
      </c>
      <c r="Q3087">
        <v>0.1189315</v>
      </c>
      <c r="R3087">
        <v>0.94159179999999998</v>
      </c>
      <c r="S3087">
        <v>0.33369450000000001</v>
      </c>
      <c r="T3087">
        <v>-0.22713630000000001</v>
      </c>
      <c r="U3087">
        <v>3.1096189999999999</v>
      </c>
      <c r="V3087">
        <v>-0.1174451</v>
      </c>
      <c r="W3087">
        <v>0.12963359999999999</v>
      </c>
      <c r="X3087">
        <v>0.98458199999999996</v>
      </c>
      <c r="Y3087">
        <v>-0.326683099999999</v>
      </c>
      <c r="Z3087">
        <v>-6.0385260000000003E-2</v>
      </c>
      <c r="AA3087">
        <v>0.94320289999999996</v>
      </c>
      <c r="AB3087">
        <v>29</v>
      </c>
      <c r="AC3087">
        <v>1.52059999999997</v>
      </c>
      <c r="AD3087">
        <v>-1.116101604434</v>
      </c>
      <c r="AE3087">
        <v>15.0095799999999</v>
      </c>
      <c r="AF3087">
        <v>-4.9830253928415704</v>
      </c>
      <c r="AG3087">
        <v>-1.116101604434</v>
      </c>
      <c r="AH3087">
        <v>14.1526716062634</v>
      </c>
      <c r="AI3087">
        <v>94.254140965788906</v>
      </c>
      <c r="AJ3087">
        <v>109.396697024093</v>
      </c>
      <c r="AK3087">
        <v>15.045741538782901</v>
      </c>
      <c r="AL3087">
        <v>82.551579779810794</v>
      </c>
      <c r="AM3087">
        <v>96.802341235702997</v>
      </c>
      <c r="AN3087">
        <v>0.99999996824348403</v>
      </c>
    </row>
    <row r="3088" spans="1:40" x14ac:dyDescent="0.3">
      <c r="A3088" t="str">
        <f>"20200111150914265"</f>
        <v>20200111150914265</v>
      </c>
      <c r="B3088" t="str">
        <f>"1578726554256967"</f>
        <v>1578726554256967</v>
      </c>
      <c r="C3088" t="s">
        <v>40</v>
      </c>
      <c r="D3088">
        <v>5.5332359999999996</v>
      </c>
      <c r="E3088">
        <v>0.41433829999999999</v>
      </c>
      <c r="F3088" t="s">
        <v>43</v>
      </c>
      <c r="G3088">
        <v>-188.6123</v>
      </c>
      <c r="H3088" s="1">
        <v>-1.783595E-6</v>
      </c>
      <c r="I3088">
        <v>-26.7834</v>
      </c>
      <c r="J3088">
        <v>-190.0352</v>
      </c>
      <c r="K3088">
        <v>1.1162810000000001</v>
      </c>
      <c r="L3088">
        <v>-41.95337</v>
      </c>
      <c r="M3088">
        <v>0.41813260000000002</v>
      </c>
      <c r="N3088">
        <v>0</v>
      </c>
      <c r="O3088">
        <v>0.90829819999999994</v>
      </c>
      <c r="P3088">
        <v>0.30716599999999999</v>
      </c>
      <c r="Q3088">
        <v>0.1183265</v>
      </c>
      <c r="R3088">
        <v>0.94427110000000003</v>
      </c>
      <c r="S3088">
        <v>0.30911250000000001</v>
      </c>
      <c r="T3088">
        <v>-0.22514819999999999</v>
      </c>
      <c r="U3088">
        <v>3.1111149999999999</v>
      </c>
      <c r="V3088">
        <v>-0.1178169</v>
      </c>
      <c r="W3088">
        <v>0.12899910000000001</v>
      </c>
      <c r="X3088">
        <v>0.98462090000000002</v>
      </c>
      <c r="Y3088">
        <v>-0.32647169999999998</v>
      </c>
      <c r="Z3088">
        <v>-6.0215119999999997E-2</v>
      </c>
      <c r="AA3088">
        <v>0.94328699999999999</v>
      </c>
      <c r="AB3088">
        <v>29</v>
      </c>
      <c r="AC3088">
        <v>1.4228999999999901</v>
      </c>
      <c r="AD3088">
        <v>-1.11628278359499</v>
      </c>
      <c r="AE3088">
        <v>15.169969999999999</v>
      </c>
      <c r="AF3088">
        <v>-5.0240774395063301</v>
      </c>
      <c r="AG3088">
        <v>-1.11628278359499</v>
      </c>
      <c r="AH3088">
        <v>14.298217657861001</v>
      </c>
      <c r="AI3088">
        <v>94.212610968092605</v>
      </c>
      <c r="AJ3088">
        <v>109.360347235166</v>
      </c>
      <c r="AK3088">
        <v>15.196264987248499</v>
      </c>
      <c r="AL3088">
        <v>82.588241678405097</v>
      </c>
      <c r="AM3088">
        <v>96.823405863314605</v>
      </c>
      <c r="AN3088">
        <v>0.99999995322161395</v>
      </c>
    </row>
    <row r="3089" spans="1:40" x14ac:dyDescent="0.3">
      <c r="A3089" t="str">
        <f>"20200111150914289"</f>
        <v>20200111150914289</v>
      </c>
      <c r="B3089" t="str">
        <f>"1578726554277465"</f>
        <v>1578726554277465</v>
      </c>
      <c r="C3089" t="s">
        <v>40</v>
      </c>
      <c r="D3089">
        <v>5.5553129999999999</v>
      </c>
      <c r="E3089">
        <v>0.41499649999999999</v>
      </c>
      <c r="F3089" t="s">
        <v>43</v>
      </c>
      <c r="G3089">
        <v>-188.6566</v>
      </c>
      <c r="H3089" s="1">
        <v>-1.64520999999999E-6</v>
      </c>
      <c r="I3089">
        <v>-27.087669999999999</v>
      </c>
      <c r="J3089">
        <v>-189.92250000000001</v>
      </c>
      <c r="K3089">
        <v>1.116466</v>
      </c>
      <c r="L3089">
        <v>-41.686520000000002</v>
      </c>
      <c r="M3089">
        <v>0.41016079999999999</v>
      </c>
      <c r="N3089">
        <v>0</v>
      </c>
      <c r="O3089">
        <v>0.91192530000000005</v>
      </c>
      <c r="P3089">
        <v>0.29936750000000001</v>
      </c>
      <c r="Q3089">
        <v>0.1169454</v>
      </c>
      <c r="R3089">
        <v>0.94694389999999995</v>
      </c>
      <c r="S3089">
        <v>0.28865049999999998</v>
      </c>
      <c r="T3089">
        <v>-0.2337158</v>
      </c>
      <c r="U3089">
        <v>3.1124269999999998</v>
      </c>
      <c r="V3089">
        <v>-0.11742039999999999</v>
      </c>
      <c r="W3089">
        <v>0.1276031</v>
      </c>
      <c r="X3089">
        <v>0.98485020000000001</v>
      </c>
      <c r="Y3089">
        <v>-0.32439010000000001</v>
      </c>
      <c r="Z3089">
        <v>-6.2912109999999993E-2</v>
      </c>
      <c r="AA3089">
        <v>0.94382889999999997</v>
      </c>
      <c r="AB3089">
        <v>29</v>
      </c>
      <c r="AC3089">
        <v>1.26590000000001</v>
      </c>
      <c r="AD3089">
        <v>-1.11646764521</v>
      </c>
      <c r="AE3089">
        <v>14.598850000000001</v>
      </c>
      <c r="AF3089">
        <v>-4.8059588055046598</v>
      </c>
      <c r="AG3089">
        <v>-1.11646764521</v>
      </c>
      <c r="AH3089">
        <v>13.753553179182299</v>
      </c>
      <c r="AI3089">
        <v>94.382170789098396</v>
      </c>
      <c r="AJ3089">
        <v>109.26114967875399</v>
      </c>
      <c r="AK3089">
        <v>14.611774878350801</v>
      </c>
      <c r="AL3089">
        <v>82.668893571620103</v>
      </c>
      <c r="AM3089">
        <v>96.799089303462196</v>
      </c>
      <c r="AN3089">
        <v>1.0000000089529</v>
      </c>
    </row>
    <row r="3090" spans="1:40" x14ac:dyDescent="0.3">
      <c r="A3090" t="str">
        <f>"20200111150914311"</f>
        <v>20200111150914311</v>
      </c>
      <c r="B3090" t="str">
        <f>"1578726554307720"</f>
        <v>1578726554307720</v>
      </c>
      <c r="C3090" t="s">
        <v>40</v>
      </c>
      <c r="D3090">
        <v>5.5902399999999997</v>
      </c>
      <c r="E3090">
        <v>0.41676449999999998</v>
      </c>
      <c r="F3090" t="s">
        <v>43</v>
      </c>
      <c r="G3090">
        <v>-188.6499</v>
      </c>
      <c r="H3090" s="1">
        <v>-1.731197E-6</v>
      </c>
      <c r="I3090">
        <v>-26.89002</v>
      </c>
      <c r="J3090">
        <v>-189.81710000000001</v>
      </c>
      <c r="K3090">
        <v>1.116641</v>
      </c>
      <c r="L3090">
        <v>-41.43045</v>
      </c>
      <c r="M3090">
        <v>0.40228140000000001</v>
      </c>
      <c r="N3090">
        <v>0</v>
      </c>
      <c r="O3090">
        <v>0.91542809999999997</v>
      </c>
      <c r="P3090">
        <v>0.2919503</v>
      </c>
      <c r="Q3090">
        <v>0.1162285</v>
      </c>
      <c r="R3090">
        <v>0.94934499999999999</v>
      </c>
      <c r="S3090">
        <v>0.2677002</v>
      </c>
      <c r="T3090">
        <v>-0.2348499</v>
      </c>
      <c r="U3090">
        <v>3.112457</v>
      </c>
      <c r="V3090">
        <v>-0.11670990000000001</v>
      </c>
      <c r="W3090">
        <v>0.12687950000000001</v>
      </c>
      <c r="X3090">
        <v>0.98502809999999996</v>
      </c>
      <c r="Y3090">
        <v>-0.32253959999999998</v>
      </c>
      <c r="Z3090">
        <v>-6.3643669999999999E-2</v>
      </c>
      <c r="AA3090">
        <v>0.94441399999999998</v>
      </c>
      <c r="AB3090">
        <v>29</v>
      </c>
      <c r="AC3090">
        <v>1.1672</v>
      </c>
      <c r="AD3090">
        <v>-1.116642731197</v>
      </c>
      <c r="AE3090">
        <v>14.540429999999899</v>
      </c>
      <c r="AF3090">
        <v>-4.7533879172665703</v>
      </c>
      <c r="AG3090">
        <v>-1.116642731197</v>
      </c>
      <c r="AH3090">
        <v>13.7010850453927</v>
      </c>
      <c r="AI3090">
        <v>94.402975529644806</v>
      </c>
      <c r="AJ3090">
        <v>109.13345750475401</v>
      </c>
      <c r="AK3090">
        <v>14.545147613628201</v>
      </c>
      <c r="AL3090">
        <v>82.710692359092704</v>
      </c>
      <c r="AM3090">
        <v>96.757121032769405</v>
      </c>
      <c r="AN3090">
        <v>0.999999983033934</v>
      </c>
    </row>
    <row r="3091" spans="1:40" x14ac:dyDescent="0.3">
      <c r="A3091" t="str">
        <f>"20200111150914334"</f>
        <v>20200111150914334</v>
      </c>
      <c r="B3091" t="str">
        <f>"1578726554327239"</f>
        <v>1578726554327239</v>
      </c>
      <c r="C3091" t="s">
        <v>40</v>
      </c>
      <c r="D3091">
        <v>5.5934900000000001</v>
      </c>
      <c r="E3091">
        <v>0.41802099999999998</v>
      </c>
      <c r="F3091" t="s">
        <v>43</v>
      </c>
      <c r="G3091">
        <v>-188.6232</v>
      </c>
      <c r="H3091" s="1">
        <v>-1.7167490000000001E-6</v>
      </c>
      <c r="I3091">
        <v>-26.934719999999999</v>
      </c>
      <c r="J3091">
        <v>-189.7141</v>
      </c>
      <c r="K3091">
        <v>1.116827</v>
      </c>
      <c r="L3091">
        <v>-41.173279999999998</v>
      </c>
      <c r="M3091">
        <v>0.39413860000000001</v>
      </c>
      <c r="N3091">
        <v>0</v>
      </c>
      <c r="O3091">
        <v>0.91896299999999997</v>
      </c>
      <c r="P3091">
        <v>0.28389120000000001</v>
      </c>
      <c r="Q3091">
        <v>0.115597699999999</v>
      </c>
      <c r="R3091">
        <v>0.95186289999999996</v>
      </c>
      <c r="S3091">
        <v>0.25619510000000001</v>
      </c>
      <c r="T3091">
        <v>-0.23961930000000001</v>
      </c>
      <c r="U3091">
        <v>3.1106259999999999</v>
      </c>
      <c r="V3091">
        <v>-0.1163927</v>
      </c>
      <c r="W3091">
        <v>0.12623570000000001</v>
      </c>
      <c r="X3091">
        <v>0.98514840000000004</v>
      </c>
      <c r="Y3091">
        <v>-0.31756250000000003</v>
      </c>
      <c r="Z3091">
        <v>-6.5441699999999894E-2</v>
      </c>
      <c r="AA3091">
        <v>0.94597640000000005</v>
      </c>
      <c r="AB3091">
        <v>29</v>
      </c>
      <c r="AC3091">
        <v>1.0909</v>
      </c>
      <c r="AD3091">
        <v>-1.1168287167489901</v>
      </c>
      <c r="AE3091">
        <v>14.2385599999999</v>
      </c>
      <c r="AF3091">
        <v>-4.5818178051318696</v>
      </c>
      <c r="AG3091">
        <v>-1.1168287167489901</v>
      </c>
      <c r="AH3091">
        <v>13.4336029616391</v>
      </c>
      <c r="AI3091">
        <v>94.499109271677895</v>
      </c>
      <c r="AJ3091">
        <v>108.833041105725</v>
      </c>
      <c r="AK3091">
        <v>14.237346989974601</v>
      </c>
      <c r="AL3091">
        <v>82.747878811216907</v>
      </c>
      <c r="AM3091">
        <v>96.738109971087994</v>
      </c>
      <c r="AN3091">
        <v>1.00000004129516</v>
      </c>
    </row>
    <row r="3092" spans="1:40" x14ac:dyDescent="0.3">
      <c r="A3092" t="str">
        <f>"20200111150914357"</f>
        <v>20200111150914357</v>
      </c>
      <c r="B3092" t="str">
        <f>"1578726554346760"</f>
        <v>1578726554346760</v>
      </c>
      <c r="C3092" t="s">
        <v>40</v>
      </c>
      <c r="D3092">
        <v>5.6210559999999896</v>
      </c>
      <c r="E3092">
        <v>0.41905120000000001</v>
      </c>
      <c r="F3092" t="s">
        <v>43</v>
      </c>
      <c r="G3092">
        <v>-188.6232</v>
      </c>
      <c r="H3092" s="1">
        <v>-1.6799969999999999E-6</v>
      </c>
      <c r="I3092">
        <v>-27.02037</v>
      </c>
      <c r="J3092">
        <v>-189.60509999999999</v>
      </c>
      <c r="K3092">
        <v>1.1170389999999999</v>
      </c>
      <c r="L3092">
        <v>-40.893250000000002</v>
      </c>
      <c r="M3092">
        <v>0.38502029999999998</v>
      </c>
      <c r="N3092">
        <v>0</v>
      </c>
      <c r="O3092">
        <v>0.92281990000000003</v>
      </c>
      <c r="P3092">
        <v>0.27463670000000001</v>
      </c>
      <c r="Q3092">
        <v>0.11562020000000001</v>
      </c>
      <c r="R3092">
        <v>0.95457139999999996</v>
      </c>
      <c r="S3092">
        <v>0.23970030000000001</v>
      </c>
      <c r="T3092">
        <v>-0.24541869999999999</v>
      </c>
      <c r="U3092">
        <v>3.1100460000000001</v>
      </c>
      <c r="V3092">
        <v>-0.1162662</v>
      </c>
      <c r="W3092">
        <v>0.12623899999999999</v>
      </c>
      <c r="X3092">
        <v>0.98516289999999995</v>
      </c>
      <c r="Y3092">
        <v>-0.31315199999999999</v>
      </c>
      <c r="Z3092">
        <v>-6.754744E-2</v>
      </c>
      <c r="AA3092">
        <v>0.94729790000000003</v>
      </c>
      <c r="AB3092">
        <v>29</v>
      </c>
      <c r="AC3092">
        <v>0.981899999999996</v>
      </c>
      <c r="AD3092">
        <v>-1.1170406799970001</v>
      </c>
      <c r="AE3092">
        <v>13.87288</v>
      </c>
      <c r="AF3092">
        <v>-4.4071535953348597</v>
      </c>
      <c r="AG3092">
        <v>-1.1170406799970001</v>
      </c>
      <c r="AH3092">
        <v>13.0968052278889</v>
      </c>
      <c r="AI3092">
        <v>94.621567079825397</v>
      </c>
      <c r="AJ3092">
        <v>108.598395397106</v>
      </c>
      <c r="AK3092">
        <v>13.8635165045128</v>
      </c>
      <c r="AL3092">
        <v>82.747688105835806</v>
      </c>
      <c r="AM3092">
        <v>96.730755805850194</v>
      </c>
      <c r="AN3092">
        <v>1.0000000269599201</v>
      </c>
    </row>
    <row r="3093" spans="1:40" x14ac:dyDescent="0.3">
      <c r="A3093" t="str">
        <f>"20200111150914378"</f>
        <v>20200111150914378</v>
      </c>
      <c r="B3093" t="str">
        <f>"1578726554367258"</f>
        <v>1578726554367258</v>
      </c>
      <c r="C3093" t="s">
        <v>40</v>
      </c>
      <c r="D3093">
        <v>5.656256</v>
      </c>
      <c r="E3093">
        <v>0.41969289999999998</v>
      </c>
      <c r="F3093" t="s">
        <v>43</v>
      </c>
      <c r="G3093">
        <v>-188.62010000000001</v>
      </c>
      <c r="H3093" s="1">
        <v>-1.7594099999999899E-6</v>
      </c>
      <c r="I3093">
        <v>-26.83653</v>
      </c>
      <c r="J3093">
        <v>-189.50909999999999</v>
      </c>
      <c r="K3093">
        <v>1.117235</v>
      </c>
      <c r="L3093">
        <v>-40.63879</v>
      </c>
      <c r="M3093">
        <v>0.37649749999999998</v>
      </c>
      <c r="N3093">
        <v>0</v>
      </c>
      <c r="O3093">
        <v>0.92632930000000002</v>
      </c>
      <c r="P3093">
        <v>0.26643339999999999</v>
      </c>
      <c r="Q3093">
        <v>0.11591070000000001</v>
      </c>
      <c r="R3093">
        <v>0.9568584</v>
      </c>
      <c r="S3093">
        <v>0.21791079999999999</v>
      </c>
      <c r="T3093">
        <v>-0.24714259999999999</v>
      </c>
      <c r="U3093">
        <v>3.1100159999999999</v>
      </c>
      <c r="V3093">
        <v>-0.1156913</v>
      </c>
      <c r="W3093">
        <v>0.12652089999999999</v>
      </c>
      <c r="X3093">
        <v>0.98519440000000003</v>
      </c>
      <c r="Y3093">
        <v>-0.31100169999999999</v>
      </c>
      <c r="Z3093">
        <v>-6.8474019999999997E-2</v>
      </c>
      <c r="AA3093">
        <v>0.94793950000000005</v>
      </c>
      <c r="AB3093">
        <v>29</v>
      </c>
      <c r="AC3093">
        <v>0.88899999999998103</v>
      </c>
      <c r="AD3093">
        <v>-1.1172367594099999</v>
      </c>
      <c r="AE3093">
        <v>13.80226</v>
      </c>
      <c r="AF3093">
        <v>-4.3450155467849401</v>
      </c>
      <c r="AG3093">
        <v>-1.1172367594099999</v>
      </c>
      <c r="AH3093">
        <v>13.0361547130261</v>
      </c>
      <c r="AI3093">
        <v>94.648245268803393</v>
      </c>
      <c r="AJ3093">
        <v>108.433487768757</v>
      </c>
      <c r="AK3093">
        <v>13.7865408199567</v>
      </c>
      <c r="AL3093">
        <v>82.731405752630096</v>
      </c>
      <c r="AM3093">
        <v>96.697565229767207</v>
      </c>
      <c r="AN3093">
        <v>1.00000001041193</v>
      </c>
    </row>
    <row r="3094" spans="1:40" x14ac:dyDescent="0.3">
      <c r="A3094" t="str">
        <f>"20200111150914404"</f>
        <v>20200111150914404</v>
      </c>
      <c r="B3094" t="str">
        <f>"1578726554397511"</f>
        <v>1578726554397511</v>
      </c>
      <c r="C3094" t="s">
        <v>40</v>
      </c>
      <c r="D3094">
        <v>5.8025310000000001</v>
      </c>
      <c r="E3094">
        <v>0.42075620000000002</v>
      </c>
      <c r="F3094" t="s">
        <v>43</v>
      </c>
      <c r="G3094">
        <v>-188.619</v>
      </c>
      <c r="H3094" s="1">
        <v>-1.9261929999999999E-6</v>
      </c>
      <c r="I3094">
        <v>-26.448229999999999</v>
      </c>
      <c r="J3094">
        <v>-189.3999</v>
      </c>
      <c r="K3094">
        <v>1.1174599999999999</v>
      </c>
      <c r="L3094">
        <v>-40.338380000000001</v>
      </c>
      <c r="M3094">
        <v>0.36613220000000002</v>
      </c>
      <c r="N3094">
        <v>0</v>
      </c>
      <c r="O3094">
        <v>0.93047429999999998</v>
      </c>
      <c r="P3094">
        <v>0.25757999999999998</v>
      </c>
      <c r="Q3094">
        <v>0.11668190000000001</v>
      </c>
      <c r="R3094">
        <v>0.95918610000000004</v>
      </c>
      <c r="S3094">
        <v>0.19511410000000001</v>
      </c>
      <c r="T3094">
        <v>-0.24490020000000001</v>
      </c>
      <c r="U3094">
        <v>3.1105960000000001</v>
      </c>
      <c r="V3094">
        <v>-0.11384320000000001</v>
      </c>
      <c r="W3094">
        <v>0.12730649999999999</v>
      </c>
      <c r="X3094">
        <v>0.98530850000000003</v>
      </c>
      <c r="Y3094">
        <v>-0.30731819999999999</v>
      </c>
      <c r="Z3094">
        <v>-6.8387160000000002E-2</v>
      </c>
      <c r="AA3094">
        <v>0.9491463</v>
      </c>
      <c r="AB3094">
        <v>29</v>
      </c>
      <c r="AC3094">
        <v>0.78089999999997395</v>
      </c>
      <c r="AD3094">
        <v>-1.1174619261929899</v>
      </c>
      <c r="AE3094">
        <v>13.89015</v>
      </c>
      <c r="AF3094">
        <v>-4.3314374196949297</v>
      </c>
      <c r="AG3094">
        <v>-1.1174619261929899</v>
      </c>
      <c r="AH3094">
        <v>13.126737700437401</v>
      </c>
      <c r="AI3094">
        <v>94.621817073334199</v>
      </c>
      <c r="AJ3094">
        <v>108.261370484266</v>
      </c>
      <c r="AK3094">
        <v>13.867996031630099</v>
      </c>
      <c r="AL3094">
        <v>82.686027387596297</v>
      </c>
      <c r="AM3094">
        <v>96.590768048906099</v>
      </c>
      <c r="AN3094">
        <v>1.0000000296503599</v>
      </c>
    </row>
    <row r="3095" spans="1:40" x14ac:dyDescent="0.3">
      <c r="A3095" t="str">
        <f>"20200111150914423"</f>
        <v>20200111150914423</v>
      </c>
      <c r="B3095" t="str">
        <f>"1578726554417031"</f>
        <v>1578726554417031</v>
      </c>
      <c r="C3095" t="s">
        <v>40</v>
      </c>
      <c r="D3095">
        <v>5.7067300000000003</v>
      </c>
      <c r="E3095">
        <v>0.42112929999999998</v>
      </c>
      <c r="F3095" t="s">
        <v>43</v>
      </c>
      <c r="G3095">
        <v>-188.59379999999999</v>
      </c>
      <c r="H3095" s="1">
        <v>-2.169257E-6</v>
      </c>
      <c r="I3095">
        <v>-25.892050000000001</v>
      </c>
      <c r="J3095">
        <v>-189.3175</v>
      </c>
      <c r="K3095">
        <v>1.117624</v>
      </c>
      <c r="L3095">
        <v>-40.104550000000003</v>
      </c>
      <c r="M3095">
        <v>0.35787029999999997</v>
      </c>
      <c r="N3095">
        <v>0</v>
      </c>
      <c r="O3095">
        <v>0.93368260000000003</v>
      </c>
      <c r="P3095">
        <v>0.25053059999999999</v>
      </c>
      <c r="Q3095">
        <v>0.1181224</v>
      </c>
      <c r="R3095">
        <v>0.96087540000000005</v>
      </c>
      <c r="S3095">
        <v>0.1735382</v>
      </c>
      <c r="T3095">
        <v>-0.24058930000000001</v>
      </c>
      <c r="U3095">
        <v>3.1102910000000001</v>
      </c>
      <c r="V3095">
        <v>-0.11235729999999999</v>
      </c>
      <c r="W3095">
        <v>0.12876170000000001</v>
      </c>
      <c r="X3095">
        <v>0.98528990000000005</v>
      </c>
      <c r="Y3095">
        <v>-0.30543609999999999</v>
      </c>
      <c r="Z3095">
        <v>-6.7598889999999995E-2</v>
      </c>
      <c r="AA3095">
        <v>0.94981009999999999</v>
      </c>
      <c r="AB3095">
        <v>29</v>
      </c>
      <c r="AC3095">
        <v>0.723700000000007</v>
      </c>
      <c r="AD3095">
        <v>-1.117626169257</v>
      </c>
      <c r="AE3095">
        <v>14.2125</v>
      </c>
      <c r="AF3095">
        <v>-4.3838523346521798</v>
      </c>
      <c r="AG3095">
        <v>-1.117626169257</v>
      </c>
      <c r="AH3095">
        <v>13.447136638023199</v>
      </c>
      <c r="AI3095">
        <v>94.5180946888986</v>
      </c>
      <c r="AJ3095">
        <v>108.056298857801</v>
      </c>
      <c r="AK3095">
        <v>14.187767030364901</v>
      </c>
      <c r="AL3095">
        <v>82.601958160144306</v>
      </c>
      <c r="AM3095">
        <v>96.505608266108396</v>
      </c>
      <c r="AN3095">
        <v>0.99999996264609403</v>
      </c>
    </row>
    <row r="3096" spans="1:40" x14ac:dyDescent="0.3">
      <c r="A3096" t="str">
        <f>"20200111150914446"</f>
        <v>20200111150914446</v>
      </c>
      <c r="B3096" t="str">
        <f>"1578726554437527"</f>
        <v>1578726554437527</v>
      </c>
      <c r="C3096" t="s">
        <v>40</v>
      </c>
      <c r="D3096">
        <v>5.7528790000000001</v>
      </c>
      <c r="E3096">
        <v>0.42144799999999899</v>
      </c>
      <c r="F3096" t="s">
        <v>43</v>
      </c>
      <c r="G3096">
        <v>-188.59950000000001</v>
      </c>
      <c r="H3096" s="1">
        <v>-2.3567499999999999E-6</v>
      </c>
      <c r="I3096">
        <v>-25.452649999999998</v>
      </c>
      <c r="J3096">
        <v>-189.2268</v>
      </c>
      <c r="K3096">
        <v>1.1177809999999999</v>
      </c>
      <c r="L3096">
        <v>-39.837739999999997</v>
      </c>
      <c r="M3096">
        <v>0.34825820000000002</v>
      </c>
      <c r="N3096">
        <v>0</v>
      </c>
      <c r="O3096">
        <v>0.93730979999999997</v>
      </c>
      <c r="P3096">
        <v>0.24048459999999999</v>
      </c>
      <c r="Q3096">
        <v>0.1192783</v>
      </c>
      <c r="R3096">
        <v>0.96329640000000005</v>
      </c>
      <c r="S3096">
        <v>0.15248110000000001</v>
      </c>
      <c r="T3096">
        <v>-0.23734620000000001</v>
      </c>
      <c r="U3096">
        <v>3.1115719999999998</v>
      </c>
      <c r="V3096">
        <v>-0.112545699999999</v>
      </c>
      <c r="W3096">
        <v>0.12990309999999999</v>
      </c>
      <c r="X3096">
        <v>0.98511859999999996</v>
      </c>
      <c r="Y3096">
        <v>-0.30208190000000001</v>
      </c>
      <c r="Z3096">
        <v>-6.7126039999999998E-2</v>
      </c>
      <c r="AA3096">
        <v>0.95091570000000003</v>
      </c>
      <c r="AB3096">
        <v>29</v>
      </c>
      <c r="AC3096">
        <v>0.62729999999999098</v>
      </c>
      <c r="AD3096">
        <v>-1.11778335675</v>
      </c>
      <c r="AE3096">
        <v>14.38509</v>
      </c>
      <c r="AF3096">
        <v>-4.39562916199925</v>
      </c>
      <c r="AG3096">
        <v>-1.11778335675</v>
      </c>
      <c r="AH3096">
        <v>13.620803709236201</v>
      </c>
      <c r="AI3096">
        <v>94.465642166154893</v>
      </c>
      <c r="AJ3096">
        <v>107.885636339212</v>
      </c>
      <c r="AK3096">
        <v>14.356088918921801</v>
      </c>
      <c r="AL3096">
        <v>82.536007148644302</v>
      </c>
      <c r="AM3096">
        <v>96.517546456217801</v>
      </c>
      <c r="AN3096">
        <v>1.00000000302203</v>
      </c>
    </row>
    <row r="3097" spans="1:40" x14ac:dyDescent="0.3">
      <c r="A3097" t="str">
        <f>"20200111150914469"</f>
        <v>20200111150914469</v>
      </c>
      <c r="B3097" t="str">
        <f>"1578726554466807"</f>
        <v>1578726554466807</v>
      </c>
      <c r="C3097" t="s">
        <v>40</v>
      </c>
      <c r="D3097">
        <v>5.7297529999999997</v>
      </c>
      <c r="E3097">
        <v>0.42093459999999999</v>
      </c>
      <c r="F3097" t="s">
        <v>43</v>
      </c>
      <c r="G3097">
        <v>-188.648</v>
      </c>
      <c r="H3097" s="1">
        <v>-2.485556E-6</v>
      </c>
      <c r="I3097">
        <v>-25.132359999999998</v>
      </c>
      <c r="J3097">
        <v>-189.1344</v>
      </c>
      <c r="K3097">
        <v>1.11792</v>
      </c>
      <c r="L3097">
        <v>-39.555689999999998</v>
      </c>
      <c r="M3097">
        <v>0.33791209999999899</v>
      </c>
      <c r="N3097">
        <v>0</v>
      </c>
      <c r="O3097">
        <v>0.9410887</v>
      </c>
      <c r="P3097">
        <v>0.2284011</v>
      </c>
      <c r="Q3097">
        <v>0.1194747</v>
      </c>
      <c r="R3097">
        <v>0.96620850000000003</v>
      </c>
      <c r="S3097">
        <v>0.1225281</v>
      </c>
      <c r="T3097">
        <v>-0.23662549999999999</v>
      </c>
      <c r="U3097">
        <v>3.1130070000000001</v>
      </c>
      <c r="V3097">
        <v>-0.114076</v>
      </c>
      <c r="W3097">
        <v>0.1300615</v>
      </c>
      <c r="X3097">
        <v>0.98492159999999995</v>
      </c>
      <c r="Y3097">
        <v>-0.30073480000000002</v>
      </c>
      <c r="Z3097">
        <v>-6.7346370000000003E-2</v>
      </c>
      <c r="AA3097">
        <v>0.95132700000000003</v>
      </c>
      <c r="AB3097">
        <v>29</v>
      </c>
      <c r="AC3097">
        <v>0.486400000000003</v>
      </c>
      <c r="AD3097">
        <v>-1.1179224855559999</v>
      </c>
      <c r="AE3097">
        <v>14.42333</v>
      </c>
      <c r="AF3097">
        <v>-4.3900985467458398</v>
      </c>
      <c r="AG3097">
        <v>-1.1179224855559999</v>
      </c>
      <c r="AH3097">
        <v>13.657191729551601</v>
      </c>
      <c r="AI3097">
        <v>94.455981729752494</v>
      </c>
      <c r="AJ3097">
        <v>107.819979898624</v>
      </c>
      <c r="AK3097">
        <v>14.3889402622842</v>
      </c>
      <c r="AL3097">
        <v>82.526853391199495</v>
      </c>
      <c r="AM3097">
        <v>96.6066980158745</v>
      </c>
      <c r="AN3097">
        <v>0.99999994285240301</v>
      </c>
    </row>
    <row r="3098" spans="1:40" x14ac:dyDescent="0.3">
      <c r="A3098" t="str">
        <f>"20200111150914495"</f>
        <v>20200111150914495</v>
      </c>
      <c r="B3098" t="str">
        <f>"1578726554487304"</f>
        <v>1578726554487304</v>
      </c>
      <c r="C3098" t="s">
        <v>40</v>
      </c>
      <c r="D3098">
        <v>5.7582849999999999</v>
      </c>
      <c r="E3098">
        <v>0.42070419999999997</v>
      </c>
      <c r="F3098" t="s">
        <v>43</v>
      </c>
      <c r="G3098">
        <v>-188.75290000000001</v>
      </c>
      <c r="H3098" s="1">
        <v>-2.6387229999999998E-6</v>
      </c>
      <c r="I3098">
        <v>-24.731929999999998</v>
      </c>
      <c r="J3098">
        <v>-189.0401</v>
      </c>
      <c r="K3098">
        <v>1.1180349999999999</v>
      </c>
      <c r="L3098">
        <v>-39.256619999999998</v>
      </c>
      <c r="M3098">
        <v>0.32677820000000002</v>
      </c>
      <c r="N3098">
        <v>0</v>
      </c>
      <c r="O3098">
        <v>0.94501210000000002</v>
      </c>
      <c r="P3098">
        <v>0.21572540000000001</v>
      </c>
      <c r="Q3098">
        <v>0.1194265</v>
      </c>
      <c r="R3098">
        <v>0.96912319999999996</v>
      </c>
      <c r="S3098">
        <v>8.0154420000000004E-2</v>
      </c>
      <c r="T3098">
        <v>-0.23491690000000001</v>
      </c>
      <c r="U3098">
        <v>3.115021</v>
      </c>
      <c r="V3098">
        <v>-0.1153911</v>
      </c>
      <c r="W3098">
        <v>0.12998390000000001</v>
      </c>
      <c r="X3098">
        <v>0.98477870000000001</v>
      </c>
      <c r="Y3098">
        <v>-0.30242609999999998</v>
      </c>
      <c r="Z3098">
        <v>-6.7250149999999995E-2</v>
      </c>
      <c r="AA3098">
        <v>0.95079749999999996</v>
      </c>
      <c r="AB3098">
        <v>29</v>
      </c>
      <c r="AC3098">
        <v>0.28719999999998402</v>
      </c>
      <c r="AD3098">
        <v>-1.118037638723</v>
      </c>
      <c r="AE3098">
        <v>14.52469</v>
      </c>
      <c r="AF3098">
        <v>-4.4489703329427401</v>
      </c>
      <c r="AG3098">
        <v>-1.118037638723</v>
      </c>
      <c r="AH3098">
        <v>13.739642889799301</v>
      </c>
      <c r="AI3098">
        <v>94.426766419233999</v>
      </c>
      <c r="AJ3098">
        <v>107.94223237139499</v>
      </c>
      <c r="AK3098">
        <v>14.4852038965359</v>
      </c>
      <c r="AL3098">
        <v>82.531338070425207</v>
      </c>
      <c r="AM3098">
        <v>96.6831378587828</v>
      </c>
      <c r="AN3098">
        <v>1.0000000040960499</v>
      </c>
    </row>
    <row r="3099" spans="1:40" x14ac:dyDescent="0.3">
      <c r="A3099" t="str">
        <f>"20200111150914516"</f>
        <v>20200111150914516</v>
      </c>
      <c r="B3099" t="str">
        <f>"1578726554506825"</f>
        <v>1578726554506825</v>
      </c>
      <c r="C3099" t="s">
        <v>40</v>
      </c>
      <c r="D3099">
        <v>5.7331899999999996</v>
      </c>
      <c r="E3099">
        <v>0.4207244</v>
      </c>
      <c r="F3099" t="s">
        <v>43</v>
      </c>
      <c r="G3099">
        <v>-188.8629</v>
      </c>
      <c r="H3099" s="1">
        <v>-2.709075E-6</v>
      </c>
      <c r="I3099">
        <v>-24.522469999999998</v>
      </c>
      <c r="J3099">
        <v>-188.96420000000001</v>
      </c>
      <c r="K3099">
        <v>1.1181099999999999</v>
      </c>
      <c r="L3099">
        <v>-39.005830000000003</v>
      </c>
      <c r="M3099">
        <v>0.3173415</v>
      </c>
      <c r="N3099">
        <v>0</v>
      </c>
      <c r="O3099">
        <v>0.94822229999999996</v>
      </c>
      <c r="P3099">
        <v>0.20526349999999999</v>
      </c>
      <c r="Q3099">
        <v>0.1196667</v>
      </c>
      <c r="R3099">
        <v>0.97136339999999999</v>
      </c>
      <c r="S3099">
        <v>3.7490839999999998E-2</v>
      </c>
      <c r="T3099">
        <v>-0.23647180000000001</v>
      </c>
      <c r="U3099">
        <v>3.1163639999999999</v>
      </c>
      <c r="V3099">
        <v>-0.1162131</v>
      </c>
      <c r="W3099">
        <v>0.1302085</v>
      </c>
      <c r="X3099">
        <v>0.98465230000000004</v>
      </c>
      <c r="Y3099">
        <v>-0.30594470000000001</v>
      </c>
      <c r="Z3099">
        <v>-6.7988720000000002E-2</v>
      </c>
      <c r="AA3099">
        <v>0.94961850000000003</v>
      </c>
      <c r="AB3099">
        <v>29</v>
      </c>
      <c r="AC3099">
        <v>0.10130000000000899</v>
      </c>
      <c r="AD3099">
        <v>-1.118112709075</v>
      </c>
      <c r="AE3099">
        <v>14.4833599999999</v>
      </c>
      <c r="AF3099">
        <v>-4.4738343167660704</v>
      </c>
      <c r="AG3099">
        <v>-1.118112709075</v>
      </c>
      <c r="AH3099">
        <v>13.6851966767469</v>
      </c>
      <c r="AI3099">
        <v>94.440562672206298</v>
      </c>
      <c r="AJ3099">
        <v>108.103111359656</v>
      </c>
      <c r="AK3099">
        <v>14.4412595574387</v>
      </c>
      <c r="AL3099">
        <v>82.518358690538307</v>
      </c>
      <c r="AM3099">
        <v>96.731166691471998</v>
      </c>
      <c r="AN3099">
        <v>0.99999994498957301</v>
      </c>
    </row>
    <row r="3100" spans="1:40" x14ac:dyDescent="0.3">
      <c r="A3100" t="str">
        <f>"20200111150914538"</f>
        <v>20200111150914538</v>
      </c>
      <c r="B3100" t="str">
        <f>"1578726554527320"</f>
        <v>1578726554527320</v>
      </c>
      <c r="C3100" t="s">
        <v>40</v>
      </c>
      <c r="D3100">
        <v>5.5903890000000001</v>
      </c>
      <c r="E3100">
        <v>0.4209292</v>
      </c>
      <c r="F3100" t="s">
        <v>43</v>
      </c>
      <c r="G3100">
        <v>-188.94049999999999</v>
      </c>
      <c r="H3100" s="1">
        <v>-2.8180879999999998E-6</v>
      </c>
      <c r="I3100">
        <v>-24.23629</v>
      </c>
      <c r="J3100">
        <v>-188.88640000000001</v>
      </c>
      <c r="K3100">
        <v>1.118169</v>
      </c>
      <c r="L3100">
        <v>-38.738489999999999</v>
      </c>
      <c r="M3100">
        <v>0.30721979999999999</v>
      </c>
      <c r="N3100">
        <v>0</v>
      </c>
      <c r="O3100">
        <v>0.9515496</v>
      </c>
      <c r="P3100">
        <v>0.193247</v>
      </c>
      <c r="Q3100">
        <v>0.12028229999999999</v>
      </c>
      <c r="R3100">
        <v>0.97374930000000004</v>
      </c>
      <c r="S3100">
        <v>5.020142E-3</v>
      </c>
      <c r="T3100">
        <v>-0.2359281</v>
      </c>
      <c r="U3100">
        <v>3.1164550000000002</v>
      </c>
      <c r="V3100">
        <v>-0.1178965</v>
      </c>
      <c r="W3100">
        <v>0.1307914</v>
      </c>
      <c r="X3100">
        <v>0.98437490000000005</v>
      </c>
      <c r="Y3100">
        <v>-0.30569489999999999</v>
      </c>
      <c r="Z3100">
        <v>-6.8209679999999995E-2</v>
      </c>
      <c r="AA3100">
        <v>0.9496831</v>
      </c>
      <c r="AB3100">
        <v>29</v>
      </c>
      <c r="AC3100">
        <v>-5.4099999999976903E-2</v>
      </c>
      <c r="AD3100">
        <v>-1.118171818088</v>
      </c>
      <c r="AE3100">
        <v>14.5022</v>
      </c>
      <c r="AF3100">
        <v>-4.4805869275968</v>
      </c>
      <c r="AG3100">
        <v>-1.118171818088</v>
      </c>
      <c r="AH3100">
        <v>13.70264862582</v>
      </c>
      <c r="AI3100">
        <v>94.4350634488314</v>
      </c>
      <c r="AJ3100">
        <v>108.107067923031</v>
      </c>
      <c r="AK3100">
        <v>14.4598944253824</v>
      </c>
      <c r="AL3100">
        <v>82.484673016948804</v>
      </c>
      <c r="AM3100">
        <v>96.829662643366206</v>
      </c>
      <c r="AN3100">
        <v>0.99999995938810904</v>
      </c>
    </row>
    <row r="3101" spans="1:40" x14ac:dyDescent="0.3">
      <c r="A3101" t="str">
        <f>"20200111150914560"</f>
        <v>20200111150914560</v>
      </c>
      <c r="B3101" t="str">
        <f>"1578726554557577"</f>
        <v>1578726554557577</v>
      </c>
      <c r="C3101" t="s">
        <v>40</v>
      </c>
      <c r="D3101">
        <v>5.8393230000000003</v>
      </c>
      <c r="E3101">
        <v>0.4214696</v>
      </c>
      <c r="F3101" t="s">
        <v>43</v>
      </c>
      <c r="G3101">
        <v>-189.0248</v>
      </c>
      <c r="H3101" s="1">
        <v>-2.849737E-6</v>
      </c>
      <c r="I3101">
        <v>-24.12764</v>
      </c>
      <c r="J3101">
        <v>-188.81229999999999</v>
      </c>
      <c r="K3101">
        <v>1.1182110000000001</v>
      </c>
      <c r="L3101">
        <v>-38.473970000000001</v>
      </c>
      <c r="M3101">
        <v>0.29716749999999997</v>
      </c>
      <c r="N3101">
        <v>0</v>
      </c>
      <c r="O3101">
        <v>0.95473649999999999</v>
      </c>
      <c r="P3101">
        <v>0.18203369999999999</v>
      </c>
      <c r="Q3101">
        <v>0.1202878</v>
      </c>
      <c r="R3101">
        <v>0.97590699999999997</v>
      </c>
      <c r="S3101">
        <v>-2.9525760000000002E-2</v>
      </c>
      <c r="T3101">
        <v>-0.2384821</v>
      </c>
      <c r="U3101">
        <v>3.1161799999999999</v>
      </c>
      <c r="V3101">
        <v>-0.11885129999999999</v>
      </c>
      <c r="W3101">
        <v>0.13078290000000001</v>
      </c>
      <c r="X3101">
        <v>0.98426130000000001</v>
      </c>
      <c r="Y3101">
        <v>-0.30618069999999997</v>
      </c>
      <c r="Z3101">
        <v>-6.9303859999999995E-2</v>
      </c>
      <c r="AA3101">
        <v>0.94944740000000005</v>
      </c>
      <c r="AB3101">
        <v>28</v>
      </c>
      <c r="AC3101">
        <v>-0.21250000000000499</v>
      </c>
      <c r="AD3101">
        <v>-1.118213849737</v>
      </c>
      <c r="AE3101">
        <v>14.34633</v>
      </c>
      <c r="AF3101">
        <v>-4.4395577582875196</v>
      </c>
      <c r="AG3101">
        <v>-1.118213849737</v>
      </c>
      <c r="AH3101">
        <v>13.552655267302001</v>
      </c>
      <c r="AI3101">
        <v>94.483336232255795</v>
      </c>
      <c r="AJ3101">
        <v>108.137680607316</v>
      </c>
      <c r="AK3101">
        <v>14.3050529568137</v>
      </c>
      <c r="AL3101">
        <v>82.485164954781197</v>
      </c>
      <c r="AM3101">
        <v>96.885231764771703</v>
      </c>
      <c r="AN3101">
        <v>1.0000000525608901</v>
      </c>
    </row>
    <row r="3102" spans="1:40" x14ac:dyDescent="0.3">
      <c r="A3102" t="str">
        <f>"20200111150914625"</f>
        <v>20200111150914625</v>
      </c>
      <c r="B3102" t="str">
        <f>"1578726554617112"</f>
        <v>1578726554617112</v>
      </c>
      <c r="C3102" t="s">
        <v>40</v>
      </c>
      <c r="D3102">
        <v>5.6787599999999996</v>
      </c>
      <c r="E3102">
        <v>0.42191630000000002</v>
      </c>
      <c r="F3102" t="s">
        <v>43</v>
      </c>
      <c r="G3102">
        <v>-189.08850000000001</v>
      </c>
      <c r="H3102" s="1">
        <v>-2.8883969999999999E-6</v>
      </c>
      <c r="I3102">
        <v>-24.01117</v>
      </c>
      <c r="J3102">
        <v>-188.6054</v>
      </c>
      <c r="K3102">
        <v>1.118239</v>
      </c>
      <c r="L3102">
        <v>-37.667180000000002</v>
      </c>
      <c r="M3102">
        <v>0.26651530000000001</v>
      </c>
      <c r="N3102">
        <v>0</v>
      </c>
      <c r="O3102">
        <v>0.96374219999999999</v>
      </c>
      <c r="P3102">
        <v>0.15550910000000001</v>
      </c>
      <c r="Q3102">
        <v>0.11984110000000001</v>
      </c>
      <c r="R3102">
        <v>0.98053809999999997</v>
      </c>
      <c r="S3102">
        <v>-5.9494020000000002E-2</v>
      </c>
      <c r="T3102">
        <v>-0.2408286</v>
      </c>
      <c r="U3102">
        <v>3.1148380000000002</v>
      </c>
      <c r="V3102">
        <v>-0.1140924</v>
      </c>
      <c r="W3102">
        <v>0.13046569999999999</v>
      </c>
      <c r="X3102">
        <v>0.98486629999999997</v>
      </c>
      <c r="Y3102">
        <v>-0.28482819999999998</v>
      </c>
      <c r="Z3102">
        <v>-7.1300749999999996E-2</v>
      </c>
      <c r="AA3102">
        <v>0.95592310000000003</v>
      </c>
      <c r="AB3102">
        <v>28</v>
      </c>
      <c r="AC3102">
        <v>-0.48310000000000702</v>
      </c>
      <c r="AD3102">
        <v>-1.118241888397</v>
      </c>
      <c r="AE3102">
        <v>13.65601</v>
      </c>
      <c r="AF3102">
        <v>-4.0781581525928701</v>
      </c>
      <c r="AG3102">
        <v>-1.118241888397</v>
      </c>
      <c r="AH3102">
        <v>12.946528168350101</v>
      </c>
      <c r="AI3102">
        <v>94.709579263503798</v>
      </c>
      <c r="AJ3102">
        <v>107.48443448788601</v>
      </c>
      <c r="AK3102">
        <v>13.619634005817</v>
      </c>
      <c r="AL3102">
        <v>82.503495855556807</v>
      </c>
      <c r="AM3102">
        <v>96.608007157520106</v>
      </c>
      <c r="AN3102">
        <v>1.0000000017449699</v>
      </c>
    </row>
    <row r="3103" spans="1:40" x14ac:dyDescent="0.3">
      <c r="A3103" t="str">
        <f>"20200111150914650"</f>
        <v>20200111150914650</v>
      </c>
      <c r="B3103" t="str">
        <f>"1578726554647368"</f>
        <v>1578726554647368</v>
      </c>
      <c r="C3103" t="s">
        <v>40</v>
      </c>
      <c r="D3103">
        <v>5.6611710000000004</v>
      </c>
      <c r="E3103">
        <v>0.4226857</v>
      </c>
      <c r="F3103" t="s">
        <v>43</v>
      </c>
      <c r="G3103">
        <v>-189.23820000000001</v>
      </c>
      <c r="H3103" s="1">
        <v>-3.099119E-6</v>
      </c>
      <c r="I3103">
        <v>-23.458100000000002</v>
      </c>
      <c r="J3103">
        <v>-188.53749999999999</v>
      </c>
      <c r="K3103">
        <v>1.1182379999999901</v>
      </c>
      <c r="L3103">
        <v>-37.376339999999999</v>
      </c>
      <c r="M3103">
        <v>0.2554979</v>
      </c>
      <c r="N3103">
        <v>0</v>
      </c>
      <c r="O3103">
        <v>0.96672130000000001</v>
      </c>
      <c r="P3103">
        <v>0.1450408</v>
      </c>
      <c r="Q3103">
        <v>0.12125370000000001</v>
      </c>
      <c r="R3103">
        <v>0.98196779999999995</v>
      </c>
      <c r="S3103">
        <v>-0.138549799999999</v>
      </c>
      <c r="T3103">
        <v>-0.24486849999999999</v>
      </c>
      <c r="U3103">
        <v>3.11145</v>
      </c>
      <c r="V3103">
        <v>-0.1133371</v>
      </c>
      <c r="W3103">
        <v>0.1319014</v>
      </c>
      <c r="X3103">
        <v>0.98476229999999998</v>
      </c>
      <c r="Y3103">
        <v>-0.29813499999999998</v>
      </c>
      <c r="Z3103">
        <v>-7.2725899999999996E-2</v>
      </c>
      <c r="AA3103">
        <v>0.95174910000000001</v>
      </c>
      <c r="AB3103">
        <v>28</v>
      </c>
      <c r="AC3103">
        <v>-0.70070000000001098</v>
      </c>
      <c r="AD3103">
        <v>-1.1182410991189999</v>
      </c>
      <c r="AE3103">
        <v>13.9182399999999</v>
      </c>
      <c r="AF3103">
        <v>-4.2067379684534503</v>
      </c>
      <c r="AG3103">
        <v>-1.1182410991189999</v>
      </c>
      <c r="AH3103">
        <v>13.1922235868706</v>
      </c>
      <c r="AI3103">
        <v>94.617107225970997</v>
      </c>
      <c r="AJ3103">
        <v>107.686448943523</v>
      </c>
      <c r="AK3103">
        <v>13.891791484793099</v>
      </c>
      <c r="AL3103">
        <v>82.4205194561589</v>
      </c>
      <c r="AM3103">
        <v>96.565331995756495</v>
      </c>
      <c r="AN3103">
        <v>1.0000000325298199</v>
      </c>
    </row>
    <row r="3104" spans="1:40" x14ac:dyDescent="0.3">
      <c r="A3104" t="str">
        <f>"20200111150914671"</f>
        <v>20200111150914671</v>
      </c>
      <c r="B3104" t="str">
        <f>"1578726554666888"</f>
        <v>1578726554666888</v>
      </c>
      <c r="C3104" t="s">
        <v>40</v>
      </c>
      <c r="D3104">
        <v>5.6718909999999996</v>
      </c>
      <c r="E3104">
        <v>0.42332740000000002</v>
      </c>
      <c r="F3104" t="s">
        <v>43</v>
      </c>
      <c r="G3104">
        <v>-189.29419999999999</v>
      </c>
      <c r="H3104" s="1">
        <v>-3.249778E-6</v>
      </c>
      <c r="I3104">
        <v>-23.083749999999998</v>
      </c>
      <c r="J3104">
        <v>-188.47819999999999</v>
      </c>
      <c r="K3104">
        <v>1.1182369999999999</v>
      </c>
      <c r="L3104">
        <v>-37.110230000000001</v>
      </c>
      <c r="M3104">
        <v>0.24543119999999999</v>
      </c>
      <c r="N3104">
        <v>0</v>
      </c>
      <c r="O3104">
        <v>0.96932580000000002</v>
      </c>
      <c r="P3104">
        <v>0.13571710000000001</v>
      </c>
      <c r="Q3104">
        <v>0.1231348</v>
      </c>
      <c r="R3104">
        <v>0.983066</v>
      </c>
      <c r="S3104">
        <v>-0.1646271</v>
      </c>
      <c r="T3104">
        <v>-0.24327989999999999</v>
      </c>
      <c r="U3104">
        <v>3.1094360000000001</v>
      </c>
      <c r="V3104">
        <v>-0.1124173</v>
      </c>
      <c r="W3104">
        <v>0.13380639999999999</v>
      </c>
      <c r="X3104">
        <v>0.98461069999999995</v>
      </c>
      <c r="Y3104">
        <v>-0.29620089999999999</v>
      </c>
      <c r="Z3104">
        <v>-7.2615970000000002E-2</v>
      </c>
      <c r="AA3104">
        <v>0.95236120000000002</v>
      </c>
      <c r="AB3104">
        <v>28</v>
      </c>
      <c r="AC3104">
        <v>-0.81600000000000195</v>
      </c>
      <c r="AD3104">
        <v>-1.118240249778</v>
      </c>
      <c r="AE3104">
        <v>14.026479999999999</v>
      </c>
      <c r="AF3104">
        <v>-4.2072175239599003</v>
      </c>
      <c r="AG3104">
        <v>-1.118240249778</v>
      </c>
      <c r="AH3104">
        <v>13.3127742799947</v>
      </c>
      <c r="AI3104">
        <v>94.579221161187306</v>
      </c>
      <c r="AJ3104">
        <v>107.53802646049699</v>
      </c>
      <c r="AK3104">
        <v>14.0064663488057</v>
      </c>
      <c r="AL3104">
        <v>82.310394670945797</v>
      </c>
      <c r="AM3104">
        <v>96.513503999698301</v>
      </c>
      <c r="AN3104">
        <v>1.0000000162873699</v>
      </c>
    </row>
    <row r="3105" spans="1:40" x14ac:dyDescent="0.3">
      <c r="A3105" t="str">
        <f>"20200111150914693"</f>
        <v>20200111150914693</v>
      </c>
      <c r="B3105" t="str">
        <f>"1578726554687384"</f>
        <v>1578726554687384</v>
      </c>
      <c r="C3105" t="s">
        <v>40</v>
      </c>
      <c r="D3105">
        <v>5.5277690000000002</v>
      </c>
      <c r="E3105">
        <v>0.42400749999999998</v>
      </c>
      <c r="F3105" t="s">
        <v>43</v>
      </c>
      <c r="G3105">
        <v>-189.3691</v>
      </c>
      <c r="H3105" s="1">
        <v>-3.50241E-6</v>
      </c>
      <c r="I3105">
        <v>-22.46388</v>
      </c>
      <c r="J3105">
        <v>-188.422</v>
      </c>
      <c r="K3105">
        <v>1.118241</v>
      </c>
      <c r="L3105">
        <v>-36.844700000000003</v>
      </c>
      <c r="M3105">
        <v>0.2354002</v>
      </c>
      <c r="N3105">
        <v>0</v>
      </c>
      <c r="O3105">
        <v>0.97181050000000002</v>
      </c>
      <c r="P3105">
        <v>0.1267057</v>
      </c>
      <c r="Q3105">
        <v>0.123934</v>
      </c>
      <c r="R3105">
        <v>0.98416769999999998</v>
      </c>
      <c r="S3105">
        <v>-0.1890106</v>
      </c>
      <c r="T3105">
        <v>-0.23725460000000001</v>
      </c>
      <c r="U3105">
        <v>3.1074830000000002</v>
      </c>
      <c r="V3105">
        <v>-0.11124970000000001</v>
      </c>
      <c r="W3105">
        <v>0.1346357</v>
      </c>
      <c r="X3105">
        <v>0.98463020000000001</v>
      </c>
      <c r="Y3105">
        <v>-0.29381829999999998</v>
      </c>
      <c r="Z3105">
        <v>-7.1167439999999998E-2</v>
      </c>
      <c r="AA3105">
        <v>0.95320830000000001</v>
      </c>
      <c r="AB3105">
        <v>28</v>
      </c>
      <c r="AC3105">
        <v>-0.94710000000000505</v>
      </c>
      <c r="AD3105">
        <v>-1.1182445024100001</v>
      </c>
      <c r="AE3105">
        <v>14.38082</v>
      </c>
      <c r="AF3105">
        <v>-4.2802491319039699</v>
      </c>
      <c r="AG3105">
        <v>-1.1182445024100001</v>
      </c>
      <c r="AH3105">
        <v>13.6713537458931</v>
      </c>
      <c r="AI3105">
        <v>94.463371047596198</v>
      </c>
      <c r="AJ3105">
        <v>107.384377472677</v>
      </c>
      <c r="AK3105">
        <v>14.369304668065199</v>
      </c>
      <c r="AL3105">
        <v>82.262444884418002</v>
      </c>
      <c r="AM3105">
        <v>96.446298615263601</v>
      </c>
      <c r="AN3105">
        <v>0.99999994910830803</v>
      </c>
    </row>
    <row r="3106" spans="1:40" x14ac:dyDescent="0.3">
      <c r="A3106" t="str">
        <f>"20200111150914715"</f>
        <v>20200111150914715</v>
      </c>
      <c r="B3106" t="str">
        <f>"1578726554706904"</f>
        <v>1578726554706904</v>
      </c>
      <c r="C3106" t="s">
        <v>40</v>
      </c>
      <c r="D3106">
        <v>5.5632910000000004</v>
      </c>
      <c r="E3106">
        <v>0.4246991</v>
      </c>
      <c r="F3106" t="s">
        <v>43</v>
      </c>
      <c r="G3106">
        <v>-189.43389999999999</v>
      </c>
      <c r="H3106" s="1">
        <v>-3.6611419999999999E-6</v>
      </c>
      <c r="I3106">
        <v>-22.067060000000001</v>
      </c>
      <c r="J3106">
        <v>-188.3657</v>
      </c>
      <c r="K3106">
        <v>1.118242</v>
      </c>
      <c r="L3106">
        <v>-36.564239999999998</v>
      </c>
      <c r="M3106">
        <v>0.22481419999999999</v>
      </c>
      <c r="N3106">
        <v>0</v>
      </c>
      <c r="O3106">
        <v>0.97431380000000001</v>
      </c>
      <c r="P3106">
        <v>0.117603</v>
      </c>
      <c r="Q3106">
        <v>0.1243635</v>
      </c>
      <c r="R3106">
        <v>0.98524270000000003</v>
      </c>
      <c r="S3106">
        <v>-0.21263119999999999</v>
      </c>
      <c r="T3106">
        <v>-0.23497660000000001</v>
      </c>
      <c r="U3106">
        <v>3.1052249999999999</v>
      </c>
      <c r="V3106">
        <v>-0.10963199999999999</v>
      </c>
      <c r="W3106">
        <v>0.13510440000000001</v>
      </c>
      <c r="X3106">
        <v>0.9847475</v>
      </c>
      <c r="Y3106">
        <v>-0.29068450000000001</v>
      </c>
      <c r="Z3106">
        <v>-7.084066E-2</v>
      </c>
      <c r="AA3106">
        <v>0.95419290000000001</v>
      </c>
      <c r="AB3106">
        <v>28</v>
      </c>
      <c r="AC3106">
        <v>-1.06819999999999</v>
      </c>
      <c r="AD3106">
        <v>-1.118245661142</v>
      </c>
      <c r="AE3106">
        <v>14.49718</v>
      </c>
      <c r="AF3106">
        <v>-4.2750036751900797</v>
      </c>
      <c r="AG3106">
        <v>-1.118245661142</v>
      </c>
      <c r="AH3106">
        <v>13.804155247700001</v>
      </c>
      <c r="AI3106">
        <v>94.424848730888101</v>
      </c>
      <c r="AJ3106">
        <v>107.20721077017301</v>
      </c>
      <c r="AK3106">
        <v>14.4941654428309</v>
      </c>
      <c r="AL3106">
        <v>82.235343175171295</v>
      </c>
      <c r="AM3106">
        <v>96.352583409263502</v>
      </c>
      <c r="AN3106">
        <v>1.0000000065398</v>
      </c>
    </row>
    <row r="3107" spans="1:40" x14ac:dyDescent="0.3">
      <c r="A3107" t="str">
        <f>"20200111150914738"</f>
        <v>20200111150914738</v>
      </c>
      <c r="B3107" t="str">
        <f>"1578726554727399"</f>
        <v>1578726554727399</v>
      </c>
      <c r="C3107" t="s">
        <v>40</v>
      </c>
      <c r="D3107">
        <v>5.5168799999999996</v>
      </c>
      <c r="E3107">
        <v>0.42551719999999998</v>
      </c>
      <c r="F3107" t="s">
        <v>43</v>
      </c>
      <c r="G3107">
        <v>-189.48929999999999</v>
      </c>
      <c r="H3107" s="1">
        <v>-3.7841060000000001E-6</v>
      </c>
      <c r="I3107">
        <v>-21.75752</v>
      </c>
      <c r="J3107">
        <v>-188.315</v>
      </c>
      <c r="K3107">
        <v>1.118247</v>
      </c>
      <c r="L3107">
        <v>-36.296999999999997</v>
      </c>
      <c r="M3107">
        <v>0.21473800000000001</v>
      </c>
      <c r="N3107">
        <v>0</v>
      </c>
      <c r="O3107">
        <v>0.97658400000000001</v>
      </c>
      <c r="P3107">
        <v>0.10921409999999999</v>
      </c>
      <c r="Q3107">
        <v>0.12478690000000001</v>
      </c>
      <c r="R3107">
        <v>0.98615439999999999</v>
      </c>
      <c r="S3107">
        <v>-0.23544309999999999</v>
      </c>
      <c r="T3107">
        <v>-0.23431959999999999</v>
      </c>
      <c r="U3107">
        <v>3.1026310000000001</v>
      </c>
      <c r="V3107">
        <v>-0.1078326</v>
      </c>
      <c r="W3107">
        <v>0.13556979999999999</v>
      </c>
      <c r="X3107">
        <v>0.98488220000000004</v>
      </c>
      <c r="Y3107">
        <v>-0.28783439999999999</v>
      </c>
      <c r="Z3107">
        <v>-7.0972160000000006E-2</v>
      </c>
      <c r="AA3107">
        <v>0.95504679999999997</v>
      </c>
      <c r="AB3107">
        <v>28</v>
      </c>
      <c r="AC3107">
        <v>-1.1742999999999799</v>
      </c>
      <c r="AD3107">
        <v>-1.1182507841060001</v>
      </c>
      <c r="AE3107">
        <v>14.5394799999999</v>
      </c>
      <c r="AF3107">
        <v>-4.2444026717175003</v>
      </c>
      <c r="AG3107">
        <v>-1.1182507841060001</v>
      </c>
      <c r="AH3107">
        <v>13.8665572996184</v>
      </c>
      <c r="AI3107">
        <v>94.409479782344405</v>
      </c>
      <c r="AJ3107">
        <v>107.018780927865</v>
      </c>
      <c r="AK3107">
        <v>14.544650226094699</v>
      </c>
      <c r="AL3107">
        <v>82.208430010987399</v>
      </c>
      <c r="AM3107">
        <v>96.248301674621104</v>
      </c>
      <c r="AN3107">
        <v>0.99999999408581997</v>
      </c>
    </row>
    <row r="3108" spans="1:40" x14ac:dyDescent="0.3">
      <c r="A3108" t="str">
        <f>"20200111150914759"</f>
        <v>20200111150914759</v>
      </c>
      <c r="B3108" t="str">
        <f>"1578726554757655"</f>
        <v>1578726554757655</v>
      </c>
      <c r="C3108" t="s">
        <v>40</v>
      </c>
      <c r="D3108">
        <v>5.4846190000000004</v>
      </c>
      <c r="E3108">
        <v>0.44690220000000003</v>
      </c>
      <c r="F3108" t="s">
        <v>43</v>
      </c>
      <c r="G3108">
        <v>-189.53280000000001</v>
      </c>
      <c r="H3108" s="1">
        <v>-3.882342E-6</v>
      </c>
      <c r="I3108">
        <v>-21.510549999999999</v>
      </c>
      <c r="J3108">
        <v>-188.267</v>
      </c>
      <c r="K3108">
        <v>1.118247</v>
      </c>
      <c r="L3108">
        <v>-36.029049999999998</v>
      </c>
      <c r="M3108">
        <v>0.2046509</v>
      </c>
      <c r="N3108">
        <v>0</v>
      </c>
      <c r="O3108">
        <v>0.97874749999999999</v>
      </c>
      <c r="P3108">
        <v>0.10103810000000001</v>
      </c>
      <c r="Q3108">
        <v>0.12596869999999999</v>
      </c>
      <c r="R3108">
        <v>0.98687550000000002</v>
      </c>
      <c r="S3108">
        <v>-0.25532529999999998</v>
      </c>
      <c r="T3108">
        <v>-0.23444799999999999</v>
      </c>
      <c r="U3108">
        <v>3.1000670000000001</v>
      </c>
      <c r="V3108">
        <v>-0.10581889999999899</v>
      </c>
      <c r="W3108">
        <v>0.13679749999999999</v>
      </c>
      <c r="X3108">
        <v>0.98493090000000005</v>
      </c>
      <c r="Y3108">
        <v>-0.28409790000000001</v>
      </c>
      <c r="Z3108">
        <v>-7.1337730000000002E-2</v>
      </c>
      <c r="AA3108">
        <v>0.95613769999999998</v>
      </c>
      <c r="AB3108">
        <v>28</v>
      </c>
      <c r="AC3108">
        <v>-1.26580000000001</v>
      </c>
      <c r="AD3108">
        <v>-1.1182508823420001</v>
      </c>
      <c r="AE3108">
        <v>14.5185</v>
      </c>
      <c r="AF3108">
        <v>-4.1858384096248802</v>
      </c>
      <c r="AG3108">
        <v>-1.1182508823420001</v>
      </c>
      <c r="AH3108">
        <v>13.8704287595881</v>
      </c>
      <c r="AI3108">
        <v>94.413519991592906</v>
      </c>
      <c r="AJ3108">
        <v>106.792841224184</v>
      </c>
      <c r="AK3108">
        <v>14.531363397911299</v>
      </c>
      <c r="AL3108">
        <v>82.137426817750296</v>
      </c>
      <c r="AM3108">
        <v>96.132215463573402</v>
      </c>
      <c r="AN3108">
        <v>1.00000003668913</v>
      </c>
    </row>
    <row r="3109" spans="1:40" x14ac:dyDescent="0.3">
      <c r="A3109" t="str">
        <f>"20200111150914783"</f>
        <v>20200111150914783</v>
      </c>
      <c r="B3109" t="str">
        <f>"1578726554777176"</f>
        <v>1578726554777176</v>
      </c>
      <c r="C3109" t="s">
        <v>40</v>
      </c>
      <c r="D3109">
        <v>5.4986959999999998</v>
      </c>
      <c r="E3109">
        <v>0.44644719999999999</v>
      </c>
      <c r="F3109" t="s">
        <v>43</v>
      </c>
      <c r="G3109">
        <v>-188.70910000000001</v>
      </c>
      <c r="H3109" s="1">
        <v>-3.0360900000000002E-6</v>
      </c>
      <c r="I3109">
        <v>-23.823779999999999</v>
      </c>
      <c r="J3109">
        <v>-188.21879999999999</v>
      </c>
      <c r="K3109">
        <v>1.1182299999999901</v>
      </c>
      <c r="L3109">
        <v>-35.741609999999902</v>
      </c>
      <c r="M3109">
        <v>0.19387099999999999</v>
      </c>
      <c r="N3109">
        <v>0</v>
      </c>
      <c r="O3109">
        <v>0.98093969999999997</v>
      </c>
      <c r="P3109">
        <v>9.1801569999999999E-2</v>
      </c>
      <c r="Q3109">
        <v>0.12752230000000001</v>
      </c>
      <c r="R3109">
        <v>0.98757810000000001</v>
      </c>
      <c r="S3109">
        <v>-0.1118469</v>
      </c>
      <c r="T3109">
        <v>-0.28287410000000002</v>
      </c>
      <c r="U3109">
        <v>3.0874630000000001</v>
      </c>
      <c r="V3109">
        <v>-0.10417750000000001</v>
      </c>
      <c r="W3109">
        <v>0.13839009999999999</v>
      </c>
      <c r="X3109">
        <v>0.98488339999999996</v>
      </c>
      <c r="Y3109">
        <v>-0.22912389999999999</v>
      </c>
      <c r="Z3109">
        <v>-8.7398920000000005E-2</v>
      </c>
      <c r="AA3109">
        <v>0.96946569999999999</v>
      </c>
      <c r="AB3109">
        <v>28</v>
      </c>
      <c r="AC3109">
        <v>-0.490300000000019</v>
      </c>
      <c r="AD3109">
        <v>-1.1182330360899999</v>
      </c>
      <c r="AE3109">
        <v>11.917829999999899</v>
      </c>
      <c r="AF3109">
        <v>-2.7673931166180901</v>
      </c>
      <c r="AG3109">
        <v>-1.1182330360899999</v>
      </c>
      <c r="AH3109">
        <v>11.495577373021799</v>
      </c>
      <c r="AI3109">
        <v>95.402578176385305</v>
      </c>
      <c r="AJ3109">
        <v>103.535570425432</v>
      </c>
      <c r="AK3109">
        <v>11.876750773003501</v>
      </c>
      <c r="AL3109">
        <v>82.045301360912205</v>
      </c>
      <c r="AM3109">
        <v>96.0380933187012</v>
      </c>
      <c r="AN3109">
        <v>1.0000000414399</v>
      </c>
    </row>
    <row r="3110" spans="1:40" x14ac:dyDescent="0.3">
      <c r="A3110" t="str">
        <f>"20200111150914803"</f>
        <v>20200111150914803</v>
      </c>
      <c r="B3110" t="str">
        <f>"1578726554797673"</f>
        <v>1578726554797673</v>
      </c>
      <c r="C3110" t="s">
        <v>40</v>
      </c>
      <c r="D3110">
        <v>5.617318</v>
      </c>
      <c r="E3110">
        <v>0.44663120000000001</v>
      </c>
      <c r="F3110" t="s">
        <v>43</v>
      </c>
      <c r="G3110">
        <v>-188.77719999999999</v>
      </c>
      <c r="H3110" s="1">
        <v>-3.0410440000000001E-6</v>
      </c>
      <c r="I3110">
        <v>-23.78407</v>
      </c>
      <c r="J3110">
        <v>-188.17789999999999</v>
      </c>
      <c r="K3110">
        <v>1.11819</v>
      </c>
      <c r="L3110">
        <v>-35.48151</v>
      </c>
      <c r="M3110">
        <v>0.1841681</v>
      </c>
      <c r="N3110">
        <v>0</v>
      </c>
      <c r="O3110">
        <v>0.98280769999999995</v>
      </c>
      <c r="P3110">
        <v>8.3221610000000001E-2</v>
      </c>
      <c r="Q3110">
        <v>0.12864100000000001</v>
      </c>
      <c r="R3110">
        <v>0.98819310000000005</v>
      </c>
      <c r="S3110">
        <v>-0.1442261</v>
      </c>
      <c r="T3110">
        <v>-0.28882150000000001</v>
      </c>
      <c r="U3110">
        <v>3.0884399999999999</v>
      </c>
      <c r="V3110">
        <v>-0.1029772</v>
      </c>
      <c r="W3110">
        <v>0.13953950000000001</v>
      </c>
      <c r="X3110">
        <v>0.98484740000000004</v>
      </c>
      <c r="Y3110">
        <v>-0.22963220000000001</v>
      </c>
      <c r="Z3110">
        <v>-8.9428019999999997E-2</v>
      </c>
      <c r="AA3110">
        <v>0.96916029999999997</v>
      </c>
      <c r="AB3110">
        <v>28</v>
      </c>
      <c r="AC3110">
        <v>-0.59929999999999894</v>
      </c>
      <c r="AD3110">
        <v>-1.118193041044</v>
      </c>
      <c r="AE3110">
        <v>11.69744</v>
      </c>
      <c r="AF3110">
        <v>-2.71874780226916</v>
      </c>
      <c r="AG3110">
        <v>-1.118193041044</v>
      </c>
      <c r="AH3110">
        <v>11.284092293158</v>
      </c>
      <c r="AI3110">
        <v>95.5027710062664</v>
      </c>
      <c r="AJ3110">
        <v>103.546448519793</v>
      </c>
      <c r="AK3110">
        <v>11.6607325743235</v>
      </c>
      <c r="AL3110">
        <v>81.978799925718704</v>
      </c>
      <c r="AM3110">
        <v>95.969246115760797</v>
      </c>
      <c r="AN3110">
        <v>0.99999998853342498</v>
      </c>
    </row>
    <row r="3111" spans="1:40" x14ac:dyDescent="0.3">
      <c r="A3111" t="str">
        <f>"20200111150914827"</f>
        <v>20200111150914827</v>
      </c>
      <c r="B3111" t="str">
        <f>"1578726554817192"</f>
        <v>1578726554817192</v>
      </c>
      <c r="C3111" t="s">
        <v>40</v>
      </c>
      <c r="D3111">
        <v>5.5902510000000003</v>
      </c>
      <c r="E3111">
        <v>0.44702720000000001</v>
      </c>
      <c r="F3111" t="s">
        <v>43</v>
      </c>
      <c r="G3111">
        <v>-188.86410000000001</v>
      </c>
      <c r="H3111" s="1">
        <v>-3.37801E-6</v>
      </c>
      <c r="I3111">
        <v>-22.962669999999999</v>
      </c>
      <c r="J3111">
        <v>-188.13480000000001</v>
      </c>
      <c r="K3111">
        <v>1.118126</v>
      </c>
      <c r="L3111">
        <v>-35.186920000000001</v>
      </c>
      <c r="M3111">
        <v>0.1732503</v>
      </c>
      <c r="N3111">
        <v>0</v>
      </c>
      <c r="O3111">
        <v>0.98479099999999997</v>
      </c>
      <c r="P3111">
        <v>7.2970279999999998E-2</v>
      </c>
      <c r="Q3111">
        <v>0.13089100000000001</v>
      </c>
      <c r="R3111">
        <v>0.98870769999999997</v>
      </c>
      <c r="S3111">
        <v>-0.16914370000000001</v>
      </c>
      <c r="T3111">
        <v>-0.27564129999999998</v>
      </c>
      <c r="U3111">
        <v>3.0859679999999998</v>
      </c>
      <c r="V3111">
        <v>-0.102231</v>
      </c>
      <c r="W3111">
        <v>0.141810299999999</v>
      </c>
      <c r="X3111">
        <v>0.98460080000000005</v>
      </c>
      <c r="Y3111">
        <v>-0.22669259999999999</v>
      </c>
      <c r="Z3111">
        <v>-8.5724990000000001E-2</v>
      </c>
      <c r="AA3111">
        <v>0.9701864</v>
      </c>
      <c r="AB3111">
        <v>28</v>
      </c>
      <c r="AC3111">
        <v>-0.72929999999999495</v>
      </c>
      <c r="AD3111">
        <v>-1.1181293780099999</v>
      </c>
      <c r="AE3111">
        <v>12.2242499999999</v>
      </c>
      <c r="AF3111">
        <v>-2.8128555339975998</v>
      </c>
      <c r="AG3111">
        <v>-1.1181293780099999</v>
      </c>
      <c r="AH3111">
        <v>11.8145041301483</v>
      </c>
      <c r="AI3111">
        <v>95.260220455189994</v>
      </c>
      <c r="AJ3111">
        <v>103.391939493533</v>
      </c>
      <c r="AK3111">
        <v>12.196100909815501</v>
      </c>
      <c r="AL3111">
        <v>81.847386232943094</v>
      </c>
      <c r="AM3111">
        <v>95.927774053743704</v>
      </c>
      <c r="AN3111">
        <v>1.00000003695386</v>
      </c>
    </row>
    <row r="3112" spans="1:40" x14ac:dyDescent="0.3">
      <c r="A3112" t="str">
        <f>"20200111150914863"</f>
        <v>20200111150914863</v>
      </c>
      <c r="B3112" t="str">
        <f>"1578726554857208"</f>
        <v>1578726554857208</v>
      </c>
      <c r="C3112" t="s">
        <v>40</v>
      </c>
      <c r="D3112">
        <v>5.5781640000000001</v>
      </c>
      <c r="E3112">
        <v>0.45214379999999998</v>
      </c>
      <c r="F3112" t="s">
        <v>43</v>
      </c>
      <c r="G3112">
        <v>-188.96340000000001</v>
      </c>
      <c r="H3112" s="1">
        <v>-3.676214E-6</v>
      </c>
      <c r="I3112">
        <v>-22.226500000000001</v>
      </c>
      <c r="J3112">
        <v>-188.0779</v>
      </c>
      <c r="K3112">
        <v>1.117982</v>
      </c>
      <c r="L3112">
        <v>-34.762050000000002</v>
      </c>
      <c r="M3112">
        <v>0.1577269</v>
      </c>
      <c r="N3112">
        <v>0</v>
      </c>
      <c r="O3112">
        <v>0.98739639999999995</v>
      </c>
      <c r="P3112">
        <v>5.4946689999999999E-2</v>
      </c>
      <c r="Q3112">
        <v>0.13222819999999999</v>
      </c>
      <c r="R3112">
        <v>0.9896952</v>
      </c>
      <c r="S3112">
        <v>-0.19717409999999999</v>
      </c>
      <c r="T3112">
        <v>-0.26606869999999999</v>
      </c>
      <c r="U3112">
        <v>3.0840450000000001</v>
      </c>
      <c r="V3112">
        <v>-0.1046236</v>
      </c>
      <c r="W3112">
        <v>0.14311479999999999</v>
      </c>
      <c r="X3112">
        <v>0.98416060000000005</v>
      </c>
      <c r="Y3112">
        <v>-0.22019230000000001</v>
      </c>
      <c r="Z3112">
        <v>-8.3198590000000003E-2</v>
      </c>
      <c r="AA3112">
        <v>0.97190189999999999</v>
      </c>
      <c r="AB3112">
        <v>28</v>
      </c>
      <c r="AC3112">
        <v>-0.88550000000000695</v>
      </c>
      <c r="AD3112">
        <v>-1.1179856762139999</v>
      </c>
      <c r="AE3112">
        <v>12.535550000000001</v>
      </c>
      <c r="AF3112">
        <v>-2.82938300517463</v>
      </c>
      <c r="AG3112">
        <v>-1.1179856762139999</v>
      </c>
      <c r="AH3112">
        <v>12.1428291045544</v>
      </c>
      <c r="AI3112">
        <v>95.123873694504198</v>
      </c>
      <c r="AJ3112">
        <v>103.11637316529399</v>
      </c>
      <c r="AK3112">
        <v>12.5181308039421</v>
      </c>
      <c r="AL3112">
        <v>81.771873491224497</v>
      </c>
      <c r="AM3112">
        <v>96.068177106185402</v>
      </c>
      <c r="AN3112">
        <v>1.0000000151241799</v>
      </c>
    </row>
    <row r="3113" spans="1:40" x14ac:dyDescent="0.3">
      <c r="A3113" t="str">
        <f>"20200111150914882"</f>
        <v>20200111150914882</v>
      </c>
      <c r="B3113" t="str">
        <f>"1578726554877704"</f>
        <v>1578726554877704</v>
      </c>
      <c r="C3113" t="s">
        <v>40</v>
      </c>
      <c r="D3113">
        <v>5.5202799999999996</v>
      </c>
      <c r="E3113">
        <v>0.45319910000000002</v>
      </c>
      <c r="F3113" t="s">
        <v>43</v>
      </c>
      <c r="G3113">
        <v>-189.0231</v>
      </c>
      <c r="H3113" s="1">
        <v>-4.256377E-6</v>
      </c>
      <c r="I3113">
        <v>-20.849440000000001</v>
      </c>
      <c r="J3113">
        <v>-188.04660000000001</v>
      </c>
      <c r="K3113">
        <v>1.1178360000000001</v>
      </c>
      <c r="L3113">
        <v>-34.505159999999997</v>
      </c>
      <c r="M3113">
        <v>0.148564</v>
      </c>
      <c r="N3113">
        <v>0</v>
      </c>
      <c r="O3113">
        <v>0.98881669999999999</v>
      </c>
      <c r="P3113">
        <v>4.454586E-2</v>
      </c>
      <c r="Q3113">
        <v>0.12983349999999999</v>
      </c>
      <c r="R3113">
        <v>0.99053469999999999</v>
      </c>
      <c r="S3113">
        <v>-0.20896909999999999</v>
      </c>
      <c r="T3113">
        <v>-0.24716969999999999</v>
      </c>
      <c r="U3113">
        <v>3.0758670000000001</v>
      </c>
      <c r="V3113">
        <v>-0.1057964</v>
      </c>
      <c r="W3113">
        <v>0.14071610000000001</v>
      </c>
      <c r="X3113">
        <v>0.98438110000000001</v>
      </c>
      <c r="Y3113">
        <v>-0.21505170000000001</v>
      </c>
      <c r="Z3113">
        <v>-7.7738470000000004E-2</v>
      </c>
      <c r="AA3113">
        <v>0.97350369999999997</v>
      </c>
      <c r="AB3113">
        <v>28</v>
      </c>
      <c r="AC3113">
        <v>-0.97649999999998705</v>
      </c>
      <c r="AD3113">
        <v>-1.117840256377</v>
      </c>
      <c r="AE3113">
        <v>13.655720000000001</v>
      </c>
      <c r="AF3113">
        <v>-2.9747508836330798</v>
      </c>
      <c r="AG3113">
        <v>-1.117840256377</v>
      </c>
      <c r="AH3113">
        <v>13.2705966657134</v>
      </c>
      <c r="AI3113">
        <v>94.698841406971994</v>
      </c>
      <c r="AJ3113">
        <v>102.634623189224</v>
      </c>
      <c r="AK3113">
        <v>13.645784899465999</v>
      </c>
      <c r="AL3113">
        <v>81.910714224245893</v>
      </c>
      <c r="AM3113">
        <v>96.134319681056496</v>
      </c>
      <c r="AN3113">
        <v>1.0000000245446801</v>
      </c>
    </row>
    <row r="3114" spans="1:40" x14ac:dyDescent="0.3">
      <c r="A3114" t="str">
        <f>"20200111150914905"</f>
        <v>20200111150914905</v>
      </c>
      <c r="B3114" t="str">
        <f>"1578726554897223"</f>
        <v>1578726554897223</v>
      </c>
      <c r="C3114" t="s">
        <v>40</v>
      </c>
      <c r="D3114">
        <v>5.4554749999999999</v>
      </c>
      <c r="E3114">
        <v>0.45405659999999998</v>
      </c>
      <c r="F3114" t="s">
        <v>43</v>
      </c>
      <c r="G3114">
        <v>-189.00620000000001</v>
      </c>
      <c r="H3114" s="1">
        <v>-3.8682700000000003E-6</v>
      </c>
      <c r="I3114">
        <v>-21.761099999999999</v>
      </c>
      <c r="J3114">
        <v>-188.0154</v>
      </c>
      <c r="K3114">
        <v>1.1176429999999999</v>
      </c>
      <c r="L3114">
        <v>-34.227290000000004</v>
      </c>
      <c r="M3114">
        <v>0.13885919999999999</v>
      </c>
      <c r="N3114">
        <v>0</v>
      </c>
      <c r="O3114">
        <v>0.99022639999999995</v>
      </c>
      <c r="P3114">
        <v>3.4564089999999999E-2</v>
      </c>
      <c r="Q3114">
        <v>0.1252489</v>
      </c>
      <c r="R3114">
        <v>0.99152309999999999</v>
      </c>
      <c r="S3114">
        <v>-0.23149110000000001</v>
      </c>
      <c r="T3114">
        <v>-0.26967259999999998</v>
      </c>
      <c r="U3114">
        <v>3.0744319999999998</v>
      </c>
      <c r="V3114">
        <v>-0.1060017</v>
      </c>
      <c r="W3114">
        <v>0.13615269999999999</v>
      </c>
      <c r="X3114">
        <v>0.9850006</v>
      </c>
      <c r="Y3114">
        <v>-0.2125542</v>
      </c>
      <c r="Z3114">
        <v>-8.4989960000000003E-2</v>
      </c>
      <c r="AA3114">
        <v>0.97344620000000004</v>
      </c>
      <c r="AB3114">
        <v>28</v>
      </c>
      <c r="AC3114">
        <v>-0.99080000000000701</v>
      </c>
      <c r="AD3114">
        <v>-1.11764686827</v>
      </c>
      <c r="AE3114">
        <v>12.466189999999999</v>
      </c>
      <c r="AF3114">
        <v>-2.6908984210072999</v>
      </c>
      <c r="AG3114">
        <v>-1.11764686827</v>
      </c>
      <c r="AH3114">
        <v>12.1110689410242</v>
      </c>
      <c r="AI3114">
        <v>95.147667582079094</v>
      </c>
      <c r="AJ3114">
        <v>102.526777940405</v>
      </c>
      <c r="AK3114">
        <v>12.456647210568899</v>
      </c>
      <c r="AL3114">
        <v>82.174720175234697</v>
      </c>
      <c r="AM3114">
        <v>96.142296477573794</v>
      </c>
      <c r="AN3114">
        <v>1.0000000500602599</v>
      </c>
    </row>
    <row r="3115" spans="1:40" x14ac:dyDescent="0.3">
      <c r="A3115" t="str">
        <f>"20200111150914929"</f>
        <v>20200111150914929</v>
      </c>
      <c r="B3115" t="str">
        <f>"1578726554917720"</f>
        <v>1578726554917720</v>
      </c>
      <c r="C3115" t="s">
        <v>40</v>
      </c>
      <c r="D3115">
        <v>5.4815559999999897</v>
      </c>
      <c r="E3115">
        <v>0.45616479999999998</v>
      </c>
      <c r="F3115" t="s">
        <v>43</v>
      </c>
      <c r="G3115">
        <v>-189.02330000000001</v>
      </c>
      <c r="H3115" s="1">
        <v>-3.717019E-6</v>
      </c>
      <c r="I3115">
        <v>-22.106590000000001</v>
      </c>
      <c r="J3115">
        <v>-187.9846</v>
      </c>
      <c r="K3115">
        <v>1.1174010000000001</v>
      </c>
      <c r="L3115">
        <v>-33.929049999999997</v>
      </c>
      <c r="M3115">
        <v>0.12878049999999999</v>
      </c>
      <c r="N3115">
        <v>0</v>
      </c>
      <c r="O3115">
        <v>0.99158789999999997</v>
      </c>
      <c r="P3115">
        <v>2.3365070000000002E-2</v>
      </c>
      <c r="Q3115">
        <v>0.1211146</v>
      </c>
      <c r="R3115">
        <v>0.99236349999999995</v>
      </c>
      <c r="S3115">
        <v>-0.25531009999999998</v>
      </c>
      <c r="T3115">
        <v>-0.28311259999999999</v>
      </c>
      <c r="U3115">
        <v>3.0703130000000001</v>
      </c>
      <c r="V3115">
        <v>-0.1070252</v>
      </c>
      <c r="W3115">
        <v>0.13203319999999999</v>
      </c>
      <c r="X3115">
        <v>0.98545059999999995</v>
      </c>
      <c r="Y3115">
        <v>-0.21018529999999999</v>
      </c>
      <c r="Z3115">
        <v>-8.9492950000000002E-2</v>
      </c>
      <c r="AA3115">
        <v>0.97355689999999995</v>
      </c>
      <c r="AB3115">
        <v>28</v>
      </c>
      <c r="AC3115">
        <v>-1.0387</v>
      </c>
      <c r="AD3115">
        <v>-1.117404717019</v>
      </c>
      <c r="AE3115">
        <v>11.8224599999999</v>
      </c>
      <c r="AF3115">
        <v>-2.5302503946511798</v>
      </c>
      <c r="AG3115">
        <v>-1.117404717019</v>
      </c>
      <c r="AH3115">
        <v>11.4883820295715</v>
      </c>
      <c r="AI3115">
        <v>95.426095187504998</v>
      </c>
      <c r="AJ3115">
        <v>102.420767751659</v>
      </c>
      <c r="AK3115">
        <v>11.816669666984399</v>
      </c>
      <c r="AL3115">
        <v>82.412901165397301</v>
      </c>
      <c r="AM3115">
        <v>96.198333912893204</v>
      </c>
      <c r="AN3115">
        <v>1.0000000221888099</v>
      </c>
    </row>
    <row r="3116" spans="1:40" x14ac:dyDescent="0.3">
      <c r="A3116" t="str">
        <f>"20200111150914949"</f>
        <v>20200111150914949</v>
      </c>
      <c r="B3116" t="str">
        <f>"1578726554946999"</f>
        <v>1578726554946999</v>
      </c>
      <c r="C3116" t="s">
        <v>40</v>
      </c>
      <c r="D3116">
        <v>5.455355</v>
      </c>
      <c r="E3116">
        <v>0.45840760000000003</v>
      </c>
      <c r="F3116" t="s">
        <v>43</v>
      </c>
      <c r="G3116">
        <v>-188.95070000000001</v>
      </c>
      <c r="H3116" s="1">
        <v>-3.3468880000000002E-6</v>
      </c>
      <c r="I3116">
        <v>-22.999389999999998</v>
      </c>
      <c r="J3116">
        <v>-187.9597</v>
      </c>
      <c r="K3116">
        <v>1.117146</v>
      </c>
      <c r="L3116">
        <v>-33.666260000000001</v>
      </c>
      <c r="M3116">
        <v>0.120245699999999</v>
      </c>
      <c r="N3116">
        <v>0</v>
      </c>
      <c r="O3116">
        <v>0.99265950000000003</v>
      </c>
      <c r="P3116">
        <v>1.404794E-2</v>
      </c>
      <c r="Q3116">
        <v>0.11745220000000001</v>
      </c>
      <c r="R3116">
        <v>0.99297919999999995</v>
      </c>
      <c r="S3116">
        <v>-0.27116390000000001</v>
      </c>
      <c r="T3116">
        <v>-0.31363419999999997</v>
      </c>
      <c r="U3116">
        <v>3.0677490000000001</v>
      </c>
      <c r="V3116">
        <v>-0.1077105</v>
      </c>
      <c r="W3116">
        <v>0.12839429999999999</v>
      </c>
      <c r="X3116">
        <v>0.98585670000000003</v>
      </c>
      <c r="Y3116">
        <v>-0.2067531</v>
      </c>
      <c r="Z3116">
        <v>-9.9306870000000005E-2</v>
      </c>
      <c r="AA3116">
        <v>0.97334030000000005</v>
      </c>
      <c r="AB3116">
        <v>28</v>
      </c>
      <c r="AC3116">
        <v>-0.99100000000001398</v>
      </c>
      <c r="AD3116">
        <v>-1.117149346888</v>
      </c>
      <c r="AE3116">
        <v>10.666869999999999</v>
      </c>
      <c r="AF3116">
        <v>-2.2421783663158301</v>
      </c>
      <c r="AG3116">
        <v>-1.117149346888</v>
      </c>
      <c r="AH3116">
        <v>10.3576503372741</v>
      </c>
      <c r="AI3116">
        <v>96.017650643215404</v>
      </c>
      <c r="AJ3116">
        <v>102.214664737183</v>
      </c>
      <c r="AK3116">
        <v>10.6562801670593</v>
      </c>
      <c r="AL3116">
        <v>82.623185402109499</v>
      </c>
      <c r="AM3116">
        <v>96.235161753885706</v>
      </c>
      <c r="AN3116">
        <v>1.0000000405088101</v>
      </c>
    </row>
    <row r="3117" spans="1:40" x14ac:dyDescent="0.3">
      <c r="A3117" t="str">
        <f>"20200111150914994"</f>
        <v>20200111150914994</v>
      </c>
      <c r="B3117" t="str">
        <f>"1578726554987015"</f>
        <v>1578726554987015</v>
      </c>
      <c r="C3117" t="s">
        <v>40</v>
      </c>
      <c r="D3117">
        <v>6.9463839999999903</v>
      </c>
      <c r="E3117">
        <v>0.4680667</v>
      </c>
      <c r="F3117" t="s">
        <v>43</v>
      </c>
      <c r="G3117">
        <v>-188.94139999999999</v>
      </c>
      <c r="H3117" s="1">
        <v>-3.3826980000000002E-6</v>
      </c>
      <c r="I3117">
        <v>-22.919779999999999</v>
      </c>
      <c r="J3117">
        <v>-187.91200000000001</v>
      </c>
      <c r="K3117">
        <v>1.1165149999999999</v>
      </c>
      <c r="L3117">
        <v>-33.100099999999998</v>
      </c>
      <c r="M3117">
        <v>0.1031624</v>
      </c>
      <c r="N3117">
        <v>0</v>
      </c>
      <c r="O3117">
        <v>0.9945811</v>
      </c>
      <c r="P3117">
        <v>3.761122E-3</v>
      </c>
      <c r="Q3117">
        <v>0.118355</v>
      </c>
      <c r="R3117">
        <v>0.99296419999999996</v>
      </c>
      <c r="S3117">
        <v>-0.2798004</v>
      </c>
      <c r="T3117">
        <v>-0.31839709999999899</v>
      </c>
      <c r="U3117">
        <v>3.0628359999999999</v>
      </c>
      <c r="V3117">
        <v>-0.1007589</v>
      </c>
      <c r="W3117">
        <v>0.1294998</v>
      </c>
      <c r="X3117">
        <v>0.98644690000000002</v>
      </c>
      <c r="Y3117">
        <v>-0.1927557</v>
      </c>
      <c r="Z3117">
        <v>-0.1013907</v>
      </c>
      <c r="AA3117">
        <v>0.97599449999999999</v>
      </c>
      <c r="AB3117">
        <v>28</v>
      </c>
      <c r="AC3117">
        <v>-1.0293999999999801</v>
      </c>
      <c r="AD3117">
        <v>-1.1165183826980001</v>
      </c>
      <c r="AE3117">
        <v>10.180319999999901</v>
      </c>
      <c r="AF3117">
        <v>-2.0498136575664998</v>
      </c>
      <c r="AG3117">
        <v>-1.1165183826980001</v>
      </c>
      <c r="AH3117">
        <v>9.9018912126647898</v>
      </c>
      <c r="AI3117">
        <v>96.300904199203302</v>
      </c>
      <c r="AJ3117">
        <v>101.69573081116999</v>
      </c>
      <c r="AK3117">
        <v>10.1732885006322</v>
      </c>
      <c r="AL3117">
        <v>82.559311514836907</v>
      </c>
      <c r="AM3117">
        <v>95.832150947789302</v>
      </c>
      <c r="AN3117">
        <v>1.0000000203244299</v>
      </c>
    </row>
    <row r="3118" spans="1:40" x14ac:dyDescent="0.3">
      <c r="A3118" t="str">
        <f>"20200111150915063"</f>
        <v>20200111150915063</v>
      </c>
      <c r="B3118" t="str">
        <f>"1578726555057288"</f>
        <v>1578726555057288</v>
      </c>
      <c r="C3118" t="s">
        <v>40</v>
      </c>
      <c r="D3118">
        <v>7.3914679999999997</v>
      </c>
      <c r="E3118">
        <v>0.46567310000000001</v>
      </c>
      <c r="F3118" t="s">
        <v>48</v>
      </c>
      <c r="G3118">
        <v>-224.0744</v>
      </c>
      <c r="H3118">
        <v>130.22989999999999</v>
      </c>
      <c r="I3118">
        <v>391.87</v>
      </c>
      <c r="J3118">
        <v>-187.8544</v>
      </c>
      <c r="K3118">
        <v>1.115489</v>
      </c>
      <c r="L3118">
        <v>-32.255099999999999</v>
      </c>
      <c r="M3118">
        <v>8.1445710000000004E-2</v>
      </c>
      <c r="N3118">
        <v>0</v>
      </c>
      <c r="O3118">
        <v>0.99659600000000004</v>
      </c>
      <c r="P3118">
        <v>-8.3665359999999904E-3</v>
      </c>
      <c r="Q3118">
        <v>0.12912219999999999</v>
      </c>
      <c r="R3118">
        <v>0.99159339999999996</v>
      </c>
      <c r="S3118">
        <v>-0.24818419999999999</v>
      </c>
      <c r="T3118">
        <v>0.88611319999999905</v>
      </c>
      <c r="U3118">
        <v>2.916595</v>
      </c>
      <c r="V3118">
        <v>-9.095404E-2</v>
      </c>
      <c r="W3118">
        <v>0.1405428</v>
      </c>
      <c r="X3118">
        <v>0.98588790000000004</v>
      </c>
      <c r="Y3118">
        <v>-0.1620646</v>
      </c>
      <c r="Z3118">
        <v>0.28685090000000002</v>
      </c>
      <c r="AA3118">
        <v>0.94416719999999998</v>
      </c>
      <c r="AB3118">
        <v>28</v>
      </c>
      <c r="AC3118">
        <v>-36.22</v>
      </c>
      <c r="AD3118">
        <v>129.11441099999999</v>
      </c>
      <c r="AE3118">
        <v>424.12509999999997</v>
      </c>
      <c r="AF3118">
        <v>-64.693581431683995</v>
      </c>
      <c r="AG3118">
        <v>129.11441099999999</v>
      </c>
      <c r="AH3118">
        <v>384.399429788882</v>
      </c>
      <c r="AI3118">
        <v>71.673686724103803</v>
      </c>
      <c r="AJ3118">
        <v>99.553229721512494</v>
      </c>
      <c r="AK3118">
        <v>410.63208864913702</v>
      </c>
      <c r="AL3118">
        <v>81.920742509130804</v>
      </c>
      <c r="AM3118">
        <v>95.270957250237601</v>
      </c>
      <c r="AN3118">
        <v>0.99999993369528295</v>
      </c>
    </row>
    <row r="3119" spans="1:40" x14ac:dyDescent="0.3">
      <c r="A3119" t="str">
        <f>"20200111150915084"</f>
        <v>20200111150915084</v>
      </c>
      <c r="B3119" t="str">
        <f>"1578726555077785"</f>
        <v>1578726555077785</v>
      </c>
      <c r="C3119" t="s">
        <v>40</v>
      </c>
      <c r="D3119">
        <v>6.0191480000000004</v>
      </c>
      <c r="E3119">
        <v>0.46298250000000002</v>
      </c>
      <c r="F3119" t="s">
        <v>48</v>
      </c>
      <c r="G3119">
        <v>-231.92250000000001</v>
      </c>
      <c r="H3119">
        <v>141.8939</v>
      </c>
      <c r="I3119">
        <v>391.00349999999997</v>
      </c>
      <c r="J3119">
        <v>-187.83850000000001</v>
      </c>
      <c r="K3119">
        <v>1.115137</v>
      </c>
      <c r="L3119">
        <v>-31.977689999999999</v>
      </c>
      <c r="M3119">
        <v>7.5325719999999999E-2</v>
      </c>
      <c r="N3119">
        <v>0</v>
      </c>
      <c r="O3119">
        <v>0.99707769999999996</v>
      </c>
      <c r="P3119">
        <v>-1.475657E-2</v>
      </c>
      <c r="Q3119">
        <v>0.129939</v>
      </c>
      <c r="R3119">
        <v>0.99141219999999997</v>
      </c>
      <c r="S3119">
        <v>-0.3016663</v>
      </c>
      <c r="T3119">
        <v>0.96369300000000002</v>
      </c>
      <c r="U3119">
        <v>2.8974000000000002</v>
      </c>
      <c r="V3119">
        <v>-9.1136999999999996E-2</v>
      </c>
      <c r="W3119">
        <v>0.1413963</v>
      </c>
      <c r="X3119">
        <v>0.98574899999999999</v>
      </c>
      <c r="Y3119">
        <v>-0.1730032</v>
      </c>
      <c r="Z3119">
        <v>0.3111158</v>
      </c>
      <c r="AA3119">
        <v>0.93449280000000001</v>
      </c>
      <c r="AB3119">
        <v>28</v>
      </c>
      <c r="AC3119">
        <v>-44.083999999999897</v>
      </c>
      <c r="AD3119">
        <v>140.778763</v>
      </c>
      <c r="AE3119">
        <v>422.98119000000003</v>
      </c>
      <c r="AF3119">
        <v>-68.334440058705198</v>
      </c>
      <c r="AG3119">
        <v>140.778763</v>
      </c>
      <c r="AH3119">
        <v>377.13145718980502</v>
      </c>
      <c r="AI3119">
        <v>69.8313459971002</v>
      </c>
      <c r="AJ3119">
        <v>100.27029511971401</v>
      </c>
      <c r="AK3119">
        <v>408.30918653889302</v>
      </c>
      <c r="AL3119">
        <v>81.871347660818202</v>
      </c>
      <c r="AM3119">
        <v>95.282240221459503</v>
      </c>
      <c r="AN3119">
        <v>0.99999997871184398</v>
      </c>
    </row>
    <row r="3120" spans="1:40" x14ac:dyDescent="0.3">
      <c r="A3120" t="str">
        <f>"20200111150915107"</f>
        <v>20200111150915107</v>
      </c>
      <c r="B3120" t="str">
        <f>"1578726555097303"</f>
        <v>1578726555097303</v>
      </c>
      <c r="C3120" t="s">
        <v>40</v>
      </c>
      <c r="D3120">
        <v>6.901713</v>
      </c>
      <c r="E3120">
        <v>0.4702807</v>
      </c>
      <c r="F3120" t="s">
        <v>110</v>
      </c>
      <c r="G3120">
        <v>-242.15</v>
      </c>
      <c r="H3120">
        <v>143.64089999999999</v>
      </c>
      <c r="I3120">
        <v>429.98680000000002</v>
      </c>
      <c r="J3120">
        <v>-187.82329999999999</v>
      </c>
      <c r="K3120">
        <v>1.114833</v>
      </c>
      <c r="L3120">
        <v>-31.68967</v>
      </c>
      <c r="M3120">
        <v>6.9375969999999995E-2</v>
      </c>
      <c r="N3120">
        <v>0</v>
      </c>
      <c r="O3120">
        <v>0.9975098</v>
      </c>
      <c r="P3120">
        <v>-2.250338E-2</v>
      </c>
      <c r="Q3120">
        <v>0.13161900000000001</v>
      </c>
      <c r="R3120">
        <v>0.99104490000000001</v>
      </c>
      <c r="S3120">
        <v>-0.3413544</v>
      </c>
      <c r="T3120">
        <v>0.89579209999999998</v>
      </c>
      <c r="U3120">
        <v>2.9035030000000002</v>
      </c>
      <c r="V3120">
        <v>-9.2855569999999998E-2</v>
      </c>
      <c r="W3120">
        <v>0.14308699999999999</v>
      </c>
      <c r="X3120">
        <v>0.98534460000000001</v>
      </c>
      <c r="Y3120">
        <v>-0.18031639999999999</v>
      </c>
      <c r="Z3120">
        <v>0.29040280000000002</v>
      </c>
      <c r="AA3120">
        <v>0.93976179999999998</v>
      </c>
      <c r="AB3120">
        <v>28</v>
      </c>
      <c r="AC3120">
        <v>-54.326700000000002</v>
      </c>
      <c r="AD3120">
        <v>142.52606699999899</v>
      </c>
      <c r="AE3120">
        <v>461.67646999999999</v>
      </c>
      <c r="AF3120">
        <v>-78.8184620291849</v>
      </c>
      <c r="AG3120">
        <v>142.52606699999899</v>
      </c>
      <c r="AH3120">
        <v>417.54431651258699</v>
      </c>
      <c r="AI3120">
        <v>71.457522813617203</v>
      </c>
      <c r="AJ3120">
        <v>100.689750764819</v>
      </c>
      <c r="AK3120">
        <v>448.18443299951701</v>
      </c>
      <c r="AL3120">
        <v>81.773482864872506</v>
      </c>
      <c r="AM3120">
        <v>95.383463609549395</v>
      </c>
      <c r="AN3120">
        <v>1.0000000135990901</v>
      </c>
    </row>
    <row r="3121" spans="1:40" x14ac:dyDescent="0.3">
      <c r="A3121" t="str">
        <f>"20200111150915129"</f>
        <v>20200111150915129</v>
      </c>
      <c r="B3121" t="str">
        <f>"1578726555117799"</f>
        <v>1578726555117799</v>
      </c>
      <c r="C3121" t="s">
        <v>40</v>
      </c>
      <c r="D3121">
        <v>5.426774</v>
      </c>
      <c r="E3121">
        <v>0.4748136</v>
      </c>
      <c r="F3121" t="s">
        <v>48</v>
      </c>
      <c r="G3121">
        <v>-232.5712</v>
      </c>
      <c r="H3121">
        <v>131.3091</v>
      </c>
      <c r="I3121">
        <v>391.00349999999997</v>
      </c>
      <c r="J3121">
        <v>-187.81</v>
      </c>
      <c r="K3121">
        <v>1.114573</v>
      </c>
      <c r="L3121">
        <v>-31.41452</v>
      </c>
      <c r="M3121">
        <v>6.4058840000000006E-2</v>
      </c>
      <c r="N3121">
        <v>0</v>
      </c>
      <c r="O3121">
        <v>0.99786569999999997</v>
      </c>
      <c r="P3121">
        <v>-2.8310709999999999E-2</v>
      </c>
      <c r="Q3121">
        <v>0.13291620000000001</v>
      </c>
      <c r="R3121">
        <v>0.99072280000000001</v>
      </c>
      <c r="S3121">
        <v>-0.30715940000000003</v>
      </c>
      <c r="T3121">
        <v>0.89368189999999903</v>
      </c>
      <c r="U3121">
        <v>2.901459</v>
      </c>
      <c r="V3121">
        <v>-9.3286190000000005E-2</v>
      </c>
      <c r="W3121">
        <v>0.14440729999999999</v>
      </c>
      <c r="X3121">
        <v>0.98511130000000002</v>
      </c>
      <c r="Y3121">
        <v>-0.16419029999999901</v>
      </c>
      <c r="Z3121">
        <v>0.29070889999999999</v>
      </c>
      <c r="AA3121">
        <v>0.94261859999999997</v>
      </c>
      <c r="AB3121">
        <v>28</v>
      </c>
      <c r="AC3121">
        <v>-44.761200000000002</v>
      </c>
      <c r="AD3121">
        <v>130.19452699999999</v>
      </c>
      <c r="AE3121">
        <v>422.41802000000001</v>
      </c>
      <c r="AF3121">
        <v>-65.571256854858603</v>
      </c>
      <c r="AG3121">
        <v>130.19452699999999</v>
      </c>
      <c r="AH3121">
        <v>382.72907317913399</v>
      </c>
      <c r="AI3121">
        <v>71.464267246601693</v>
      </c>
      <c r="AJ3121">
        <v>99.721842513615599</v>
      </c>
      <c r="AK3121">
        <v>409.55066602660798</v>
      </c>
      <c r="AL3121">
        <v>81.697041470959107</v>
      </c>
      <c r="AM3121">
        <v>95.409555086083003</v>
      </c>
      <c r="AN3121">
        <v>1.00000002746284</v>
      </c>
    </row>
    <row r="3122" spans="1:40" x14ac:dyDescent="0.3">
      <c r="A3122" t="str">
        <f>"20200111150915151"</f>
        <v>20200111150915151</v>
      </c>
      <c r="B3122" t="str">
        <f>"1578726555147080"</f>
        <v>1578726555147080</v>
      </c>
      <c r="C3122" t="s">
        <v>40</v>
      </c>
      <c r="D3122">
        <v>5.1576380000000004</v>
      </c>
      <c r="E3122">
        <v>0.47385060000000001</v>
      </c>
      <c r="F3122" t="s">
        <v>48</v>
      </c>
      <c r="G3122">
        <v>-229.80699999999999</v>
      </c>
      <c r="H3122">
        <v>128.30690000000001</v>
      </c>
      <c r="I3122">
        <v>391.87</v>
      </c>
      <c r="J3122">
        <v>-187.79750000000001</v>
      </c>
      <c r="K3122">
        <v>1.114303</v>
      </c>
      <c r="L3122">
        <v>-31.129149999999999</v>
      </c>
      <c r="M3122">
        <v>5.8924530000000003E-2</v>
      </c>
      <c r="N3122">
        <v>0</v>
      </c>
      <c r="O3122">
        <v>0.99818249999999997</v>
      </c>
      <c r="P3122">
        <v>-3.2543599999999999E-2</v>
      </c>
      <c r="Q3122">
        <v>0.1323077</v>
      </c>
      <c r="R3122">
        <v>0.99067430000000001</v>
      </c>
      <c r="S3122">
        <v>-0.28800959999999998</v>
      </c>
      <c r="T3122">
        <v>0.87226870000000001</v>
      </c>
      <c r="U3122">
        <v>2.9028320000000001</v>
      </c>
      <c r="V3122">
        <v>-9.2327099999999995E-2</v>
      </c>
      <c r="W3122">
        <v>0.143842</v>
      </c>
      <c r="X3122">
        <v>0.9852843</v>
      </c>
      <c r="Y3122">
        <v>-0.15309339999999999</v>
      </c>
      <c r="Z3122">
        <v>0.28468259999999901</v>
      </c>
      <c r="AA3122">
        <v>0.94631829999999995</v>
      </c>
      <c r="AB3122">
        <v>28</v>
      </c>
      <c r="AC3122">
        <v>-42.009500000000003</v>
      </c>
      <c r="AD3122">
        <v>127.192596999999</v>
      </c>
      <c r="AE3122">
        <v>422.99914999999999</v>
      </c>
      <c r="AF3122">
        <v>-61.368973778864401</v>
      </c>
      <c r="AG3122">
        <v>127.192596999999</v>
      </c>
      <c r="AH3122">
        <v>385.29217287609799</v>
      </c>
      <c r="AI3122">
        <v>71.943495701481993</v>
      </c>
      <c r="AJ3122">
        <v>99.049996442601497</v>
      </c>
      <c r="AK3122">
        <v>410.35858240551102</v>
      </c>
      <c r="AL3122">
        <v>81.729772132137498</v>
      </c>
      <c r="AM3122">
        <v>95.353328829415204</v>
      </c>
      <c r="AN3122">
        <v>0.99999998309244897</v>
      </c>
    </row>
    <row r="3123" spans="1:40" x14ac:dyDescent="0.3">
      <c r="A3123" t="str">
        <f>"20200111150915174"</f>
        <v>20200111150915174</v>
      </c>
      <c r="B3123" t="str">
        <f>"1578726555167576"</f>
        <v>1578726555167576</v>
      </c>
      <c r="C3123" t="s">
        <v>40</v>
      </c>
      <c r="D3123">
        <v>5.1520089999999996</v>
      </c>
      <c r="E3123">
        <v>0.47305429999999998</v>
      </c>
      <c r="F3123" t="s">
        <v>48</v>
      </c>
      <c r="G3123">
        <v>-232.41550000000001</v>
      </c>
      <c r="H3123">
        <v>120.92149999999999</v>
      </c>
      <c r="I3123">
        <v>391.00349999999997</v>
      </c>
      <c r="J3123">
        <v>-187.7861</v>
      </c>
      <c r="K3123">
        <v>1.1140209999999999</v>
      </c>
      <c r="L3123">
        <v>-30.84686</v>
      </c>
      <c r="M3123">
        <v>5.4219249999999997E-2</v>
      </c>
      <c r="N3123">
        <v>0</v>
      </c>
      <c r="O3123">
        <v>0.99844949999999999</v>
      </c>
      <c r="P3123">
        <v>-3.5816279999999999E-2</v>
      </c>
      <c r="Q3123">
        <v>0.13139329999999999</v>
      </c>
      <c r="R3123">
        <v>0.99068310000000004</v>
      </c>
      <c r="S3123">
        <v>-0.30735780000000001</v>
      </c>
      <c r="T3123">
        <v>0.82531129999999997</v>
      </c>
      <c r="U3123">
        <v>2.9079280000000001</v>
      </c>
      <c r="V3123">
        <v>-9.0833659999999997E-2</v>
      </c>
      <c r="W3123">
        <v>0.14297750000000001</v>
      </c>
      <c r="X3123">
        <v>0.98554889999999995</v>
      </c>
      <c r="Y3123">
        <v>-0.15495439999999999</v>
      </c>
      <c r="Z3123">
        <v>0.27007569999999997</v>
      </c>
      <c r="AA3123">
        <v>0.95028849999999998</v>
      </c>
      <c r="AB3123">
        <v>28</v>
      </c>
      <c r="AC3123">
        <v>-44.629399999999997</v>
      </c>
      <c r="AD3123">
        <v>119.807479</v>
      </c>
      <c r="AE3123">
        <v>421.85036000000002</v>
      </c>
      <c r="AF3123">
        <v>-62.456102981097501</v>
      </c>
      <c r="AG3123">
        <v>119.807479</v>
      </c>
      <c r="AH3123">
        <v>387.87091089247599</v>
      </c>
      <c r="AI3123">
        <v>73.040563207137197</v>
      </c>
      <c r="AJ3123">
        <v>99.147413314529302</v>
      </c>
      <c r="AK3123">
        <v>410.72915691545398</v>
      </c>
      <c r="AL3123">
        <v>81.7798216260977</v>
      </c>
      <c r="AM3123">
        <v>95.265820712060801</v>
      </c>
      <c r="AN3123">
        <v>0.99999997679322705</v>
      </c>
    </row>
    <row r="3124" spans="1:40" x14ac:dyDescent="0.3">
      <c r="A3124" t="str">
        <f>"20200111150915195"</f>
        <v>20200111150915195</v>
      </c>
      <c r="B3124" t="str">
        <f>"1578726555187095"</f>
        <v>1578726555187095</v>
      </c>
      <c r="C3124" t="s">
        <v>40</v>
      </c>
      <c r="D3124">
        <v>8.3012379999999997</v>
      </c>
      <c r="E3124">
        <v>0.47585759999999999</v>
      </c>
      <c r="F3124" t="s">
        <v>49</v>
      </c>
      <c r="G3124">
        <v>0</v>
      </c>
      <c r="H3124">
        <v>0</v>
      </c>
      <c r="I3124">
        <v>0</v>
      </c>
      <c r="J3124">
        <v>-187.77610000000001</v>
      </c>
      <c r="K3124">
        <v>1.1137280000000001</v>
      </c>
      <c r="L3124">
        <v>-30.574310000000001</v>
      </c>
      <c r="M3124">
        <v>5.0034700000000001E-2</v>
      </c>
      <c r="N3124">
        <v>0</v>
      </c>
      <c r="O3124">
        <v>0.99866829999999995</v>
      </c>
      <c r="P3124">
        <v>-3.816779E-2</v>
      </c>
      <c r="Q3124">
        <v>0.13355300000000001</v>
      </c>
      <c r="R3124">
        <v>0.99030640000000003</v>
      </c>
      <c r="S3124">
        <v>-0.32337949999999999</v>
      </c>
      <c r="T3124">
        <v>0.8023846</v>
      </c>
      <c r="U3124">
        <v>2.9100950000000001</v>
      </c>
      <c r="V3124">
        <v>-8.8940290000000005E-2</v>
      </c>
      <c r="W3124">
        <v>0.14518719999999999</v>
      </c>
      <c r="X3124">
        <v>0.98539849999999996</v>
      </c>
      <c r="Y3124">
        <v>-0.15613550000000001</v>
      </c>
      <c r="Z3124">
        <v>0.26291690000000001</v>
      </c>
      <c r="AA3124">
        <v>0.95210110000000003</v>
      </c>
      <c r="AB3124">
        <v>28</v>
      </c>
      <c r="AC3124">
        <v>-0.32337949999999999</v>
      </c>
      <c r="AD3124">
        <v>0.8023846</v>
      </c>
      <c r="AE3124">
        <v>2.9100950000000001</v>
      </c>
      <c r="AF3124">
        <v>-0.43585999633419498</v>
      </c>
      <c r="AG3124">
        <v>0.8023846</v>
      </c>
      <c r="AH3124">
        <v>2.6883795689815799</v>
      </c>
      <c r="AI3124">
        <v>73.584125241231007</v>
      </c>
      <c r="AJ3124">
        <v>99.209085975609298</v>
      </c>
      <c r="AK3124">
        <v>2.8392216696903398</v>
      </c>
      <c r="AL3124">
        <v>81.651879914577904</v>
      </c>
      <c r="AM3124">
        <v>95.157438840661101</v>
      </c>
      <c r="AN3124">
        <v>0.99999995101568495</v>
      </c>
    </row>
    <row r="3125" spans="1:40" x14ac:dyDescent="0.3">
      <c r="A3125" t="str">
        <f>"20200111150915218"</f>
        <v>20200111150915218</v>
      </c>
      <c r="B3125" t="str">
        <f>"1578726555207594"</f>
        <v>1578726555207594</v>
      </c>
      <c r="C3125" t="s">
        <v>40</v>
      </c>
      <c r="D3125">
        <v>5.339073</v>
      </c>
      <c r="E3125">
        <v>0.47564410000000001</v>
      </c>
      <c r="F3125" t="s">
        <v>48</v>
      </c>
      <c r="G3125">
        <v>-232.4751</v>
      </c>
      <c r="H3125">
        <v>119.2291</v>
      </c>
      <c r="I3125">
        <v>391.00349999999997</v>
      </c>
      <c r="J3125">
        <v>-187.7664</v>
      </c>
      <c r="K3125">
        <v>1.1134059999999999</v>
      </c>
      <c r="L3125">
        <v>-30.29279</v>
      </c>
      <c r="M3125">
        <v>4.6104850000000003E-2</v>
      </c>
      <c r="N3125">
        <v>0</v>
      </c>
      <c r="O3125">
        <v>0.99885789999999997</v>
      </c>
      <c r="P3125">
        <v>-3.850278E-2</v>
      </c>
      <c r="Q3125">
        <v>0.13702800000000001</v>
      </c>
      <c r="R3125">
        <v>0.98981859999999999</v>
      </c>
      <c r="S3125">
        <v>-0.30828860000000002</v>
      </c>
      <c r="T3125">
        <v>0.81464159999999997</v>
      </c>
      <c r="U3125">
        <v>2.9076230000000001</v>
      </c>
      <c r="V3125">
        <v>-8.5277679999999995E-2</v>
      </c>
      <c r="W3125">
        <v>0.1487308</v>
      </c>
      <c r="X3125">
        <v>0.98519380000000001</v>
      </c>
      <c r="Y3125">
        <v>-0.14732889999999901</v>
      </c>
      <c r="Z3125">
        <v>0.26718190000000003</v>
      </c>
      <c r="AA3125">
        <v>0.95231719999999997</v>
      </c>
      <c r="AB3125">
        <v>28</v>
      </c>
      <c r="AC3125">
        <v>-44.708699999999901</v>
      </c>
      <c r="AD3125">
        <v>118.115693999999</v>
      </c>
      <c r="AE3125">
        <v>421.29629</v>
      </c>
      <c r="AF3125">
        <v>-59.464439508324602</v>
      </c>
      <c r="AG3125">
        <v>118.115693999999</v>
      </c>
      <c r="AH3125">
        <v>388.58306225660101</v>
      </c>
      <c r="AI3125">
        <v>73.276194150761896</v>
      </c>
      <c r="AJ3125">
        <v>98.700414254971903</v>
      </c>
      <c r="AK3125">
        <v>410.46818757104398</v>
      </c>
      <c r="AL3125">
        <v>81.446618086235702</v>
      </c>
      <c r="AM3125">
        <v>94.947151297334798</v>
      </c>
      <c r="AN3125">
        <v>0.99999997856663003</v>
      </c>
    </row>
    <row r="3126" spans="1:40" x14ac:dyDescent="0.3">
      <c r="A3126" t="str">
        <f>"20200111150915241"</f>
        <v>20200111150915241</v>
      </c>
      <c r="B3126" t="str">
        <f>"1578726555236873"</f>
        <v>1578726555236873</v>
      </c>
      <c r="C3126" t="s">
        <v>40</v>
      </c>
      <c r="D3126">
        <v>5.2632919999999999</v>
      </c>
      <c r="E3126">
        <v>0.50672910000000004</v>
      </c>
      <c r="F3126" t="s">
        <v>48</v>
      </c>
      <c r="G3126">
        <v>-232.8468</v>
      </c>
      <c r="H3126">
        <v>121.78570000000001</v>
      </c>
      <c r="I3126">
        <v>391.00349999999997</v>
      </c>
      <c r="J3126">
        <v>-187.75720000000001</v>
      </c>
      <c r="K3126">
        <v>1.113049</v>
      </c>
      <c r="L3126">
        <v>-30.004090000000001</v>
      </c>
      <c r="M3126">
        <v>4.2541299999999997E-2</v>
      </c>
      <c r="N3126">
        <v>0</v>
      </c>
      <c r="O3126">
        <v>0.99901629999999997</v>
      </c>
      <c r="P3126">
        <v>-3.6628599999999997E-2</v>
      </c>
      <c r="Q3126">
        <v>0.139032399999999</v>
      </c>
      <c r="R3126">
        <v>0.9896102</v>
      </c>
      <c r="S3126">
        <v>-0.31069950000000002</v>
      </c>
      <c r="T3126">
        <v>0.83168779999999998</v>
      </c>
      <c r="U3126">
        <v>2.9036249999999999</v>
      </c>
      <c r="V3126">
        <v>-7.9756770000000005E-2</v>
      </c>
      <c r="W3126">
        <v>0.15082119999999999</v>
      </c>
      <c r="X3126">
        <v>0.98533839999999995</v>
      </c>
      <c r="Y3126">
        <v>-0.14455460000000001</v>
      </c>
      <c r="Z3126">
        <v>0.27281090000000002</v>
      </c>
      <c r="AA3126">
        <v>0.95114580000000004</v>
      </c>
      <c r="AB3126">
        <v>28</v>
      </c>
      <c r="AC3126">
        <v>-45.089599999999898</v>
      </c>
      <c r="AD3126">
        <v>120.672651</v>
      </c>
      <c r="AE3126">
        <v>421.00758999999999</v>
      </c>
      <c r="AF3126">
        <v>-58.230656853672201</v>
      </c>
      <c r="AG3126">
        <v>120.672651</v>
      </c>
      <c r="AH3126">
        <v>387.253750095258</v>
      </c>
      <c r="AI3126">
        <v>72.873470355577396</v>
      </c>
      <c r="AJ3126">
        <v>98.551397665169901</v>
      </c>
      <c r="AK3126">
        <v>409.778190073384</v>
      </c>
      <c r="AL3126">
        <v>81.325480446971994</v>
      </c>
      <c r="AM3126">
        <v>94.627633812704701</v>
      </c>
      <c r="AN3126">
        <v>0.999999969622415</v>
      </c>
    </row>
    <row r="3127" spans="1:40" x14ac:dyDescent="0.3">
      <c r="A3127" t="str">
        <f>"20200111150915263"</f>
        <v>20200111150915263</v>
      </c>
      <c r="B3127" t="str">
        <f>"1578726555257368"</f>
        <v>1578726555257368</v>
      </c>
      <c r="C3127" t="s">
        <v>40</v>
      </c>
      <c r="D3127">
        <v>5.3062670000000001</v>
      </c>
      <c r="E3127">
        <v>0.48171259999999999</v>
      </c>
      <c r="F3127" t="s">
        <v>43</v>
      </c>
      <c r="G3127">
        <v>-188.13050000000001</v>
      </c>
      <c r="H3127" s="1">
        <v>-7.7115539999999896E-7</v>
      </c>
      <c r="I3127">
        <v>-9.547523</v>
      </c>
      <c r="J3127">
        <v>-187.74870000000001</v>
      </c>
      <c r="K3127">
        <v>1.1126959999999999</v>
      </c>
      <c r="L3127">
        <v>-29.722079999999998</v>
      </c>
      <c r="M3127">
        <v>3.9527989999999999E-2</v>
      </c>
      <c r="N3127">
        <v>0</v>
      </c>
      <c r="O3127">
        <v>0.99914040000000004</v>
      </c>
      <c r="P3127">
        <v>-3.4430849999999999E-2</v>
      </c>
      <c r="Q3127">
        <v>0.13939860000000001</v>
      </c>
      <c r="R3127">
        <v>0.98963760000000001</v>
      </c>
      <c r="S3127">
        <v>-5.5709839999999997E-2</v>
      </c>
      <c r="T3127">
        <v>-0.1661021</v>
      </c>
      <c r="U3127">
        <v>3.052765</v>
      </c>
      <c r="V3127">
        <v>-7.445396E-2</v>
      </c>
      <c r="W3127">
        <v>0.1512667</v>
      </c>
      <c r="X3127">
        <v>0.98568509999999998</v>
      </c>
      <c r="Y3127">
        <v>-5.7729259999999998E-2</v>
      </c>
      <c r="Z3127">
        <v>-5.4216529999999999E-2</v>
      </c>
      <c r="AA3127">
        <v>0.99685900000000005</v>
      </c>
      <c r="AB3127">
        <v>28</v>
      </c>
      <c r="AC3127">
        <v>-0.38179999999999797</v>
      </c>
      <c r="AD3127">
        <v>-1.1126967711554001</v>
      </c>
      <c r="AE3127">
        <v>20.174557</v>
      </c>
      <c r="AF3127">
        <v>-1.1754491345384499</v>
      </c>
      <c r="AG3127">
        <v>-1.1126967711554001</v>
      </c>
      <c r="AH3127">
        <v>20.082626853550799</v>
      </c>
      <c r="AI3127">
        <v>93.165876749231899</v>
      </c>
      <c r="AJ3127">
        <v>93.3497372913356</v>
      </c>
      <c r="AK3127">
        <v>20.147746179446099</v>
      </c>
      <c r="AL3127">
        <v>81.299659732912801</v>
      </c>
      <c r="AM3127">
        <v>94.319647530472906</v>
      </c>
      <c r="AN3127">
        <v>1.00000006152528</v>
      </c>
    </row>
    <row r="3128" spans="1:40" x14ac:dyDescent="0.3">
      <c r="A3128" t="str">
        <f>"20200111150915285"</f>
        <v>20200111150915285</v>
      </c>
      <c r="B3128" t="str">
        <f>"1578726555276887"</f>
        <v>1578726555276887</v>
      </c>
      <c r="C3128" t="s">
        <v>40</v>
      </c>
      <c r="D3128">
        <v>5.2590190000000003</v>
      </c>
      <c r="E3128">
        <v>0.51004300000000002</v>
      </c>
      <c r="F3128" t="s">
        <v>48</v>
      </c>
      <c r="G3128">
        <v>-223.23249999999999</v>
      </c>
      <c r="H3128">
        <v>65.320759999999893</v>
      </c>
      <c r="I3128">
        <v>391.87</v>
      </c>
      <c r="J3128">
        <v>-187.74080000000001</v>
      </c>
      <c r="K3128">
        <v>1.1123940000000001</v>
      </c>
      <c r="L3128">
        <v>-29.44379</v>
      </c>
      <c r="M3128">
        <v>3.6916589999999999E-2</v>
      </c>
      <c r="N3128">
        <v>0</v>
      </c>
      <c r="O3128">
        <v>0.99924060000000003</v>
      </c>
      <c r="P3128">
        <v>-3.3688019999999999E-2</v>
      </c>
      <c r="Q3128">
        <v>0.1399917</v>
      </c>
      <c r="R3128">
        <v>0.9895794</v>
      </c>
      <c r="S3128">
        <v>-0.24906919999999999</v>
      </c>
      <c r="T3128">
        <v>0.45069219999999999</v>
      </c>
      <c r="U3128">
        <v>2.9592589999999999</v>
      </c>
      <c r="V3128">
        <v>-7.1015780000000001E-2</v>
      </c>
      <c r="W3128">
        <v>0.1519124</v>
      </c>
      <c r="X3128">
        <v>0.98583940000000003</v>
      </c>
      <c r="Y3128">
        <v>-0.1196556</v>
      </c>
      <c r="Z3128">
        <v>0.14960870000000001</v>
      </c>
      <c r="AA3128">
        <v>0.98147830000000003</v>
      </c>
      <c r="AB3128">
        <v>28</v>
      </c>
      <c r="AC3128">
        <v>-35.491699999999902</v>
      </c>
      <c r="AD3128">
        <v>64.208365999999998</v>
      </c>
      <c r="AE3128">
        <v>421.31378999999998</v>
      </c>
      <c r="AF3128">
        <v>-49.872021589432002</v>
      </c>
      <c r="AG3128">
        <v>64.208365999999998</v>
      </c>
      <c r="AH3128">
        <v>410.25484165349098</v>
      </c>
      <c r="AI3128">
        <v>81.168860671774297</v>
      </c>
      <c r="AJ3128">
        <v>96.931068278860394</v>
      </c>
      <c r="AK3128">
        <v>418.23315017097599</v>
      </c>
      <c r="AL3128">
        <v>81.262230507049594</v>
      </c>
      <c r="AM3128">
        <v>94.120233208717494</v>
      </c>
      <c r="AN3128">
        <v>0.99999997043756295</v>
      </c>
    </row>
    <row r="3129" spans="1:40" x14ac:dyDescent="0.3">
      <c r="A3129" t="str">
        <f>"20200111150915308"</f>
        <v>20200111150915308</v>
      </c>
      <c r="B3129" t="str">
        <f>"1578726555297384"</f>
        <v>1578726555297384</v>
      </c>
      <c r="C3129" t="s">
        <v>40</v>
      </c>
      <c r="D3129">
        <v>5.2231370000000004</v>
      </c>
      <c r="E3129">
        <v>0.50948570000000004</v>
      </c>
      <c r="F3129" t="s">
        <v>43</v>
      </c>
      <c r="G3129">
        <v>-187.9418</v>
      </c>
      <c r="H3129" s="1">
        <v>-9.7859370000000006E-7</v>
      </c>
      <c r="I3129">
        <v>0.91443649999999999</v>
      </c>
      <c r="J3129">
        <v>-187.7329</v>
      </c>
      <c r="K3129">
        <v>1.112115</v>
      </c>
      <c r="L3129">
        <v>-29.159120000000001</v>
      </c>
      <c r="M3129">
        <v>3.4644920000000003E-2</v>
      </c>
      <c r="N3129">
        <v>0</v>
      </c>
      <c r="O3129">
        <v>0.99932220000000005</v>
      </c>
      <c r="P3129">
        <v>-3.3335179999999999E-2</v>
      </c>
      <c r="Q3129">
        <v>0.1413169</v>
      </c>
      <c r="R3129">
        <v>0.98940300000000003</v>
      </c>
      <c r="S3129">
        <v>-2.0172120000000002E-2</v>
      </c>
      <c r="T3129">
        <v>-0.1116378</v>
      </c>
      <c r="U3129">
        <v>3.0466920000000002</v>
      </c>
      <c r="V3129">
        <v>-6.8308789999999994E-2</v>
      </c>
      <c r="W3129">
        <v>0.1532772</v>
      </c>
      <c r="X3129">
        <v>0.98581949999999996</v>
      </c>
      <c r="Y3129">
        <v>-4.1259270000000001E-2</v>
      </c>
      <c r="Z3129">
        <v>-3.6568780000000002E-2</v>
      </c>
      <c r="AA3129">
        <v>0.99847909999999995</v>
      </c>
      <c r="AB3129">
        <v>28</v>
      </c>
      <c r="AC3129">
        <v>-0.208899999999999</v>
      </c>
      <c r="AD3129">
        <v>-1.1121159785937</v>
      </c>
      <c r="AE3129">
        <v>30.073556499999999</v>
      </c>
      <c r="AF3129">
        <v>-1.24904322541595</v>
      </c>
      <c r="AG3129">
        <v>-1.1121159785937</v>
      </c>
      <c r="AH3129">
        <v>30.007228986164701</v>
      </c>
      <c r="AI3129">
        <v>92.120667256947698</v>
      </c>
      <c r="AJ3129">
        <v>92.383546198608101</v>
      </c>
      <c r="AK3129">
        <v>30.053796804346099</v>
      </c>
      <c r="AL3129">
        <v>81.1831071917739</v>
      </c>
      <c r="AM3129">
        <v>93.963767784769104</v>
      </c>
      <c r="AN3129">
        <v>1.00000003870567</v>
      </c>
    </row>
    <row r="3130" spans="1:40" x14ac:dyDescent="0.3">
      <c r="A3130" t="str">
        <f>"20200111150915821"</f>
        <v>20200111150915821</v>
      </c>
      <c r="B3130" t="str">
        <f>"1578726555817608"</f>
        <v>1578726555817608</v>
      </c>
      <c r="C3130" t="s">
        <v>40</v>
      </c>
      <c r="D3130">
        <v>4.8078139999999996</v>
      </c>
      <c r="E3130">
        <v>0.50488509999999998</v>
      </c>
      <c r="F3130" t="s">
        <v>43</v>
      </c>
      <c r="G3130">
        <v>-187.90979999999999</v>
      </c>
      <c r="H3130" s="1">
        <v>-2.2345470000000002E-6</v>
      </c>
      <c r="I3130">
        <v>-6.0227009999999996</v>
      </c>
      <c r="J3130">
        <v>-187.44229999999999</v>
      </c>
      <c r="K3130">
        <v>1.1092580000000001</v>
      </c>
      <c r="L3130">
        <v>-22.65814</v>
      </c>
      <c r="M3130">
        <v>5.922036E-2</v>
      </c>
      <c r="N3130">
        <v>0</v>
      </c>
      <c r="O3130">
        <v>0.99816939999999998</v>
      </c>
      <c r="P3130">
        <v>-1.0413449999999999E-2</v>
      </c>
      <c r="Q3130">
        <v>0.135166799999999</v>
      </c>
      <c r="R3130">
        <v>0.99076810000000004</v>
      </c>
      <c r="S3130">
        <v>-2.3330690000000001E-2</v>
      </c>
      <c r="T3130">
        <v>-0.14671779999999901</v>
      </c>
      <c r="U3130">
        <v>3.0523069999999999</v>
      </c>
      <c r="V3130">
        <v>-6.873514E-2</v>
      </c>
      <c r="W3130">
        <v>0.1474509</v>
      </c>
      <c r="X3130">
        <v>0.9866781</v>
      </c>
      <c r="Y3130">
        <v>-6.6844249999999994E-2</v>
      </c>
      <c r="Z3130">
        <v>-4.7831619999999998E-2</v>
      </c>
      <c r="AA3130">
        <v>0.99661619999999995</v>
      </c>
      <c r="AB3130">
        <v>28</v>
      </c>
      <c r="AC3130">
        <v>-0.46750000000000103</v>
      </c>
      <c r="AD3130">
        <v>-1.109260234547</v>
      </c>
      <c r="AE3130">
        <v>16.635438999999899</v>
      </c>
      <c r="AF3130">
        <v>-1.4454883603915401</v>
      </c>
      <c r="AG3130">
        <v>-1.109260234547</v>
      </c>
      <c r="AH3130">
        <v>16.505221513720201</v>
      </c>
      <c r="AI3130">
        <v>93.830257387178904</v>
      </c>
      <c r="AJ3130">
        <v>95.005059255693794</v>
      </c>
      <c r="AK3130">
        <v>16.605488011044599</v>
      </c>
      <c r="AL3130">
        <v>81.520768576324699</v>
      </c>
      <c r="AM3130">
        <v>93.984968569249304</v>
      </c>
      <c r="AN3130">
        <v>0.99999998020061898</v>
      </c>
    </row>
    <row r="3131" spans="1:40" x14ac:dyDescent="0.3">
      <c r="A3131" t="str">
        <f>"20200111150915865"</f>
        <v>20200111150915865</v>
      </c>
      <c r="B3131" t="str">
        <f>"1578726555857624"</f>
        <v>1578726555857624</v>
      </c>
      <c r="C3131" t="s">
        <v>40</v>
      </c>
      <c r="D3131">
        <v>5.6402150000000004</v>
      </c>
      <c r="E3131">
        <v>0.43646679999999999</v>
      </c>
      <c r="F3131" t="s">
        <v>48</v>
      </c>
      <c r="G3131">
        <v>-186.11689999999999</v>
      </c>
      <c r="H3131">
        <v>27.810770000000002</v>
      </c>
      <c r="I3131">
        <v>391.87</v>
      </c>
      <c r="J3131">
        <v>-187.40629999999999</v>
      </c>
      <c r="K3131">
        <v>1.1094550000000001</v>
      </c>
      <c r="L3131">
        <v>-22.09442</v>
      </c>
      <c r="M3131">
        <v>6.113474E-2</v>
      </c>
      <c r="N3131">
        <v>0</v>
      </c>
      <c r="O3131">
        <v>0.99805410000000006</v>
      </c>
      <c r="P3131">
        <v>-9.7114130000000003E-3</v>
      </c>
      <c r="Q3131">
        <v>0.13827539999999999</v>
      </c>
      <c r="R3131">
        <v>0.99034619999999995</v>
      </c>
      <c r="S3131">
        <v>9.5977779999999995E-3</v>
      </c>
      <c r="T3131">
        <v>0.19335079999999999</v>
      </c>
      <c r="U3131">
        <v>3.0016780000000001</v>
      </c>
      <c r="V3131">
        <v>-6.9964199999999893E-2</v>
      </c>
      <c r="W3131">
        <v>0.15051909999999999</v>
      </c>
      <c r="X3131">
        <v>0.98612829999999996</v>
      </c>
      <c r="Y3131">
        <v>-5.7954029999999997E-2</v>
      </c>
      <c r="Z3131">
        <v>6.4046580000000006E-2</v>
      </c>
      <c r="AA3131">
        <v>0.99626269999999995</v>
      </c>
      <c r="AB3131">
        <v>28</v>
      </c>
      <c r="AC3131">
        <v>1.2894000000000001</v>
      </c>
      <c r="AD3131">
        <v>26.701315000000001</v>
      </c>
      <c r="AE3131">
        <v>413.96442000000002</v>
      </c>
      <c r="AF3131">
        <v>-23.922995454458199</v>
      </c>
      <c r="AG3131">
        <v>26.701315000000001</v>
      </c>
      <c r="AH3131">
        <v>411.55658531111402</v>
      </c>
      <c r="AI3131">
        <v>86.294156705384196</v>
      </c>
      <c r="AJ3131">
        <v>93.326750321590893</v>
      </c>
      <c r="AK3131">
        <v>413.11510847122003</v>
      </c>
      <c r="AL3131">
        <v>81.342989703846101</v>
      </c>
      <c r="AM3131">
        <v>94.058242255593498</v>
      </c>
      <c r="AN3131">
        <v>1.00000000640367</v>
      </c>
    </row>
    <row r="3132" spans="1:40" x14ac:dyDescent="0.3">
      <c r="A3132" t="str">
        <f>"20200111150915888"</f>
        <v>20200111150915888</v>
      </c>
      <c r="B3132" t="str">
        <f>"1578726555877144"</f>
        <v>1578726555877144</v>
      </c>
      <c r="C3132" t="s">
        <v>40</v>
      </c>
      <c r="D3132">
        <v>5.1701560000000004</v>
      </c>
      <c r="E3132">
        <v>0.41870079999999998</v>
      </c>
      <c r="F3132" t="s">
        <v>78</v>
      </c>
      <c r="G3132">
        <v>-210.92660000000001</v>
      </c>
      <c r="H3132">
        <v>4.8064119999999999</v>
      </c>
      <c r="I3132">
        <v>110.8562</v>
      </c>
      <c r="J3132">
        <v>-187.38679999999999</v>
      </c>
      <c r="K3132">
        <v>1.109523</v>
      </c>
      <c r="L3132">
        <v>-21.79373</v>
      </c>
      <c r="M3132">
        <v>6.2019240000000003E-2</v>
      </c>
      <c r="N3132">
        <v>0</v>
      </c>
      <c r="O3132">
        <v>0.99799950000000004</v>
      </c>
      <c r="P3132">
        <v>-9.1158569999999998E-3</v>
      </c>
      <c r="Q3132">
        <v>0.13952139999999999</v>
      </c>
      <c r="R3132">
        <v>0.99017710000000003</v>
      </c>
      <c r="S3132">
        <v>-0.53291319999999998</v>
      </c>
      <c r="T3132">
        <v>8.3764430000000001E-2</v>
      </c>
      <c r="U3132">
        <v>3.0123289999999998</v>
      </c>
      <c r="V3132">
        <v>-7.0255059999999994E-2</v>
      </c>
      <c r="W3132">
        <v>0.15174979999999999</v>
      </c>
      <c r="X3132">
        <v>0.98591899999999999</v>
      </c>
      <c r="Y3132">
        <v>-0.23488129999999999</v>
      </c>
      <c r="Z3132">
        <v>2.7116830000000001E-2</v>
      </c>
      <c r="AA3132">
        <v>0.9716458</v>
      </c>
      <c r="AB3132">
        <v>28</v>
      </c>
      <c r="AC3132">
        <v>-23.5398</v>
      </c>
      <c r="AD3132">
        <v>3.6968890000000001</v>
      </c>
      <c r="AE3132">
        <v>132.64993000000001</v>
      </c>
      <c r="AF3132">
        <v>-31.698076862579001</v>
      </c>
      <c r="AG3132">
        <v>3.6968890000000001</v>
      </c>
      <c r="AH3132">
        <v>130.835984737888</v>
      </c>
      <c r="AI3132">
        <v>88.426970080274103</v>
      </c>
      <c r="AJ3132">
        <v>103.61883084544201</v>
      </c>
      <c r="AK3132">
        <v>134.67178608527101</v>
      </c>
      <c r="AL3132">
        <v>81.271656556026599</v>
      </c>
      <c r="AM3132">
        <v>94.075918914890593</v>
      </c>
      <c r="AN3132">
        <v>1.0000000249083201</v>
      </c>
    </row>
    <row r="3133" spans="1:40" x14ac:dyDescent="0.3">
      <c r="A3133" t="str">
        <f>"20200111150915923"</f>
        <v>20200111150915923</v>
      </c>
      <c r="B3133" t="str">
        <f>"1578726555917160"</f>
        <v>1578726555917160</v>
      </c>
      <c r="C3133" t="s">
        <v>40</v>
      </c>
      <c r="D3133">
        <v>4.7863720000000001</v>
      </c>
      <c r="E3133">
        <v>0.4788521</v>
      </c>
      <c r="F3133" t="s">
        <v>52</v>
      </c>
      <c r="G3133">
        <v>-211.22749999999999</v>
      </c>
      <c r="H3133">
        <v>5.525398</v>
      </c>
      <c r="I3133">
        <v>84.664900000000003</v>
      </c>
      <c r="J3133">
        <v>-187.35929999999999</v>
      </c>
      <c r="K3133">
        <v>1.109591</v>
      </c>
      <c r="L3133">
        <v>-21.37454</v>
      </c>
      <c r="M3133">
        <v>6.3132999999999995E-2</v>
      </c>
      <c r="N3133">
        <v>0</v>
      </c>
      <c r="O3133">
        <v>0.99792979999999998</v>
      </c>
      <c r="P3133">
        <v>-8.3820630000000004E-3</v>
      </c>
      <c r="Q3133">
        <v>0.14033209999999999</v>
      </c>
      <c r="R3133">
        <v>0.99006899999999998</v>
      </c>
      <c r="S3133">
        <v>-0.67317199999999999</v>
      </c>
      <c r="T3133">
        <v>0.1246879</v>
      </c>
      <c r="U3133">
        <v>3.0059809999999998</v>
      </c>
      <c r="V3133">
        <v>-7.0641199999999904E-2</v>
      </c>
      <c r="W3133">
        <v>0.15254529999999999</v>
      </c>
      <c r="X3133">
        <v>0.98576859999999999</v>
      </c>
      <c r="Y3133">
        <v>-0.27953080000000002</v>
      </c>
      <c r="Z3133">
        <v>3.9999300000000002E-2</v>
      </c>
      <c r="AA3133">
        <v>0.95930320000000002</v>
      </c>
      <c r="AB3133">
        <v>28</v>
      </c>
      <c r="AC3133">
        <v>-23.868200000000002</v>
      </c>
      <c r="AD3133">
        <v>4.415807</v>
      </c>
      <c r="AE3133">
        <v>106.039439999999</v>
      </c>
      <c r="AF3133">
        <v>-30.465386166257701</v>
      </c>
      <c r="AG3133">
        <v>4.415807</v>
      </c>
      <c r="AH3133">
        <v>104.148987944347</v>
      </c>
      <c r="AI3133">
        <v>87.669710328511599</v>
      </c>
      <c r="AJ3133">
        <v>106.30511383968199</v>
      </c>
      <c r="AK3133">
        <v>108.603180411773</v>
      </c>
      <c r="AL3133">
        <v>81.225540568076994</v>
      </c>
      <c r="AM3133">
        <v>94.098868239478094</v>
      </c>
      <c r="AN3133">
        <v>0.99999999021774499</v>
      </c>
    </row>
    <row r="3134" spans="1:40" x14ac:dyDescent="0.3">
      <c r="A3134" t="str">
        <f>"20200111150915944"</f>
        <v>20200111150915944</v>
      </c>
      <c r="B3134" t="str">
        <f>"1578726555937656"</f>
        <v>1578726555937656</v>
      </c>
      <c r="C3134" t="s">
        <v>40</v>
      </c>
      <c r="D3134">
        <v>5.1475210000000002</v>
      </c>
      <c r="E3134">
        <v>0.47539880000000001</v>
      </c>
      <c r="F3134" t="s">
        <v>48</v>
      </c>
      <c r="G3134">
        <v>-213.43199999999999</v>
      </c>
      <c r="H3134">
        <v>9.5724699999999991</v>
      </c>
      <c r="I3134">
        <v>391.87</v>
      </c>
      <c r="J3134">
        <v>-187.34100000000001</v>
      </c>
      <c r="K3134">
        <v>1.1096269999999999</v>
      </c>
      <c r="L3134">
        <v>-21.097719999999999</v>
      </c>
      <c r="M3134">
        <v>6.3816059999999994E-2</v>
      </c>
      <c r="N3134">
        <v>0</v>
      </c>
      <c r="O3134">
        <v>0.9978863</v>
      </c>
      <c r="P3134">
        <v>-8.1893190000000005E-3</v>
      </c>
      <c r="Q3134">
        <v>0.13951259999999999</v>
      </c>
      <c r="R3134">
        <v>0.99018649999999997</v>
      </c>
      <c r="S3134">
        <v>-0.1905212</v>
      </c>
      <c r="T3134">
        <v>6.1841010000000002E-2</v>
      </c>
      <c r="U3134">
        <v>3.019714</v>
      </c>
      <c r="V3134">
        <v>-7.1147189999999999E-2</v>
      </c>
      <c r="W3134">
        <v>0.1517191</v>
      </c>
      <c r="X3134">
        <v>0.98585970000000001</v>
      </c>
      <c r="Y3134">
        <v>-0.1265201</v>
      </c>
      <c r="Z3134">
        <v>2.03097E-2</v>
      </c>
      <c r="AA3134">
        <v>0.99175610000000003</v>
      </c>
      <c r="AB3134">
        <v>28</v>
      </c>
      <c r="AC3134">
        <v>-26.091000000000001</v>
      </c>
      <c r="AD3134">
        <v>8.4628429999999994</v>
      </c>
      <c r="AE3134">
        <v>412.96771999999999</v>
      </c>
      <c r="AF3134">
        <v>-52.371859269297502</v>
      </c>
      <c r="AG3134">
        <v>8.4628429999999994</v>
      </c>
      <c r="AH3134">
        <v>410.28906492645899</v>
      </c>
      <c r="AI3134">
        <v>88.827861869331997</v>
      </c>
      <c r="AJ3134">
        <v>97.274253586512799</v>
      </c>
      <c r="AK3134">
        <v>413.70466295800202</v>
      </c>
      <c r="AL3134">
        <v>81.273435729315494</v>
      </c>
      <c r="AM3134">
        <v>94.127746394358795</v>
      </c>
      <c r="AN3134">
        <v>0.999999978016897</v>
      </c>
    </row>
    <row r="3135" spans="1:40" x14ac:dyDescent="0.3">
      <c r="A3135" t="str">
        <f>"20200111150915966"</f>
        <v>20200111150915966</v>
      </c>
      <c r="B3135" t="str">
        <f>"1578726555957384"</f>
        <v>1578726555957384</v>
      </c>
      <c r="C3135" t="s">
        <v>40</v>
      </c>
      <c r="D3135">
        <v>7.7640619999999902</v>
      </c>
      <c r="E3135">
        <v>0.47659439999999997</v>
      </c>
      <c r="F3135" t="s">
        <v>48</v>
      </c>
      <c r="G3135">
        <v>-217.2054</v>
      </c>
      <c r="H3135">
        <v>19.070440000000001</v>
      </c>
      <c r="I3135">
        <v>391.87</v>
      </c>
      <c r="J3135">
        <v>-187.32239999999999</v>
      </c>
      <c r="K3135">
        <v>1.109661</v>
      </c>
      <c r="L3135">
        <v>-20.820679999999999</v>
      </c>
      <c r="M3135">
        <v>6.4482319999999996E-2</v>
      </c>
      <c r="N3135">
        <v>0</v>
      </c>
      <c r="O3135">
        <v>0.99784349999999999</v>
      </c>
      <c r="P3135">
        <v>-7.8383029999999996E-3</v>
      </c>
      <c r="Q3135">
        <v>0.138873</v>
      </c>
      <c r="R3135">
        <v>0.99027920000000003</v>
      </c>
      <c r="S3135">
        <v>-0.2176361</v>
      </c>
      <c r="T3135">
        <v>0.1308889</v>
      </c>
      <c r="U3135">
        <v>3.0094910000000001</v>
      </c>
      <c r="V3135">
        <v>-7.1474480000000007E-2</v>
      </c>
      <c r="W3135">
        <v>0.1510734</v>
      </c>
      <c r="X3135">
        <v>0.98593520000000001</v>
      </c>
      <c r="Y3135">
        <v>-0.13622999999999999</v>
      </c>
      <c r="Z3135">
        <v>4.3056549999999999E-2</v>
      </c>
      <c r="AA3135">
        <v>0.98974110000000004</v>
      </c>
      <c r="AB3135">
        <v>28</v>
      </c>
      <c r="AC3135">
        <v>-29.882999999999999</v>
      </c>
      <c r="AD3135">
        <v>17.960778999999999</v>
      </c>
      <c r="AE3135">
        <v>412.69067999999999</v>
      </c>
      <c r="AF3135">
        <v>-56.327919468400097</v>
      </c>
      <c r="AG3135">
        <v>17.960778999999999</v>
      </c>
      <c r="AH3135">
        <v>409.13371442987699</v>
      </c>
      <c r="AI3135">
        <v>87.509815519380197</v>
      </c>
      <c r="AJ3135">
        <v>97.838976818934</v>
      </c>
      <c r="AK3135">
        <v>413.38338183472399</v>
      </c>
      <c r="AL3135">
        <v>81.310863192287101</v>
      </c>
      <c r="AM3135">
        <v>94.146352260258098</v>
      </c>
      <c r="AN3135">
        <v>0.99999999603893497</v>
      </c>
    </row>
    <row r="3136" spans="1:40" x14ac:dyDescent="0.3">
      <c r="A3136" t="str">
        <f>"20200111150915988"</f>
        <v>20200111150915988</v>
      </c>
      <c r="B3136" t="str">
        <f>"1578726555976904"</f>
        <v>1578726555976904</v>
      </c>
      <c r="C3136" t="s">
        <v>40</v>
      </c>
      <c r="D3136">
        <v>7.7633429999999901</v>
      </c>
      <c r="E3136">
        <v>0.43675350000000002</v>
      </c>
      <c r="F3136" t="s">
        <v>48</v>
      </c>
      <c r="G3136">
        <v>-215.86070000000001</v>
      </c>
      <c r="H3136">
        <v>25.271450000000002</v>
      </c>
      <c r="I3136">
        <v>391.87</v>
      </c>
      <c r="J3136">
        <v>-187.30350000000001</v>
      </c>
      <c r="K3136">
        <v>1.1096870000000001</v>
      </c>
      <c r="L3136">
        <v>-20.539429999999999</v>
      </c>
      <c r="M3136">
        <v>6.5149199999999893E-2</v>
      </c>
      <c r="N3136">
        <v>0</v>
      </c>
      <c r="O3136">
        <v>0.99780020000000003</v>
      </c>
      <c r="P3136">
        <v>-6.6684739999999998E-3</v>
      </c>
      <c r="Q3136">
        <v>0.1393055</v>
      </c>
      <c r="R3136">
        <v>0.99022699999999997</v>
      </c>
      <c r="S3136">
        <v>-0.2076721</v>
      </c>
      <c r="T3136">
        <v>0.17582490000000001</v>
      </c>
      <c r="U3136">
        <v>3.0031430000000001</v>
      </c>
      <c r="V3136">
        <v>-7.097146E-2</v>
      </c>
      <c r="W3136">
        <v>0.15149949999999901</v>
      </c>
      <c r="X3136">
        <v>0.98590619999999995</v>
      </c>
      <c r="Y3136">
        <v>-0.1337226</v>
      </c>
      <c r="Z3136">
        <v>5.7929040000000001E-2</v>
      </c>
      <c r="AA3136">
        <v>0.98932430000000005</v>
      </c>
      <c r="AB3136">
        <v>28</v>
      </c>
      <c r="AC3136">
        <v>-28.557199999999899</v>
      </c>
      <c r="AD3136">
        <v>24.161763000000001</v>
      </c>
      <c r="AE3136">
        <v>412.40942999999999</v>
      </c>
      <c r="AF3136">
        <v>-55.178195648129297</v>
      </c>
      <c r="AG3136">
        <v>24.161763000000001</v>
      </c>
      <c r="AH3136">
        <v>408.27783724767198</v>
      </c>
      <c r="AI3136">
        <v>86.643645387390293</v>
      </c>
      <c r="AJ3136">
        <v>97.696811781241706</v>
      </c>
      <c r="AK3136">
        <v>412.69748782114902</v>
      </c>
      <c r="AL3136">
        <v>81.286165579500704</v>
      </c>
      <c r="AM3136">
        <v>94.117392640753707</v>
      </c>
      <c r="AN3136">
        <v>1.0000000409166001</v>
      </c>
    </row>
    <row r="3137" spans="1:40" x14ac:dyDescent="0.3">
      <c r="A3137" t="str">
        <f>"20200111150916011"</f>
        <v>20200111150916011</v>
      </c>
      <c r="B3137" t="str">
        <f>"1578726556007160"</f>
        <v>1578726556007160</v>
      </c>
      <c r="C3137" t="s">
        <v>40</v>
      </c>
      <c r="D3137">
        <v>5.169079</v>
      </c>
      <c r="E3137">
        <v>0.48434500000000003</v>
      </c>
      <c r="F3137" t="s">
        <v>72</v>
      </c>
      <c r="G3137">
        <v>-232.85310000000001</v>
      </c>
      <c r="H3137">
        <v>50.07526</v>
      </c>
      <c r="I3137">
        <v>234.78469999999999</v>
      </c>
      <c r="J3137">
        <v>-187.28440000000001</v>
      </c>
      <c r="K3137">
        <v>1.1097049999999999</v>
      </c>
      <c r="L3137">
        <v>-20.25995</v>
      </c>
      <c r="M3137">
        <v>6.5805660000000002E-2</v>
      </c>
      <c r="N3137">
        <v>0</v>
      </c>
      <c r="O3137">
        <v>0.99775709999999995</v>
      </c>
      <c r="P3137">
        <v>-6.0262700000000002E-3</v>
      </c>
      <c r="Q3137">
        <v>0.13952339999999999</v>
      </c>
      <c r="R3137">
        <v>0.99020050000000004</v>
      </c>
      <c r="S3137">
        <v>-0.5256653</v>
      </c>
      <c r="T3137">
        <v>0.56508649999999905</v>
      </c>
      <c r="U3137">
        <v>2.946564</v>
      </c>
      <c r="V3137">
        <v>-7.0982719999999999E-2</v>
      </c>
      <c r="W3137">
        <v>0.15171399999999999</v>
      </c>
      <c r="X3137">
        <v>0.98587239999999998</v>
      </c>
      <c r="Y3137">
        <v>-0.2370234</v>
      </c>
      <c r="Z3137">
        <v>0.1836438</v>
      </c>
      <c r="AA3137">
        <v>0.95398890000000003</v>
      </c>
      <c r="AB3137">
        <v>28</v>
      </c>
      <c r="AC3137">
        <v>-45.5687</v>
      </c>
      <c r="AD3137">
        <v>48.965555000000002</v>
      </c>
      <c r="AE3137">
        <v>255.04464999999999</v>
      </c>
      <c r="AF3137">
        <v>-60.107562671805098</v>
      </c>
      <c r="AG3137">
        <v>48.965555000000002</v>
      </c>
      <c r="AH3137">
        <v>242.81952387320899</v>
      </c>
      <c r="AI3137">
        <v>78.924620059817997</v>
      </c>
      <c r="AJ3137">
        <v>103.903514237404</v>
      </c>
      <c r="AK3137">
        <v>254.89579408223901</v>
      </c>
      <c r="AL3137">
        <v>81.273731876158806</v>
      </c>
      <c r="AM3137">
        <v>94.118184338561207</v>
      </c>
      <c r="AN3137">
        <v>1.0000000367081701</v>
      </c>
    </row>
    <row r="3138" spans="1:40" x14ac:dyDescent="0.3">
      <c r="A3138" t="str">
        <f>"20200111150916034"</f>
        <v>20200111150916034</v>
      </c>
      <c r="B3138" t="str">
        <f>"1578726556027655"</f>
        <v>1578726556027655</v>
      </c>
      <c r="C3138" t="s">
        <v>40</v>
      </c>
      <c r="D3138">
        <v>7.0103770000000001</v>
      </c>
      <c r="E3138">
        <v>0.48635390000000001</v>
      </c>
      <c r="F3138" t="s">
        <v>48</v>
      </c>
      <c r="G3138">
        <v>-206.744</v>
      </c>
      <c r="H3138">
        <v>36.616410000000002</v>
      </c>
      <c r="I3138">
        <v>391.87</v>
      </c>
      <c r="J3138">
        <v>-187.2637</v>
      </c>
      <c r="K3138">
        <v>1.10971</v>
      </c>
      <c r="L3138">
        <v>-19.958100000000002</v>
      </c>
      <c r="M3138">
        <v>6.6510830000000007E-2</v>
      </c>
      <c r="N3138">
        <v>0</v>
      </c>
      <c r="O3138">
        <v>0.9977104</v>
      </c>
      <c r="P3138">
        <v>-5.775395E-3</v>
      </c>
      <c r="Q3138">
        <v>0.13883899999999999</v>
      </c>
      <c r="R3138">
        <v>0.99029820000000002</v>
      </c>
      <c r="S3138">
        <v>-0.14129639999999999</v>
      </c>
      <c r="T3138">
        <v>0.25781559999999998</v>
      </c>
      <c r="U3138">
        <v>2.9924930000000001</v>
      </c>
      <c r="V3138">
        <v>-7.1440180000000006E-2</v>
      </c>
      <c r="W3138">
        <v>0.1510282</v>
      </c>
      <c r="X3138">
        <v>0.98594459999999995</v>
      </c>
      <c r="Y3138">
        <v>-0.113329</v>
      </c>
      <c r="Z3138">
        <v>8.5227349999999993E-2</v>
      </c>
      <c r="AA3138">
        <v>0.98989530000000003</v>
      </c>
      <c r="AB3138">
        <v>28</v>
      </c>
      <c r="AC3138">
        <v>-19.4803</v>
      </c>
      <c r="AD3138">
        <v>35.506699999999903</v>
      </c>
      <c r="AE3138">
        <v>411.82810000000001</v>
      </c>
      <c r="AF3138">
        <v>-46.485470712186903</v>
      </c>
      <c r="AG3138">
        <v>35.506699999999903</v>
      </c>
      <c r="AH3138">
        <v>406.60458980401103</v>
      </c>
      <c r="AI3138">
        <v>85.041449924970394</v>
      </c>
      <c r="AJ3138">
        <v>96.5220794015042</v>
      </c>
      <c r="AK3138">
        <v>410.79060016255499</v>
      </c>
      <c r="AL3138">
        <v>81.313482928242394</v>
      </c>
      <c r="AM3138">
        <v>94.144330020905002</v>
      </c>
      <c r="AN3138">
        <v>0.99999998539141599</v>
      </c>
    </row>
    <row r="3139" spans="1:40" x14ac:dyDescent="0.3">
      <c r="A3139" t="str">
        <f>"20200111150916056"</f>
        <v>20200111150916056</v>
      </c>
      <c r="B3139" t="str">
        <f>"1578726556047176"</f>
        <v>1578726556047176</v>
      </c>
      <c r="C3139" t="s">
        <v>40</v>
      </c>
      <c r="D3139">
        <v>7.388134</v>
      </c>
      <c r="E3139">
        <v>0.4090029</v>
      </c>
      <c r="F3139" t="s">
        <v>48</v>
      </c>
      <c r="G3139">
        <v>-204.36930000000001</v>
      </c>
      <c r="H3139">
        <v>38.3703</v>
      </c>
      <c r="I3139">
        <v>391.00349999999997</v>
      </c>
      <c r="J3139">
        <v>-187.24449999999999</v>
      </c>
      <c r="K3139">
        <v>1.1097109999999999</v>
      </c>
      <c r="L3139">
        <v>-19.681090000000001</v>
      </c>
      <c r="M3139">
        <v>6.7158430000000005E-2</v>
      </c>
      <c r="N3139">
        <v>0</v>
      </c>
      <c r="O3139">
        <v>0.99766699999999997</v>
      </c>
      <c r="P3139">
        <v>-4.9767589999999999E-3</v>
      </c>
      <c r="Q3139">
        <v>0.1385509</v>
      </c>
      <c r="R3139">
        <v>0.99034279999999997</v>
      </c>
      <c r="S3139">
        <v>-0.1244812</v>
      </c>
      <c r="T3139">
        <v>0.2711538</v>
      </c>
      <c r="U3139">
        <v>2.9906619999999999</v>
      </c>
      <c r="V3139">
        <v>-7.1288229999999994E-2</v>
      </c>
      <c r="W3139">
        <v>0.15073919999999999</v>
      </c>
      <c r="X3139">
        <v>0.98599979999999998</v>
      </c>
      <c r="Y3139">
        <v>-0.10843</v>
      </c>
      <c r="Z3139">
        <v>8.9685929999999997E-2</v>
      </c>
      <c r="AA3139">
        <v>0.99005019999999999</v>
      </c>
      <c r="AB3139">
        <v>28</v>
      </c>
      <c r="AC3139">
        <v>-17.1248</v>
      </c>
      <c r="AD3139">
        <v>37.260589000000003</v>
      </c>
      <c r="AE3139">
        <v>410.68459000000001</v>
      </c>
      <c r="AF3139">
        <v>-44.305069978395302</v>
      </c>
      <c r="AG3139">
        <v>37.260589000000003</v>
      </c>
      <c r="AH3139">
        <v>405.27682302197297</v>
      </c>
      <c r="AI3139">
        <v>84.7780104969154</v>
      </c>
      <c r="AJ3139">
        <v>96.238829328343002</v>
      </c>
      <c r="AK3139">
        <v>409.39051527508701</v>
      </c>
      <c r="AL3139">
        <v>81.330232968232096</v>
      </c>
      <c r="AM3139">
        <v>94.135315115998594</v>
      </c>
      <c r="AN3139">
        <v>0.999999961876605</v>
      </c>
    </row>
    <row r="3140" spans="1:40" x14ac:dyDescent="0.3">
      <c r="A3140" t="str">
        <f>"20200111150916080"</f>
        <v>20200111150916080</v>
      </c>
      <c r="B3140" t="str">
        <f>"1578726556077139"</f>
        <v>1578726556077139</v>
      </c>
      <c r="C3140" t="s">
        <v>40</v>
      </c>
      <c r="D3140">
        <v>5.2046619999999999</v>
      </c>
      <c r="E3140">
        <v>0.47107939999999998</v>
      </c>
      <c r="F3140" t="s">
        <v>52</v>
      </c>
      <c r="G3140">
        <v>-212.23439999999999</v>
      </c>
      <c r="H3140">
        <v>27.743680000000001</v>
      </c>
      <c r="I3140">
        <v>78.091830000000002</v>
      </c>
      <c r="J3140">
        <v>-187.22489999999999</v>
      </c>
      <c r="K3140">
        <v>1.1097079999999999</v>
      </c>
      <c r="L3140">
        <v>-19.40082</v>
      </c>
      <c r="M3140">
        <v>6.7817520000000006E-2</v>
      </c>
      <c r="N3140">
        <v>0</v>
      </c>
      <c r="O3140">
        <v>0.99762240000000002</v>
      </c>
      <c r="P3140">
        <v>-4.8357679999999998E-3</v>
      </c>
      <c r="Q3140">
        <v>0.13870550000000001</v>
      </c>
      <c r="R3140">
        <v>0.99032189999999998</v>
      </c>
      <c r="S3140">
        <v>-0.7449036</v>
      </c>
      <c r="T3140">
        <v>0.79390969999999905</v>
      </c>
      <c r="U3140">
        <v>2.9144290000000002</v>
      </c>
      <c r="V3140">
        <v>-7.1798059999999997E-2</v>
      </c>
      <c r="W3140">
        <v>0.15089240000000001</v>
      </c>
      <c r="X3140">
        <v>0.98593940000000002</v>
      </c>
      <c r="Y3140">
        <v>-0.30471300000000001</v>
      </c>
      <c r="Z3140">
        <v>0.2518686</v>
      </c>
      <c r="AA3140">
        <v>0.91853810000000002</v>
      </c>
      <c r="AB3140">
        <v>28</v>
      </c>
      <c r="AC3140">
        <v>-25.009499999999999</v>
      </c>
      <c r="AD3140">
        <v>26.633972</v>
      </c>
      <c r="AE3140">
        <v>97.492649999999998</v>
      </c>
      <c r="AF3140">
        <v>-29.4985023638984</v>
      </c>
      <c r="AG3140">
        <v>26.633972</v>
      </c>
      <c r="AH3140">
        <v>89.317538622222997</v>
      </c>
      <c r="AI3140">
        <v>74.190457236207294</v>
      </c>
      <c r="AJ3140">
        <v>108.276607453415</v>
      </c>
      <c r="AK3140">
        <v>97.760691546971003</v>
      </c>
      <c r="AL3140">
        <v>81.321353930643596</v>
      </c>
      <c r="AM3140">
        <v>94.165040075819306</v>
      </c>
      <c r="AN3140">
        <v>0.99999998913494104</v>
      </c>
    </row>
    <row r="3141" spans="1:40" x14ac:dyDescent="0.3">
      <c r="A3141" t="str">
        <f>"20200111150916100"</f>
        <v>20200111150916100</v>
      </c>
      <c r="B3141" t="str">
        <f>"1578726556097634"</f>
        <v>1578726556097634</v>
      </c>
      <c r="C3141" t="s">
        <v>40</v>
      </c>
      <c r="D3141">
        <v>5.404236</v>
      </c>
      <c r="E3141">
        <v>0.46251199999999998</v>
      </c>
      <c r="F3141" t="s">
        <v>48</v>
      </c>
      <c r="G3141">
        <v>-221.4794</v>
      </c>
      <c r="H3141">
        <v>72.419079999999994</v>
      </c>
      <c r="I3141">
        <v>391.87</v>
      </c>
      <c r="J3141">
        <v>-187.20580000000001</v>
      </c>
      <c r="K3141">
        <v>1.1097159999999999</v>
      </c>
      <c r="L3141">
        <v>-19.130520000000001</v>
      </c>
      <c r="M3141">
        <v>6.8457649999999995E-2</v>
      </c>
      <c r="N3141">
        <v>0</v>
      </c>
      <c r="O3141">
        <v>0.99757870000000004</v>
      </c>
      <c r="P3141">
        <v>-5.5082789999999996E-3</v>
      </c>
      <c r="Q3141">
        <v>0.13964170000000001</v>
      </c>
      <c r="R3141">
        <v>0.99018680000000003</v>
      </c>
      <c r="S3141">
        <v>-0.24623110000000001</v>
      </c>
      <c r="T3141">
        <v>0.51259149999999998</v>
      </c>
      <c r="U3141">
        <v>2.9563290000000002</v>
      </c>
      <c r="V3141">
        <v>-7.3092030000000002E-2</v>
      </c>
      <c r="W3141">
        <v>0.15182709999999999</v>
      </c>
      <c r="X3141">
        <v>0.98570080000000004</v>
      </c>
      <c r="Y3141">
        <v>-0.14983150000000001</v>
      </c>
      <c r="Z3141">
        <v>0.1689881</v>
      </c>
      <c r="AA3141">
        <v>0.974163</v>
      </c>
      <c r="AB3141">
        <v>28</v>
      </c>
      <c r="AC3141">
        <v>-34.273599999999902</v>
      </c>
      <c r="AD3141">
        <v>71.309364000000002</v>
      </c>
      <c r="AE3141">
        <v>411.00051999999999</v>
      </c>
      <c r="AF3141">
        <v>-60.522117559318197</v>
      </c>
      <c r="AG3141">
        <v>71.309364000000002</v>
      </c>
      <c r="AH3141">
        <v>395.855602286303</v>
      </c>
      <c r="AI3141">
        <v>79.903136874968993</v>
      </c>
      <c r="AJ3141">
        <v>98.692602960919302</v>
      </c>
      <c r="AK3141">
        <v>406.75497534683001</v>
      </c>
      <c r="AL3141">
        <v>81.267175366334499</v>
      </c>
      <c r="AM3141">
        <v>94.240855137972105</v>
      </c>
      <c r="AN3141">
        <v>0.99999999013228502</v>
      </c>
    </row>
    <row r="3142" spans="1:40" x14ac:dyDescent="0.3">
      <c r="A3142" t="str">
        <f>"20200111150916125"</f>
        <v>20200111150916125</v>
      </c>
      <c r="B3142" t="str">
        <f>"1578726556117154"</f>
        <v>1578726556117154</v>
      </c>
      <c r="C3142" t="s">
        <v>40</v>
      </c>
      <c r="D3142">
        <v>7.3378289999999904</v>
      </c>
      <c r="E3142">
        <v>0.45866020000000002</v>
      </c>
      <c r="F3142" t="s">
        <v>48</v>
      </c>
      <c r="G3142">
        <v>-231.6234</v>
      </c>
      <c r="H3142">
        <v>90.815129999999996</v>
      </c>
      <c r="I3142">
        <v>391.00349999999997</v>
      </c>
      <c r="J3142">
        <v>-187.1833</v>
      </c>
      <c r="K3142">
        <v>1.10972</v>
      </c>
      <c r="L3142">
        <v>-18.815829999999998</v>
      </c>
      <c r="M3142">
        <v>6.9208019999999995E-2</v>
      </c>
      <c r="N3142">
        <v>0</v>
      </c>
      <c r="O3142">
        <v>0.99752700000000005</v>
      </c>
      <c r="P3142">
        <v>-6.0887160000000001E-3</v>
      </c>
      <c r="Q3142">
        <v>0.1404012</v>
      </c>
      <c r="R3142">
        <v>0.99007590000000001</v>
      </c>
      <c r="S3142">
        <v>-0.31811519999999999</v>
      </c>
      <c r="T3142">
        <v>0.64246300000000001</v>
      </c>
      <c r="U3142">
        <v>2.9373469999999999</v>
      </c>
      <c r="V3142">
        <v>-7.4404869999999998E-2</v>
      </c>
      <c r="W3142">
        <v>0.1525849</v>
      </c>
      <c r="X3142">
        <v>0.98548559999999996</v>
      </c>
      <c r="Y3142">
        <v>-0.1737881</v>
      </c>
      <c r="Z3142">
        <v>0.2106846</v>
      </c>
      <c r="AA3142">
        <v>0.96198220000000001</v>
      </c>
      <c r="AB3142">
        <v>28</v>
      </c>
      <c r="AC3142">
        <v>-44.440100000000001</v>
      </c>
      <c r="AD3142">
        <v>89.705410000000001</v>
      </c>
      <c r="AE3142">
        <v>409.81932999999998</v>
      </c>
      <c r="AF3142">
        <v>-69.411392803683498</v>
      </c>
      <c r="AG3142">
        <v>89.705410000000001</v>
      </c>
      <c r="AH3142">
        <v>387.41428937227198</v>
      </c>
      <c r="AI3142">
        <v>77.160485994992698</v>
      </c>
      <c r="AJ3142">
        <v>100.15767109917</v>
      </c>
      <c r="AK3142">
        <v>403.67664490782403</v>
      </c>
      <c r="AL3142">
        <v>81.223245326750401</v>
      </c>
      <c r="AM3142">
        <v>94.317680794250904</v>
      </c>
      <c r="AN3142">
        <v>1.0000000520975401</v>
      </c>
    </row>
    <row r="3143" spans="1:40" x14ac:dyDescent="0.3">
      <c r="A3143" t="str">
        <f>"20200111150916145"</f>
        <v>20200111150916145</v>
      </c>
      <c r="B3143" t="str">
        <f>"1578726556137651"</f>
        <v>1578726556137651</v>
      </c>
      <c r="C3143" t="s">
        <v>40</v>
      </c>
      <c r="D3143">
        <v>5.4292530000000001</v>
      </c>
      <c r="E3143">
        <v>0.45836369999999999</v>
      </c>
      <c r="F3143" t="s">
        <v>49</v>
      </c>
      <c r="G3143">
        <v>0</v>
      </c>
      <c r="H3143">
        <v>0</v>
      </c>
      <c r="I3143">
        <v>0</v>
      </c>
      <c r="J3143">
        <v>-187.16460000000001</v>
      </c>
      <c r="K3143">
        <v>1.109729</v>
      </c>
      <c r="L3143">
        <v>-18.556000000000001</v>
      </c>
      <c r="M3143">
        <v>6.9829459999999996E-2</v>
      </c>
      <c r="N3143">
        <v>0</v>
      </c>
      <c r="O3143">
        <v>0.99748369999999997</v>
      </c>
      <c r="P3143">
        <v>-6.1542009999999998E-3</v>
      </c>
      <c r="Q3143">
        <v>0.1410816</v>
      </c>
      <c r="R3143">
        <v>0.98997880000000005</v>
      </c>
      <c r="S3143">
        <v>-0.3506012</v>
      </c>
      <c r="T3143">
        <v>0.64535500000000001</v>
      </c>
      <c r="U3143">
        <v>2.936401</v>
      </c>
      <c r="V3143">
        <v>-7.50773E-2</v>
      </c>
      <c r="W3143">
        <v>0.1532635</v>
      </c>
      <c r="X3143">
        <v>0.98532920000000002</v>
      </c>
      <c r="Y3143">
        <v>-0.18491109999999999</v>
      </c>
      <c r="Z3143">
        <v>0.2112965</v>
      </c>
      <c r="AA3143">
        <v>0.95977170000000001</v>
      </c>
      <c r="AB3143">
        <v>28</v>
      </c>
      <c r="AC3143">
        <v>-0.3506012</v>
      </c>
      <c r="AD3143">
        <v>0.64535500000000001</v>
      </c>
      <c r="AE3143">
        <v>2.936401</v>
      </c>
      <c r="AF3143">
        <v>-0.52958725391474204</v>
      </c>
      <c r="AG3143">
        <v>0.64535500000000001</v>
      </c>
      <c r="AH3143">
        <v>2.77270274480987</v>
      </c>
      <c r="AI3143">
        <v>77.122340978468898</v>
      </c>
      <c r="AJ3143">
        <v>100.81327692913</v>
      </c>
      <c r="AK3143">
        <v>2.8956564448515199</v>
      </c>
      <c r="AL3143">
        <v>81.183900891405997</v>
      </c>
      <c r="AM3143">
        <v>94.357240891709196</v>
      </c>
      <c r="AN3143">
        <v>0.99999996689008896</v>
      </c>
    </row>
    <row r="3144" spans="1:40" x14ac:dyDescent="0.3">
      <c r="A3144" t="str">
        <f>"20200111150916166"</f>
        <v>20200111150916166</v>
      </c>
      <c r="B3144" t="str">
        <f>"1578726556157171"</f>
        <v>1578726556157171</v>
      </c>
      <c r="C3144" t="s">
        <v>40</v>
      </c>
      <c r="D3144">
        <v>5.2148300000000001</v>
      </c>
      <c r="E3144">
        <v>0.48161860000000001</v>
      </c>
      <c r="F3144" t="s">
        <v>110</v>
      </c>
      <c r="G3144">
        <v>-241.38570000000001</v>
      </c>
      <c r="H3144">
        <v>102.1652</v>
      </c>
      <c r="I3144">
        <v>431.69600000000003</v>
      </c>
      <c r="J3144">
        <v>-187.1447</v>
      </c>
      <c r="K3144">
        <v>1.109734</v>
      </c>
      <c r="L3144">
        <v>-18.283940000000001</v>
      </c>
      <c r="M3144">
        <v>7.0480780000000007E-2</v>
      </c>
      <c r="N3144">
        <v>0</v>
      </c>
      <c r="O3144">
        <v>0.99743789999999999</v>
      </c>
      <c r="P3144">
        <v>-5.5976680000000001E-3</v>
      </c>
      <c r="Q3144">
        <v>0.1421076</v>
      </c>
      <c r="R3144">
        <v>0.98983540000000003</v>
      </c>
      <c r="S3144">
        <v>-0.35336299999999998</v>
      </c>
      <c r="T3144">
        <v>0.65858640000000002</v>
      </c>
      <c r="U3144">
        <v>2.934326</v>
      </c>
      <c r="V3144">
        <v>-7.5154929999999995E-2</v>
      </c>
      <c r="W3144">
        <v>0.15428739999999999</v>
      </c>
      <c r="X3144">
        <v>0.98516349999999997</v>
      </c>
      <c r="Y3144">
        <v>-0.1864112</v>
      </c>
      <c r="Z3144">
        <v>0.21551090000000001</v>
      </c>
      <c r="AA3144">
        <v>0.9585437</v>
      </c>
      <c r="AB3144">
        <v>28</v>
      </c>
      <c r="AC3144">
        <v>-54.241</v>
      </c>
      <c r="AD3144">
        <v>101.055466</v>
      </c>
      <c r="AE3144">
        <v>449.97994</v>
      </c>
      <c r="AF3144">
        <v>-81.758940194023396</v>
      </c>
      <c r="AG3144">
        <v>101.055466</v>
      </c>
      <c r="AH3144">
        <v>423.96119370029101</v>
      </c>
      <c r="AI3144">
        <v>76.827158040881798</v>
      </c>
      <c r="AJ3144">
        <v>100.915230381041</v>
      </c>
      <c r="AK3144">
        <v>443.44089264963202</v>
      </c>
      <c r="AL3144">
        <v>81.124529802931093</v>
      </c>
      <c r="AM3144">
        <v>94.362459696567797</v>
      </c>
      <c r="AN3144">
        <v>0.99999999351715696</v>
      </c>
    </row>
    <row r="3145" spans="1:40" x14ac:dyDescent="0.3">
      <c r="A3145" t="str">
        <f>"20200111150916189"</f>
        <v>20200111150916189</v>
      </c>
      <c r="B3145" t="str">
        <f>"1578726556187428"</f>
        <v>1578726556187428</v>
      </c>
      <c r="C3145" t="s">
        <v>40</v>
      </c>
      <c r="D3145">
        <v>5.3394360000000001</v>
      </c>
      <c r="E3145">
        <v>0.48077559999999903</v>
      </c>
      <c r="F3145" t="s">
        <v>43</v>
      </c>
      <c r="G3145">
        <v>-192.57660000000001</v>
      </c>
      <c r="H3145" s="1">
        <v>-3.4215959999999999E-6</v>
      </c>
      <c r="I3145">
        <v>85.966849999999994</v>
      </c>
      <c r="J3145">
        <v>-187.12430000000001</v>
      </c>
      <c r="K3145">
        <v>1.109739</v>
      </c>
      <c r="L3145">
        <v>-18.005520000000001</v>
      </c>
      <c r="M3145">
        <v>7.1147379999999996E-2</v>
      </c>
      <c r="N3145">
        <v>0</v>
      </c>
      <c r="O3145">
        <v>0.99739060000000002</v>
      </c>
      <c r="P3145">
        <v>-4.1390649999999999E-3</v>
      </c>
      <c r="Q3145">
        <v>0.1424694</v>
      </c>
      <c r="R3145">
        <v>0.98979059999999996</v>
      </c>
      <c r="S3145">
        <v>-0.15811159999999999</v>
      </c>
      <c r="T3145">
        <v>-3.2302379999999999E-2</v>
      </c>
      <c r="U3145">
        <v>3.0345460000000002</v>
      </c>
      <c r="V3145">
        <v>-7.4355829999999998E-2</v>
      </c>
      <c r="W3145">
        <v>0.1546477</v>
      </c>
      <c r="X3145">
        <v>0.98516760000000003</v>
      </c>
      <c r="Y3145">
        <v>-0.1229548</v>
      </c>
      <c r="Z3145">
        <v>-1.055625E-2</v>
      </c>
      <c r="AA3145">
        <v>0.99235609999999996</v>
      </c>
      <c r="AB3145">
        <v>28</v>
      </c>
      <c r="AC3145">
        <v>-5.4523000000000001</v>
      </c>
      <c r="AD3145">
        <v>-1.1097424215959999</v>
      </c>
      <c r="AE3145">
        <v>103.97237</v>
      </c>
      <c r="AF3145">
        <v>-12.834939342555399</v>
      </c>
      <c r="AG3145">
        <v>-1.1097424215959999</v>
      </c>
      <c r="AH3145">
        <v>103.30916219761301</v>
      </c>
      <c r="AI3145">
        <v>90.610749952029295</v>
      </c>
      <c r="AJ3145">
        <v>97.082033171182204</v>
      </c>
      <c r="AK3145">
        <v>104.10931845969399</v>
      </c>
      <c r="AL3145">
        <v>81.103634967949503</v>
      </c>
      <c r="AM3145">
        <v>94.316233292904897</v>
      </c>
      <c r="AN3145">
        <v>0.99999995033001798</v>
      </c>
    </row>
    <row r="3146" spans="1:40" x14ac:dyDescent="0.3">
      <c r="A3146" t="str">
        <f>"20200111150916235"</f>
        <v>20200111150916235</v>
      </c>
      <c r="B3146" t="str">
        <f>"1578726556227443"</f>
        <v>1578726556227443</v>
      </c>
      <c r="C3146" t="s">
        <v>40</v>
      </c>
      <c r="D3146">
        <v>5.5751970000000002</v>
      </c>
      <c r="E3146">
        <v>0.47119169999999999</v>
      </c>
      <c r="F3146" t="s">
        <v>43</v>
      </c>
      <c r="G3146">
        <v>-189.2079</v>
      </c>
      <c r="H3146" s="1">
        <v>-1.0069400000000001E-6</v>
      </c>
      <c r="I3146">
        <v>21.652439999999999</v>
      </c>
      <c r="J3146">
        <v>-187.08170000000001</v>
      </c>
      <c r="K3146">
        <v>1.1097549999999901</v>
      </c>
      <c r="L3146">
        <v>-17.43271</v>
      </c>
      <c r="M3146">
        <v>7.2517390000000001E-2</v>
      </c>
      <c r="N3146">
        <v>0</v>
      </c>
      <c r="O3146">
        <v>0.99729190000000001</v>
      </c>
      <c r="P3146">
        <v>-1.488325E-3</v>
      </c>
      <c r="Q3146">
        <v>0.14493010000000001</v>
      </c>
      <c r="R3146">
        <v>0.98944080000000001</v>
      </c>
      <c r="S3146">
        <v>-0.1598511</v>
      </c>
      <c r="T3146">
        <v>-8.5138800000000001E-2</v>
      </c>
      <c r="U3146">
        <v>3.0425420000000001</v>
      </c>
      <c r="V3146">
        <v>-7.3039019999999996E-2</v>
      </c>
      <c r="W3146">
        <v>0.15710209999999999</v>
      </c>
      <c r="X3146">
        <v>0.98487780000000003</v>
      </c>
      <c r="Y3146">
        <v>-0.1247307</v>
      </c>
      <c r="Z3146">
        <v>-2.7732960000000001E-2</v>
      </c>
      <c r="AA3146">
        <v>0.99180299999999999</v>
      </c>
      <c r="AB3146">
        <v>28</v>
      </c>
      <c r="AC3146">
        <v>-2.1261999999999799</v>
      </c>
      <c r="AD3146">
        <v>-1.1097560069400001</v>
      </c>
      <c r="AE3146">
        <v>39.085149999999999</v>
      </c>
      <c r="AF3146">
        <v>-4.9511872231474099</v>
      </c>
      <c r="AG3146">
        <v>-1.1097560069400001</v>
      </c>
      <c r="AH3146">
        <v>38.796846158614997</v>
      </c>
      <c r="AI3146">
        <v>91.625283560939906</v>
      </c>
      <c r="AJ3146">
        <v>97.272677536867505</v>
      </c>
      <c r="AK3146">
        <v>39.127242238226202</v>
      </c>
      <c r="AL3146">
        <v>80.961268658095506</v>
      </c>
      <c r="AM3146">
        <v>94.241319002562093</v>
      </c>
      <c r="AN3146">
        <v>1.0000000245998999</v>
      </c>
    </row>
    <row r="3147" spans="1:40" x14ac:dyDescent="0.3">
      <c r="A3147" t="str">
        <f>"20200111150916256"</f>
        <v>20200111150916256</v>
      </c>
      <c r="B3147" t="str">
        <f>"1578726556246963"</f>
        <v>1578726556246963</v>
      </c>
      <c r="C3147" t="s">
        <v>40</v>
      </c>
      <c r="D3147">
        <v>5.1809589999999996</v>
      </c>
      <c r="E3147">
        <v>0.46687200000000001</v>
      </c>
      <c r="F3147" t="s">
        <v>49</v>
      </c>
      <c r="G3147">
        <v>0</v>
      </c>
      <c r="H3147">
        <v>0</v>
      </c>
      <c r="I3147">
        <v>0</v>
      </c>
      <c r="J3147">
        <v>-187.0608</v>
      </c>
      <c r="K3147">
        <v>1.1097600000000001</v>
      </c>
      <c r="L3147">
        <v>-17.155609999999999</v>
      </c>
      <c r="M3147">
        <v>7.3174030000000001E-2</v>
      </c>
      <c r="N3147">
        <v>0</v>
      </c>
      <c r="O3147">
        <v>0.99724389999999996</v>
      </c>
      <c r="P3147">
        <v>-8.107438E-4</v>
      </c>
      <c r="Q3147">
        <v>0.14553189999999999</v>
      </c>
      <c r="R3147">
        <v>0.98935320000000004</v>
      </c>
      <c r="S3147">
        <v>-0.23959349999999999</v>
      </c>
      <c r="T3147">
        <v>1.0768009999999999</v>
      </c>
      <c r="U3147">
        <v>2.8739319999999999</v>
      </c>
      <c r="V3147">
        <v>-7.3006589999999996E-2</v>
      </c>
      <c r="W3147">
        <v>0.15770209999999901</v>
      </c>
      <c r="X3147">
        <v>0.98478429999999995</v>
      </c>
      <c r="Y3147">
        <v>-0.15057999999999999</v>
      </c>
      <c r="Z3147">
        <v>0.34691719999999998</v>
      </c>
      <c r="AA3147">
        <v>0.92572900000000002</v>
      </c>
      <c r="AB3147">
        <v>28</v>
      </c>
      <c r="AC3147">
        <v>-0.23959349999999999</v>
      </c>
      <c r="AD3147">
        <v>1.0768009999999999</v>
      </c>
      <c r="AE3147">
        <v>2.8739319999999999</v>
      </c>
      <c r="AF3147">
        <v>-0.39429358178630602</v>
      </c>
      <c r="AG3147">
        <v>1.0768009999999999</v>
      </c>
      <c r="AH3147">
        <v>2.5001361964095801</v>
      </c>
      <c r="AI3147">
        <v>66.9532231838093</v>
      </c>
      <c r="AJ3147">
        <v>98.9622343476927</v>
      </c>
      <c r="AK3147">
        <v>2.7505724536605598</v>
      </c>
      <c r="AL3147">
        <v>80.926457174019703</v>
      </c>
      <c r="AM3147">
        <v>94.239843729820706</v>
      </c>
      <c r="AN3147">
        <v>1.00000001602716</v>
      </c>
    </row>
    <row r="3148" spans="1:40" x14ac:dyDescent="0.3">
      <c r="A3148" t="str">
        <f>"20200111150916281"</f>
        <v>20200111150916281</v>
      </c>
      <c r="B3148" t="str">
        <f>"1578726556277726"</f>
        <v>1578726556277726</v>
      </c>
      <c r="C3148" t="s">
        <v>40</v>
      </c>
      <c r="D3148">
        <v>5.4076430000000002</v>
      </c>
      <c r="E3148">
        <v>0.49269249999999998</v>
      </c>
      <c r="F3148" t="s">
        <v>49</v>
      </c>
      <c r="G3148">
        <v>0</v>
      </c>
      <c r="H3148">
        <v>0</v>
      </c>
      <c r="I3148">
        <v>0</v>
      </c>
      <c r="J3148">
        <v>-187.03819999999999</v>
      </c>
      <c r="K3148">
        <v>1.1097629999999901</v>
      </c>
      <c r="L3148">
        <v>-16.85934</v>
      </c>
      <c r="M3148">
        <v>7.3860599999999998E-2</v>
      </c>
      <c r="N3148">
        <v>0</v>
      </c>
      <c r="O3148">
        <v>0.99719329999999995</v>
      </c>
      <c r="P3148">
        <v>-6.0286300000000003E-4</v>
      </c>
      <c r="Q3148">
        <v>0.145065</v>
      </c>
      <c r="R3148">
        <v>0.98942200000000002</v>
      </c>
      <c r="S3148">
        <v>-0.27160640000000003</v>
      </c>
      <c r="T3148">
        <v>1.080441</v>
      </c>
      <c r="U3148">
        <v>2.873138</v>
      </c>
      <c r="V3148">
        <v>-7.3487360000000002E-2</v>
      </c>
      <c r="W3148">
        <v>0.15723399999999901</v>
      </c>
      <c r="X3148">
        <v>0.98482329999999996</v>
      </c>
      <c r="Y3148">
        <v>-0.161476799999999</v>
      </c>
      <c r="Z3148">
        <v>0.3475454</v>
      </c>
      <c r="AA3148">
        <v>0.92365439999999999</v>
      </c>
      <c r="AB3148">
        <v>28</v>
      </c>
      <c r="AC3148">
        <v>-0.27160640000000003</v>
      </c>
      <c r="AD3148">
        <v>1.080441</v>
      </c>
      <c r="AE3148">
        <v>2.873138</v>
      </c>
      <c r="AF3148">
        <v>-0.42370533743629202</v>
      </c>
      <c r="AG3148">
        <v>1.080441</v>
      </c>
      <c r="AH3148">
        <v>2.4954616537115601</v>
      </c>
      <c r="AI3148">
        <v>66.884629081783402</v>
      </c>
      <c r="AJ3148">
        <v>99.636370915362704</v>
      </c>
      <c r="AK3148">
        <v>2.75212787359124</v>
      </c>
      <c r="AL3148">
        <v>80.953615354225704</v>
      </c>
      <c r="AM3148">
        <v>94.267493157426202</v>
      </c>
      <c r="AN3148">
        <v>0.99999992752932698</v>
      </c>
    </row>
    <row r="3149" spans="1:40" x14ac:dyDescent="0.3">
      <c r="A3149" t="str">
        <f>"20200111150916302"</f>
        <v>20200111150916302</v>
      </c>
      <c r="B3149" t="str">
        <f>"1578726556297246"</f>
        <v>1578726556297246</v>
      </c>
      <c r="C3149" t="s">
        <v>40</v>
      </c>
      <c r="D3149">
        <v>5.4281389999999998</v>
      </c>
      <c r="E3149">
        <v>0.49588300000000002</v>
      </c>
      <c r="F3149" t="s">
        <v>48</v>
      </c>
      <c r="G3149">
        <v>-194.78890000000001</v>
      </c>
      <c r="H3149">
        <v>2.634252</v>
      </c>
      <c r="I3149">
        <v>391.87</v>
      </c>
      <c r="J3149">
        <v>-187.01759999999999</v>
      </c>
      <c r="K3149">
        <v>1.109774</v>
      </c>
      <c r="L3149">
        <v>-16.590999999999902</v>
      </c>
      <c r="M3149">
        <v>7.4455569999999999E-2</v>
      </c>
      <c r="N3149">
        <v>0</v>
      </c>
      <c r="O3149">
        <v>0.99714910000000001</v>
      </c>
      <c r="P3149">
        <v>-8.6646819999999997E-4</v>
      </c>
      <c r="Q3149">
        <v>0.14370559999999999</v>
      </c>
      <c r="R3149">
        <v>0.9896201</v>
      </c>
      <c r="S3149">
        <v>-5.7464599999999998E-2</v>
      </c>
      <c r="T3149">
        <v>1.130283E-2</v>
      </c>
      <c r="U3149">
        <v>3.0303960000000001</v>
      </c>
      <c r="V3149">
        <v>-7.4361990000000003E-2</v>
      </c>
      <c r="W3149">
        <v>0.1558744</v>
      </c>
      <c r="X3149">
        <v>0.98497380000000001</v>
      </c>
      <c r="Y3149">
        <v>-9.3354339999999994E-2</v>
      </c>
      <c r="Z3149">
        <v>3.7057819999999999E-3</v>
      </c>
      <c r="AA3149">
        <v>0.99562600000000001</v>
      </c>
      <c r="AB3149">
        <v>28</v>
      </c>
      <c r="AC3149">
        <v>-7.7713000000000196</v>
      </c>
      <c r="AD3149">
        <v>1.524478</v>
      </c>
      <c r="AE3149">
        <v>408.46100000000001</v>
      </c>
      <c r="AF3149">
        <v>-38.163673158125498</v>
      </c>
      <c r="AG3149">
        <v>1.524478</v>
      </c>
      <c r="AH3149">
        <v>406.74275372341498</v>
      </c>
      <c r="AI3149">
        <v>89.786194614675196</v>
      </c>
      <c r="AJ3149">
        <v>95.360229181212702</v>
      </c>
      <c r="AK3149">
        <v>408.53207669484101</v>
      </c>
      <c r="AL3149">
        <v>81.032487545962695</v>
      </c>
      <c r="AM3149">
        <v>94.317435625269894</v>
      </c>
      <c r="AN3149">
        <v>0.99999996040927897</v>
      </c>
    </row>
    <row r="3150" spans="1:40" x14ac:dyDescent="0.3">
      <c r="A3150" t="str">
        <f>"20200111150916323"</f>
        <v>20200111150916323</v>
      </c>
      <c r="B3150" t="str">
        <f>"1578726556317742"</f>
        <v>1578726556317742</v>
      </c>
      <c r="C3150" t="s">
        <v>40</v>
      </c>
      <c r="D3150">
        <v>5.5844639999999997</v>
      </c>
      <c r="E3150">
        <v>0.49530540000000001</v>
      </c>
      <c r="F3150" t="s">
        <v>43</v>
      </c>
      <c r="G3150">
        <v>-187.69229999999999</v>
      </c>
      <c r="H3150" s="1">
        <v>-2.7349869999999999E-6</v>
      </c>
      <c r="I3150">
        <v>45.053890000000003</v>
      </c>
      <c r="J3150">
        <v>-186.99629999999999</v>
      </c>
      <c r="K3150">
        <v>1.1097919999999999</v>
      </c>
      <c r="L3150">
        <v>-16.3139</v>
      </c>
      <c r="M3150">
        <v>7.5041880000000005E-2</v>
      </c>
      <c r="N3150">
        <v>0</v>
      </c>
      <c r="O3150">
        <v>0.99710509999999997</v>
      </c>
      <c r="P3150">
        <v>-1.723214E-3</v>
      </c>
      <c r="Q3150">
        <v>0.1425071</v>
      </c>
      <c r="R3150">
        <v>0.98979229999999996</v>
      </c>
      <c r="S3150">
        <v>-3.3264160000000001E-2</v>
      </c>
      <c r="T3150">
        <v>-5.4716939999999999E-2</v>
      </c>
      <c r="U3150">
        <v>3.0393680000000001</v>
      </c>
      <c r="V3150">
        <v>-7.5819700000000004E-2</v>
      </c>
      <c r="W3150">
        <v>0.1546737</v>
      </c>
      <c r="X3150">
        <v>0.98505200000000004</v>
      </c>
      <c r="Y3150">
        <v>-8.5954160000000002E-2</v>
      </c>
      <c r="Z3150">
        <v>-1.7889829999999999E-2</v>
      </c>
      <c r="AA3150">
        <v>0.99613850000000004</v>
      </c>
      <c r="AB3150">
        <v>28</v>
      </c>
      <c r="AC3150">
        <v>-0.69599999999999795</v>
      </c>
      <c r="AD3150">
        <v>-1.1097947349869901</v>
      </c>
      <c r="AE3150">
        <v>61.367789999999999</v>
      </c>
      <c r="AF3150">
        <v>-5.2978049375444796</v>
      </c>
      <c r="AG3150">
        <v>-1.1097947349869901</v>
      </c>
      <c r="AH3150">
        <v>61.122510152470099</v>
      </c>
      <c r="AI3150">
        <v>91.036314341323703</v>
      </c>
      <c r="AJ3150">
        <v>94.953741961529104</v>
      </c>
      <c r="AK3150">
        <v>61.361711423728103</v>
      </c>
      <c r="AL3150">
        <v>81.102127683899695</v>
      </c>
      <c r="AM3150">
        <v>94.401392339580596</v>
      </c>
      <c r="AN3150">
        <v>1.0000000115418799</v>
      </c>
    </row>
    <row r="3151" spans="1:40" x14ac:dyDescent="0.3">
      <c r="A3151" t="str">
        <f>"20200111150916347"</f>
        <v>20200111150916347</v>
      </c>
      <c r="B3151" t="str">
        <f>"1578726556337262"</f>
        <v>1578726556337262</v>
      </c>
      <c r="C3151" t="s">
        <v>40</v>
      </c>
      <c r="D3151">
        <v>5.4569199999999896</v>
      </c>
      <c r="E3151">
        <v>0.4957222</v>
      </c>
      <c r="F3151" t="s">
        <v>43</v>
      </c>
      <c r="G3151">
        <v>-187.87100000000001</v>
      </c>
      <c r="H3151" s="1">
        <v>-4.4676220000000004E-6</v>
      </c>
      <c r="I3151">
        <v>49.166609999999999</v>
      </c>
      <c r="J3151">
        <v>-186.9736</v>
      </c>
      <c r="K3151">
        <v>1.1098209999999999</v>
      </c>
      <c r="L3151">
        <v>-16.021550000000001</v>
      </c>
      <c r="M3151">
        <v>7.559855E-2</v>
      </c>
      <c r="N3151">
        <v>0</v>
      </c>
      <c r="O3151">
        <v>0.99706309999999998</v>
      </c>
      <c r="P3151">
        <v>-3.0997609999999999E-3</v>
      </c>
      <c r="Q3151">
        <v>0.142598</v>
      </c>
      <c r="R3151">
        <v>0.98977579999999998</v>
      </c>
      <c r="S3151">
        <v>-4.058838E-2</v>
      </c>
      <c r="T3151">
        <v>-5.1494119999999997E-2</v>
      </c>
      <c r="U3151">
        <v>3.0382690000000001</v>
      </c>
      <c r="V3151">
        <v>-7.7757019999999996E-2</v>
      </c>
      <c r="W3151">
        <v>0.15475610000000001</v>
      </c>
      <c r="X3151">
        <v>0.98488799999999999</v>
      </c>
      <c r="Y3151">
        <v>-8.8915179999999996E-2</v>
      </c>
      <c r="Z3151">
        <v>-1.6839E-2</v>
      </c>
      <c r="AA3151">
        <v>0.99589689999999997</v>
      </c>
      <c r="AB3151">
        <v>28</v>
      </c>
      <c r="AC3151">
        <v>-0.89739999999997599</v>
      </c>
      <c r="AD3151">
        <v>-1.1098254676220001</v>
      </c>
      <c r="AE3151">
        <v>65.188159999999996</v>
      </c>
      <c r="AF3151">
        <v>-5.8216445853361396</v>
      </c>
      <c r="AG3151">
        <v>-1.1098254676220001</v>
      </c>
      <c r="AH3151">
        <v>64.914926099828406</v>
      </c>
      <c r="AI3151">
        <v>90.975554002138395</v>
      </c>
      <c r="AJ3151">
        <v>95.124641511381299</v>
      </c>
      <c r="AK3151">
        <v>65.184897704857505</v>
      </c>
      <c r="AL3151">
        <v>81.097348766065707</v>
      </c>
      <c r="AM3151">
        <v>94.514144800759894</v>
      </c>
      <c r="AN3151">
        <v>0.99999998859524497</v>
      </c>
    </row>
    <row r="3152" spans="1:40" x14ac:dyDescent="0.3">
      <c r="A3152" t="str">
        <f>"20200111150916368"</f>
        <v>20200111150916368</v>
      </c>
      <c r="B3152" t="str">
        <f>"1578726556357757"</f>
        <v>1578726556357757</v>
      </c>
      <c r="C3152" t="s">
        <v>40</v>
      </c>
      <c r="D3152">
        <v>5.1948930000000004</v>
      </c>
      <c r="E3152">
        <v>0.49627949999999998</v>
      </c>
      <c r="F3152" t="s">
        <v>43</v>
      </c>
      <c r="G3152">
        <v>-187.5231</v>
      </c>
      <c r="H3152" s="1">
        <v>-2.158717E-6</v>
      </c>
      <c r="I3152">
        <v>23.640609999999999</v>
      </c>
      <c r="J3152">
        <v>-186.9528</v>
      </c>
      <c r="K3152">
        <v>1.1098699999999999</v>
      </c>
      <c r="L3152">
        <v>-15.754390000000001</v>
      </c>
      <c r="M3152">
        <v>7.6018890000000006E-2</v>
      </c>
      <c r="N3152">
        <v>0</v>
      </c>
      <c r="O3152">
        <v>0.99703120000000001</v>
      </c>
      <c r="P3152">
        <v>-3.4348759999999999E-3</v>
      </c>
      <c r="Q3152">
        <v>0.14274539999999999</v>
      </c>
      <c r="R3152">
        <v>0.98975349999999995</v>
      </c>
      <c r="S3152">
        <v>-4.2160030000000001E-2</v>
      </c>
      <c r="T3152">
        <v>-8.5152389999999994E-2</v>
      </c>
      <c r="U3152">
        <v>3.0431210000000002</v>
      </c>
      <c r="V3152">
        <v>-7.8526890000000002E-2</v>
      </c>
      <c r="W3152">
        <v>0.1548918</v>
      </c>
      <c r="X3152">
        <v>0.98480559999999995</v>
      </c>
      <c r="Y3152">
        <v>-8.9824669999999995E-2</v>
      </c>
      <c r="Z3152">
        <v>-2.7791670000000001E-2</v>
      </c>
      <c r="AA3152">
        <v>0.99556979999999995</v>
      </c>
      <c r="AB3152">
        <v>28</v>
      </c>
      <c r="AC3152">
        <v>-0.57030000000000303</v>
      </c>
      <c r="AD3152">
        <v>-1.109872158717</v>
      </c>
      <c r="AE3152">
        <v>39.395000000000003</v>
      </c>
      <c r="AF3152">
        <v>-3.56081252320622</v>
      </c>
      <c r="AG3152">
        <v>-1.109872158717</v>
      </c>
      <c r="AH3152">
        <v>39.206519588710698</v>
      </c>
      <c r="AI3152">
        <v>91.614873316357404</v>
      </c>
      <c r="AJ3152">
        <v>95.189476931287302</v>
      </c>
      <c r="AK3152">
        <v>39.383529302159701</v>
      </c>
      <c r="AL3152">
        <v>81.089478989768097</v>
      </c>
      <c r="AM3152">
        <v>94.559031573261294</v>
      </c>
      <c r="AN3152">
        <v>1.0000000059758301</v>
      </c>
    </row>
    <row r="3153" spans="1:40" x14ac:dyDescent="0.3">
      <c r="A3153" t="str">
        <f>"20200111150916390"</f>
        <v>20200111150916390</v>
      </c>
      <c r="B3153" t="str">
        <f>"1578726556387038"</f>
        <v>1578726556387038</v>
      </c>
      <c r="C3153" t="s">
        <v>40</v>
      </c>
      <c r="D3153">
        <v>5.4935419999999997</v>
      </c>
      <c r="E3153">
        <v>0.4970755</v>
      </c>
      <c r="F3153" t="s">
        <v>43</v>
      </c>
      <c r="G3153">
        <v>-187.41659999999999</v>
      </c>
      <c r="H3153" s="1">
        <v>-8.5058519999999995E-7</v>
      </c>
      <c r="I3153">
        <v>20.12764</v>
      </c>
      <c r="J3153">
        <v>-186.93029999999999</v>
      </c>
      <c r="K3153">
        <v>1.109944</v>
      </c>
      <c r="L3153">
        <v>-15.46588</v>
      </c>
      <c r="M3153">
        <v>7.6363760000000003E-2</v>
      </c>
      <c r="N3153">
        <v>0</v>
      </c>
      <c r="O3153">
        <v>0.99700480000000002</v>
      </c>
      <c r="P3153">
        <v>-2.6699649999999998E-3</v>
      </c>
      <c r="Q3153">
        <v>0.1419242</v>
      </c>
      <c r="R3153">
        <v>0.98987389999999997</v>
      </c>
      <c r="S3153">
        <v>-3.9352419999999999E-2</v>
      </c>
      <c r="T3153">
        <v>-9.4169619999999996E-2</v>
      </c>
      <c r="U3153">
        <v>3.044495</v>
      </c>
      <c r="V3153">
        <v>-7.8145590000000001E-2</v>
      </c>
      <c r="W3153">
        <v>0.154056</v>
      </c>
      <c r="X3153">
        <v>0.98496700000000004</v>
      </c>
      <c r="Y3153">
        <v>-8.924385E-2</v>
      </c>
      <c r="Z3153">
        <v>-3.0717930000000001E-2</v>
      </c>
      <c r="AA3153">
        <v>0.99553599999999998</v>
      </c>
      <c r="AB3153">
        <v>28</v>
      </c>
      <c r="AC3153">
        <v>-0.48630000000000001</v>
      </c>
      <c r="AD3153">
        <v>-1.1099448505851901</v>
      </c>
      <c r="AE3153">
        <v>35.593519999999998</v>
      </c>
      <c r="AF3153">
        <v>-3.2000274650070102</v>
      </c>
      <c r="AG3153">
        <v>-1.1099448505851901</v>
      </c>
      <c r="AH3153">
        <v>35.417998411749799</v>
      </c>
      <c r="AI3153">
        <v>91.787695884361099</v>
      </c>
      <c r="AJ3153">
        <v>95.162674475633494</v>
      </c>
      <c r="AK3153">
        <v>35.579583539480197</v>
      </c>
      <c r="AL3153">
        <v>81.1379484274742</v>
      </c>
      <c r="AM3153">
        <v>94.536246762012098</v>
      </c>
      <c r="AN3153">
        <v>0.99999998773072396</v>
      </c>
    </row>
    <row r="3154" spans="1:40" x14ac:dyDescent="0.3">
      <c r="A3154" t="str">
        <f>"20200111150916412"</f>
        <v>20200111150916412</v>
      </c>
      <c r="B3154" t="str">
        <f>"1578726556407536"</f>
        <v>1578726556407536</v>
      </c>
      <c r="C3154" t="s">
        <v>40</v>
      </c>
      <c r="D3154">
        <v>5.0874169999999896</v>
      </c>
      <c r="E3154">
        <v>0.4804949</v>
      </c>
      <c r="F3154" t="s">
        <v>43</v>
      </c>
      <c r="G3154">
        <v>-187.26140000000001</v>
      </c>
      <c r="H3154" s="1">
        <v>-3.7116039999999999E-6</v>
      </c>
      <c r="I3154">
        <v>17.152249999999999</v>
      </c>
      <c r="J3154">
        <v>-186.90979999999999</v>
      </c>
      <c r="K3154">
        <v>1.1100209999999999</v>
      </c>
      <c r="L3154">
        <v>-15.20187</v>
      </c>
      <c r="M3154">
        <v>7.6572920000000003E-2</v>
      </c>
      <c r="N3154">
        <v>0</v>
      </c>
      <c r="O3154">
        <v>0.99698880000000001</v>
      </c>
      <c r="P3154">
        <v>-1.2077699999999999E-3</v>
      </c>
      <c r="Q3154">
        <v>0.14096810000000001</v>
      </c>
      <c r="R3154">
        <v>0.99001340000000004</v>
      </c>
      <c r="S3154">
        <v>-3.091431E-2</v>
      </c>
      <c r="T3154">
        <v>-0.1036329</v>
      </c>
      <c r="U3154">
        <v>3.045471</v>
      </c>
      <c r="V3154">
        <v>-7.6938939999999997E-2</v>
      </c>
      <c r="W3154">
        <v>0.15308540000000001</v>
      </c>
      <c r="X3154">
        <v>0.98521329999999996</v>
      </c>
      <c r="Y3154">
        <v>-8.6689409999999995E-2</v>
      </c>
      <c r="Z3154">
        <v>-3.3794169999999998E-2</v>
      </c>
      <c r="AA3154">
        <v>0.99566200000000005</v>
      </c>
      <c r="AB3154">
        <v>28</v>
      </c>
      <c r="AC3154">
        <v>-0.35160000000001901</v>
      </c>
      <c r="AD3154">
        <v>-1.1100247116039901</v>
      </c>
      <c r="AE3154">
        <v>32.354120000000002</v>
      </c>
      <c r="AF3154">
        <v>-2.8248779996242499</v>
      </c>
      <c r="AG3154">
        <v>-1.1100247116039901</v>
      </c>
      <c r="AH3154">
        <v>32.194297659770299</v>
      </c>
      <c r="AI3154">
        <v>91.967162286109598</v>
      </c>
      <c r="AJ3154">
        <v>95.014556302883506</v>
      </c>
      <c r="AK3154">
        <v>32.337051386591</v>
      </c>
      <c r="AL3154">
        <v>81.194227363081794</v>
      </c>
      <c r="AM3154">
        <v>94.465375891483404</v>
      </c>
      <c r="AN3154">
        <v>0.99999999333918599</v>
      </c>
    </row>
    <row r="3155" spans="1:40" x14ac:dyDescent="0.3">
      <c r="A3155" t="str">
        <f>"20200111150916435"</f>
        <v>20200111150916435</v>
      </c>
      <c r="B3155" t="str">
        <f>"1578726556427054"</f>
        <v>1578726556427054</v>
      </c>
      <c r="C3155" t="s">
        <v>40</v>
      </c>
      <c r="D3155">
        <v>6.4908250000000001</v>
      </c>
      <c r="E3155">
        <v>0.47646759999999999</v>
      </c>
      <c r="F3155" t="s">
        <v>48</v>
      </c>
      <c r="G3155">
        <v>-209.30410000000001</v>
      </c>
      <c r="H3155">
        <v>126.3185</v>
      </c>
      <c r="I3155">
        <v>391.87</v>
      </c>
      <c r="J3155">
        <v>-186.88650000000001</v>
      </c>
      <c r="K3155">
        <v>1.11012</v>
      </c>
      <c r="L3155">
        <v>-14.901490000000001</v>
      </c>
      <c r="M3155">
        <v>7.6676499999999995E-2</v>
      </c>
      <c r="N3155">
        <v>0</v>
      </c>
      <c r="O3155">
        <v>0.9969808</v>
      </c>
      <c r="P3155" s="1">
        <v>5.514099E-6</v>
      </c>
      <c r="Q3155">
        <v>0.14028959999999999</v>
      </c>
      <c r="R3155">
        <v>0.9901105</v>
      </c>
      <c r="S3155">
        <v>-0.15969849999999999</v>
      </c>
      <c r="T3155">
        <v>0.89289069999999904</v>
      </c>
      <c r="U3155">
        <v>2.9029240000000001</v>
      </c>
      <c r="V3155">
        <v>-7.5877940000000005E-2</v>
      </c>
      <c r="W3155">
        <v>0.15238889999999999</v>
      </c>
      <c r="X3155">
        <v>0.98540349999999999</v>
      </c>
      <c r="Y3155">
        <v>-0.12893070000000001</v>
      </c>
      <c r="Z3155">
        <v>0.29126940000000001</v>
      </c>
      <c r="AA3155">
        <v>0.94791300000000001</v>
      </c>
      <c r="AB3155">
        <v>28</v>
      </c>
      <c r="AC3155">
        <v>-22.4176</v>
      </c>
      <c r="AD3155">
        <v>125.20838000000001</v>
      </c>
      <c r="AE3155">
        <v>406.77148999999997</v>
      </c>
      <c r="AF3155">
        <v>-48.922517455949503</v>
      </c>
      <c r="AG3155">
        <v>125.20838000000001</v>
      </c>
      <c r="AH3155">
        <v>368.99903989809201</v>
      </c>
      <c r="AI3155">
        <v>71.408322835289795</v>
      </c>
      <c r="AJ3155">
        <v>97.552325636613304</v>
      </c>
      <c r="AK3155">
        <v>392.72234795357201</v>
      </c>
      <c r="AL3155">
        <v>81.234607264233901</v>
      </c>
      <c r="AM3155">
        <v>94.403194889388104</v>
      </c>
      <c r="AN3155">
        <v>0.99999994821704996</v>
      </c>
    </row>
    <row r="3156" spans="1:40" x14ac:dyDescent="0.3">
      <c r="A3156" t="str">
        <f>"20200111150916458"</f>
        <v>20200111150916458</v>
      </c>
      <c r="B3156" t="str">
        <f>"1578726556447550"</f>
        <v>1578726556447550</v>
      </c>
      <c r="C3156" t="s">
        <v>40</v>
      </c>
      <c r="D3156">
        <v>6.473808</v>
      </c>
      <c r="E3156">
        <v>0.47356429999999999</v>
      </c>
      <c r="F3156" t="s">
        <v>48</v>
      </c>
      <c r="G3156">
        <v>-213.125</v>
      </c>
      <c r="H3156">
        <v>104.6207</v>
      </c>
      <c r="I3156">
        <v>391.87</v>
      </c>
      <c r="J3156">
        <v>-186.86529999999999</v>
      </c>
      <c r="K3156">
        <v>1.110217</v>
      </c>
      <c r="L3156">
        <v>-14.62579</v>
      </c>
      <c r="M3156">
        <v>7.6613470000000003E-2</v>
      </c>
      <c r="N3156">
        <v>0</v>
      </c>
      <c r="O3156">
        <v>0.99698569999999997</v>
      </c>
      <c r="P3156">
        <v>2.2137860000000001E-3</v>
      </c>
      <c r="Q3156">
        <v>0.13996989999999901</v>
      </c>
      <c r="R3156">
        <v>0.99015330000000001</v>
      </c>
      <c r="S3156">
        <v>-0.18864439999999999</v>
      </c>
      <c r="T3156">
        <v>0.74420109999999995</v>
      </c>
      <c r="U3156">
        <v>2.9245299999999999</v>
      </c>
      <c r="V3156">
        <v>-7.3655810000000002E-2</v>
      </c>
      <c r="W3156">
        <v>0.15205189999999999</v>
      </c>
      <c r="X3156">
        <v>0.98562419999999995</v>
      </c>
      <c r="Y3156">
        <v>-0.13867660000000001</v>
      </c>
      <c r="Z3156">
        <v>0.24409359999999999</v>
      </c>
      <c r="AA3156">
        <v>0.95978490000000005</v>
      </c>
      <c r="AB3156">
        <v>28</v>
      </c>
      <c r="AC3156">
        <v>-26.259699999999999</v>
      </c>
      <c r="AD3156">
        <v>103.51048299999999</v>
      </c>
      <c r="AE3156">
        <v>406.49579</v>
      </c>
      <c r="AF3156">
        <v>-53.850622887389697</v>
      </c>
      <c r="AG3156">
        <v>103.51048299999999</v>
      </c>
      <c r="AH3156">
        <v>378.82704012037402</v>
      </c>
      <c r="AI3156">
        <v>74.862663785568103</v>
      </c>
      <c r="AJ3156">
        <v>98.090445695536005</v>
      </c>
      <c r="AK3156">
        <v>396.38899581423402</v>
      </c>
      <c r="AL3156">
        <v>81.254144162967407</v>
      </c>
      <c r="AM3156">
        <v>94.273776253415804</v>
      </c>
      <c r="AN3156">
        <v>1.0000000111330001</v>
      </c>
    </row>
    <row r="3157" spans="1:40" x14ac:dyDescent="0.3">
      <c r="A3157" t="str">
        <f>"20200111150917049"</f>
        <v>20200111150917049</v>
      </c>
      <c r="B3157" t="str">
        <f>"1578726557047790"</f>
        <v>1578726557047790</v>
      </c>
      <c r="C3157" t="s">
        <v>40</v>
      </c>
      <c r="D3157">
        <v>7.7405949999999999</v>
      </c>
      <c r="E3157">
        <v>0.46291759999999899</v>
      </c>
      <c r="F3157" t="s">
        <v>48</v>
      </c>
      <c r="G3157">
        <v>-215.47720000000001</v>
      </c>
      <c r="H3157">
        <v>109.62090000000001</v>
      </c>
      <c r="I3157">
        <v>391.87</v>
      </c>
      <c r="J3157">
        <v>-186.51589999999999</v>
      </c>
      <c r="K3157">
        <v>1.1115980000000001</v>
      </c>
      <c r="L3157">
        <v>-7.2283020000000002</v>
      </c>
      <c r="M3157">
        <v>2.2714100000000001E-2</v>
      </c>
      <c r="N3157">
        <v>0</v>
      </c>
      <c r="O3157">
        <v>0.99966569999999999</v>
      </c>
      <c r="P3157">
        <v>-3.8066120000000002E-2</v>
      </c>
      <c r="Q3157">
        <v>0.13921529999999999</v>
      </c>
      <c r="R3157">
        <v>0.98953020000000003</v>
      </c>
      <c r="S3157">
        <v>-0.20553589999999999</v>
      </c>
      <c r="T3157">
        <v>0.77949789999999997</v>
      </c>
      <c r="U3157">
        <v>2.920105</v>
      </c>
      <c r="V3157">
        <v>-6.1029590000000002E-2</v>
      </c>
      <c r="W3157">
        <v>0.1512162</v>
      </c>
      <c r="X3157">
        <v>0.98661489999999996</v>
      </c>
      <c r="Y3157">
        <v>-9.0494099999999994E-2</v>
      </c>
      <c r="Z3157">
        <v>0.25698280000000001</v>
      </c>
      <c r="AA3157">
        <v>0.96216979999999996</v>
      </c>
      <c r="AB3157">
        <v>28</v>
      </c>
      <c r="AC3157">
        <v>-28.961300000000001</v>
      </c>
      <c r="AD3157">
        <v>108.50930200000001</v>
      </c>
      <c r="AE3157">
        <v>399.09830199999999</v>
      </c>
      <c r="AF3157">
        <v>-35.415410316093102</v>
      </c>
      <c r="AG3157">
        <v>108.50930200000001</v>
      </c>
      <c r="AH3157">
        <v>371.05217367411001</v>
      </c>
      <c r="AI3157">
        <v>73.768994550865102</v>
      </c>
      <c r="AJ3157">
        <v>95.4521313649132</v>
      </c>
      <c r="AK3157">
        <v>388.21158598973602</v>
      </c>
      <c r="AL3157">
        <v>81.302585910819801</v>
      </c>
      <c r="AM3157">
        <v>93.539667017312397</v>
      </c>
      <c r="AN3157">
        <v>0.99999995545000797</v>
      </c>
    </row>
    <row r="3158" spans="1:40" x14ac:dyDescent="0.3">
      <c r="A3158" t="str">
        <f>"20200111150917318"</f>
        <v>20200111150917318</v>
      </c>
      <c r="B3158" t="str">
        <f>"1578726557307406"</f>
        <v>1578726557307406</v>
      </c>
      <c r="C3158" t="s">
        <v>40</v>
      </c>
      <c r="D3158">
        <v>6.820271</v>
      </c>
      <c r="E3158">
        <v>0.46816720000000001</v>
      </c>
      <c r="F3158" t="s">
        <v>43</v>
      </c>
      <c r="G3158">
        <v>-187.709</v>
      </c>
      <c r="H3158" s="1">
        <v>-1.2971320000000001E-6</v>
      </c>
      <c r="I3158">
        <v>1.668531</v>
      </c>
      <c r="J3158">
        <v>-186.4633</v>
      </c>
      <c r="K3158">
        <v>1.1104179999999999</v>
      </c>
      <c r="L3158">
        <v>-3.8759769999999998</v>
      </c>
      <c r="M3158">
        <v>1.610232E-2</v>
      </c>
      <c r="N3158">
        <v>0</v>
      </c>
      <c r="O3158">
        <v>0.99979600000000002</v>
      </c>
      <c r="P3158">
        <v>-3.9466859999999999E-2</v>
      </c>
      <c r="Q3158">
        <v>0.147904799999999</v>
      </c>
      <c r="R3158">
        <v>0.98821380000000003</v>
      </c>
      <c r="S3158">
        <v>-0.4116821</v>
      </c>
      <c r="T3158">
        <v>-0.3835576</v>
      </c>
      <c r="U3158">
        <v>3.069855</v>
      </c>
      <c r="V3158">
        <v>-5.5424809999999998E-2</v>
      </c>
      <c r="W3158">
        <v>0.15991949999999999</v>
      </c>
      <c r="X3158">
        <v>0.98557289999999997</v>
      </c>
      <c r="Y3158">
        <v>-0.1478526</v>
      </c>
      <c r="Z3158">
        <v>-0.12273249999999999</v>
      </c>
      <c r="AA3158">
        <v>0.98136449999999997</v>
      </c>
      <c r="AB3158">
        <v>28</v>
      </c>
      <c r="AC3158">
        <v>-1.24569999999999</v>
      </c>
      <c r="AD3158">
        <v>-1.1104192971319999</v>
      </c>
      <c r="AE3158">
        <v>5.5445080000000004</v>
      </c>
      <c r="AF3158">
        <v>-1.2857324425321499</v>
      </c>
      <c r="AG3158">
        <v>-1.1104192971319999</v>
      </c>
      <c r="AH3158">
        <v>5.3205774815895497</v>
      </c>
      <c r="AI3158">
        <v>101.467606709554</v>
      </c>
      <c r="AJ3158">
        <v>103.58524050899</v>
      </c>
      <c r="AK3158">
        <v>5.5852201090754399</v>
      </c>
      <c r="AL3158">
        <v>80.797776705241503</v>
      </c>
      <c r="AM3158">
        <v>93.218702957817499</v>
      </c>
      <c r="AN3158">
        <v>1.0000000486290901</v>
      </c>
    </row>
    <row r="3159" spans="1:40" x14ac:dyDescent="0.3">
      <c r="A3159" t="str">
        <f>"20200111150917341"</f>
        <v>20200111150917341</v>
      </c>
      <c r="B3159" t="str">
        <f>"1578726557337662"</f>
        <v>1578726557337662</v>
      </c>
      <c r="C3159" t="s">
        <v>40</v>
      </c>
      <c r="D3159">
        <v>8.1261639999999993</v>
      </c>
      <c r="E3159">
        <v>0.49120079999999999</v>
      </c>
      <c r="F3159" t="s">
        <v>41</v>
      </c>
      <c r="G3159">
        <v>-186.54730000000001</v>
      </c>
      <c r="H3159">
        <v>0.9009433</v>
      </c>
      <c r="I3159">
        <v>-3.1805880000000002</v>
      </c>
      <c r="J3159">
        <v>-186.4589</v>
      </c>
      <c r="K3159">
        <v>1.1104210000000001</v>
      </c>
      <c r="L3159">
        <v>-3.5906980000000002</v>
      </c>
      <c r="M3159">
        <v>1.5885739999999999E-2</v>
      </c>
      <c r="N3159">
        <v>0</v>
      </c>
      <c r="O3159">
        <v>0.99980000000000002</v>
      </c>
      <c r="P3159">
        <v>-4.0925629999999998E-2</v>
      </c>
      <c r="Q3159">
        <v>0.14709729999999999</v>
      </c>
      <c r="R3159">
        <v>0.98827500000000001</v>
      </c>
      <c r="S3159">
        <v>-0.38273620000000003</v>
      </c>
      <c r="T3159">
        <v>-0.95283150000000005</v>
      </c>
      <c r="U3159">
        <v>3.163116</v>
      </c>
      <c r="V3159">
        <v>-5.6673330000000001E-2</v>
      </c>
      <c r="W3159">
        <v>0.1590703</v>
      </c>
      <c r="X3159">
        <v>0.9856393</v>
      </c>
      <c r="Y3159">
        <v>-0.13085269999999999</v>
      </c>
      <c r="Z3159">
        <v>-0.28617320000000002</v>
      </c>
      <c r="AA3159">
        <v>0.94920099999999996</v>
      </c>
      <c r="AB3159">
        <v>28</v>
      </c>
      <c r="AC3159">
        <v>-8.8400000000007098E-2</v>
      </c>
      <c r="AD3159">
        <v>-0.20947769999999899</v>
      </c>
      <c r="AE3159">
        <v>0.41010999999999997</v>
      </c>
      <c r="AF3159">
        <v>-7.5964913255399696E-2</v>
      </c>
      <c r="AG3159">
        <v>-0.20947769999999899</v>
      </c>
      <c r="AH3159">
        <v>0.32710191116010501</v>
      </c>
      <c r="AI3159">
        <v>121.95607512639999</v>
      </c>
      <c r="AJ3159">
        <v>103.074393863061</v>
      </c>
      <c r="AK3159">
        <v>0.39578685567838601</v>
      </c>
      <c r="AL3159">
        <v>80.847063020443798</v>
      </c>
      <c r="AM3159">
        <v>93.290829817265703</v>
      </c>
      <c r="AN3159">
        <v>1.0000000281899299</v>
      </c>
    </row>
    <row r="3160" spans="1:40" x14ac:dyDescent="0.3">
      <c r="A3160" t="str">
        <f>"20200111150917363"</f>
        <v>20200111150917363</v>
      </c>
      <c r="B3160" t="str">
        <f>"1578726557357182"</f>
        <v>1578726557357182</v>
      </c>
      <c r="C3160" t="s">
        <v>40</v>
      </c>
      <c r="D3160">
        <v>4.7069099999999997</v>
      </c>
      <c r="E3160">
        <v>0.4908518</v>
      </c>
      <c r="F3160" t="s">
        <v>41</v>
      </c>
      <c r="G3160">
        <v>-186.5205</v>
      </c>
      <c r="H3160">
        <v>0.988456</v>
      </c>
      <c r="I3160">
        <v>-2.6301800000000002</v>
      </c>
      <c r="J3160">
        <v>-186.45480000000001</v>
      </c>
      <c r="K3160">
        <v>1.110414</v>
      </c>
      <c r="L3160">
        <v>-3.3180540000000001</v>
      </c>
      <c r="M3160">
        <v>1.5660509999999999E-2</v>
      </c>
      <c r="N3160">
        <v>0</v>
      </c>
      <c r="O3160">
        <v>0.99980429999999998</v>
      </c>
      <c r="P3160">
        <v>-4.191081E-2</v>
      </c>
      <c r="Q3160">
        <v>0.14663329999999999</v>
      </c>
      <c r="R3160">
        <v>0.98830260000000003</v>
      </c>
      <c r="S3160">
        <v>-0.1984863</v>
      </c>
      <c r="T3160">
        <v>-0.3918102</v>
      </c>
      <c r="U3160">
        <v>3.085693</v>
      </c>
      <c r="V3160">
        <v>-5.7439179999999999E-2</v>
      </c>
      <c r="W3160">
        <v>0.15854109999999999</v>
      </c>
      <c r="X3160">
        <v>0.98568020000000001</v>
      </c>
      <c r="Y3160">
        <v>-7.9304799999999995E-2</v>
      </c>
      <c r="Z3160">
        <v>-0.12561549999999999</v>
      </c>
      <c r="AA3160">
        <v>0.98890420000000001</v>
      </c>
      <c r="AB3160">
        <v>28</v>
      </c>
      <c r="AC3160">
        <v>-6.5699999999992501E-2</v>
      </c>
      <c r="AD3160">
        <v>-0.121958</v>
      </c>
      <c r="AE3160">
        <v>0.68787399999999999</v>
      </c>
      <c r="AF3160">
        <v>-7.4155246017849105E-2</v>
      </c>
      <c r="AG3160">
        <v>-0.121958</v>
      </c>
      <c r="AH3160">
        <v>0.66601427468906604</v>
      </c>
      <c r="AI3160">
        <v>100.31446406433</v>
      </c>
      <c r="AJ3160">
        <v>96.353249242452705</v>
      </c>
      <c r="AK3160">
        <v>0.68113711421825396</v>
      </c>
      <c r="AL3160">
        <v>80.877773393429806</v>
      </c>
      <c r="AM3160">
        <v>93.335062352499094</v>
      </c>
      <c r="AN3160">
        <v>0.99999999823016095</v>
      </c>
    </row>
    <row r="3161" spans="1:40" x14ac:dyDescent="0.3">
      <c r="A3161" t="str">
        <f>"20200111150917386"</f>
        <v>20200111150917386</v>
      </c>
      <c r="B3161" t="str">
        <f>"1578726557377678"</f>
        <v>1578726557377678</v>
      </c>
      <c r="C3161" t="s">
        <v>40</v>
      </c>
      <c r="D3161">
        <v>5.1052479999999996</v>
      </c>
      <c r="E3161">
        <v>0.48430839999999997</v>
      </c>
      <c r="F3161" t="s">
        <v>43</v>
      </c>
      <c r="G3161">
        <v>-187.31950000000001</v>
      </c>
      <c r="H3161" s="1">
        <v>-7.3941389999999999E-7</v>
      </c>
      <c r="I3161">
        <v>9.7250940000000003</v>
      </c>
      <c r="J3161">
        <v>-186.4504</v>
      </c>
      <c r="K3161">
        <v>1.1104039999999999</v>
      </c>
      <c r="L3161">
        <v>-3.0195919999999998</v>
      </c>
      <c r="M3161">
        <v>1.5399929999999999E-2</v>
      </c>
      <c r="N3161">
        <v>0</v>
      </c>
      <c r="O3161">
        <v>0.99980939999999996</v>
      </c>
      <c r="P3161">
        <v>-4.2527679999999998E-2</v>
      </c>
      <c r="Q3161">
        <v>0.14676910000000001</v>
      </c>
      <c r="R3161">
        <v>0.98825620000000003</v>
      </c>
      <c r="S3161">
        <v>-0.20324710000000001</v>
      </c>
      <c r="T3161">
        <v>-0.26098759999999999</v>
      </c>
      <c r="U3161">
        <v>3.0656129999999999</v>
      </c>
      <c r="V3161">
        <v>-5.7800650000000002E-2</v>
      </c>
      <c r="W3161">
        <v>0.15858720000000001</v>
      </c>
      <c r="X3161">
        <v>0.98565170000000002</v>
      </c>
      <c r="Y3161">
        <v>-8.1276070000000006E-2</v>
      </c>
      <c r="Z3161">
        <v>-8.4579440000000006E-2</v>
      </c>
      <c r="AA3161">
        <v>0.99309639999999999</v>
      </c>
      <c r="AB3161">
        <v>28</v>
      </c>
      <c r="AC3161">
        <v>-0.86910000000000298</v>
      </c>
      <c r="AD3161">
        <v>-1.1104047394139001</v>
      </c>
      <c r="AE3161">
        <v>12.744686</v>
      </c>
      <c r="AF3161">
        <v>-1.05728949492425</v>
      </c>
      <c r="AG3161">
        <v>-1.1104047394139001</v>
      </c>
      <c r="AH3161">
        <v>12.6343249961679</v>
      </c>
      <c r="AI3161">
        <v>95.005295921329306</v>
      </c>
      <c r="AJ3161">
        <v>94.7835881514563</v>
      </c>
      <c r="AK3161">
        <v>12.7270195988763</v>
      </c>
      <c r="AL3161">
        <v>80.8750986385799</v>
      </c>
      <c r="AM3161">
        <v>93.356099199285893</v>
      </c>
      <c r="AN3161">
        <v>1.0000000444285699</v>
      </c>
    </row>
    <row r="3162" spans="1:40" x14ac:dyDescent="0.3">
      <c r="A3162" t="str">
        <f>"20200111150917406"</f>
        <v>20200111150917406</v>
      </c>
      <c r="B3162" t="str">
        <f>"1578726557397198"</f>
        <v>1578726557397198</v>
      </c>
      <c r="C3162" t="s">
        <v>40</v>
      </c>
      <c r="D3162">
        <v>5.1006710000000002</v>
      </c>
      <c r="E3162">
        <v>0.48967290000000002</v>
      </c>
      <c r="F3162" t="s">
        <v>43</v>
      </c>
      <c r="G3162">
        <v>-188.1722</v>
      </c>
      <c r="H3162" s="1">
        <v>-3.6676039999999999E-6</v>
      </c>
      <c r="I3162">
        <v>17.426269999999999</v>
      </c>
      <c r="J3162">
        <v>-186.44669999999999</v>
      </c>
      <c r="K3162">
        <v>1.1103889999999901</v>
      </c>
      <c r="L3162">
        <v>-2.7622680000000002</v>
      </c>
      <c r="M3162">
        <v>1.516873E-2</v>
      </c>
      <c r="N3162">
        <v>0</v>
      </c>
      <c r="O3162">
        <v>0.99981419999999999</v>
      </c>
      <c r="P3162">
        <v>-4.2723530000000003E-2</v>
      </c>
      <c r="Q3162">
        <v>0.1469847</v>
      </c>
      <c r="R3162">
        <v>0.98821570000000003</v>
      </c>
      <c r="S3162">
        <v>-0.25677489999999997</v>
      </c>
      <c r="T3162">
        <v>-0.16560069999999999</v>
      </c>
      <c r="U3162">
        <v>3.049194</v>
      </c>
      <c r="V3162">
        <v>-5.7769979999999999E-2</v>
      </c>
      <c r="W3162">
        <v>0.15869929999999999</v>
      </c>
      <c r="X3162">
        <v>0.98563540000000005</v>
      </c>
      <c r="Y3162">
        <v>-9.8897899999999997E-2</v>
      </c>
      <c r="Z3162">
        <v>-5.3992150000000003E-2</v>
      </c>
      <c r="AA3162">
        <v>0.99363170000000001</v>
      </c>
      <c r="AB3162">
        <v>28</v>
      </c>
      <c r="AC3162">
        <v>-1.72550000000001</v>
      </c>
      <c r="AD3162">
        <v>-1.1103926676039999</v>
      </c>
      <c r="AE3162">
        <v>20.188538000000001</v>
      </c>
      <c r="AF3162">
        <v>-2.0254747163469098</v>
      </c>
      <c r="AG3162">
        <v>-1.1103926676039999</v>
      </c>
      <c r="AH3162">
        <v>20.099676352379401</v>
      </c>
      <c r="AI3162">
        <v>93.146149580881499</v>
      </c>
      <c r="AJ3162">
        <v>95.754356329898002</v>
      </c>
      <c r="AK3162">
        <v>20.231967506231999</v>
      </c>
      <c r="AL3162">
        <v>80.868592898844298</v>
      </c>
      <c r="AM3162">
        <v>93.354377809358198</v>
      </c>
      <c r="AN3162">
        <v>0.99999999007142504</v>
      </c>
    </row>
    <row r="3163" spans="1:40" x14ac:dyDescent="0.3">
      <c r="A3163" t="str">
        <f>"20200111150917428"</f>
        <v>20200111150917428</v>
      </c>
      <c r="B3163" t="str">
        <f>"1578726557417694"</f>
        <v>1578726557417694</v>
      </c>
      <c r="C3163" t="s">
        <v>40</v>
      </c>
      <c r="D3163">
        <v>5.1170580000000001</v>
      </c>
      <c r="E3163">
        <v>0.494116</v>
      </c>
      <c r="F3163" t="s">
        <v>43</v>
      </c>
      <c r="G3163">
        <v>-188.4221</v>
      </c>
      <c r="H3163" s="1">
        <v>-2.7053690000000002E-6</v>
      </c>
      <c r="I3163">
        <v>25.286629999999999</v>
      </c>
      <c r="J3163">
        <v>-186.44280000000001</v>
      </c>
      <c r="K3163">
        <v>1.1103559999999999</v>
      </c>
      <c r="L3163">
        <v>-2.487854</v>
      </c>
      <c r="M3163">
        <v>1.4919470000000001E-2</v>
      </c>
      <c r="N3163">
        <v>0</v>
      </c>
      <c r="O3163">
        <v>0.99981980000000004</v>
      </c>
      <c r="P3163">
        <v>-4.2274930000000002E-2</v>
      </c>
      <c r="Q3163">
        <v>0.1478535</v>
      </c>
      <c r="R3163">
        <v>0.98810540000000002</v>
      </c>
      <c r="S3163">
        <v>-0.21441650000000001</v>
      </c>
      <c r="T3163">
        <v>-0.12052209999999999</v>
      </c>
      <c r="U3163">
        <v>3.0444339999999999</v>
      </c>
      <c r="V3163">
        <v>-5.7075710000000002E-2</v>
      </c>
      <c r="W3163">
        <v>0.1594158</v>
      </c>
      <c r="X3163">
        <v>0.9855602</v>
      </c>
      <c r="Y3163">
        <v>-8.5076159999999998E-2</v>
      </c>
      <c r="Z3163">
        <v>-3.9429649999999997E-2</v>
      </c>
      <c r="AA3163">
        <v>0.99559399999999998</v>
      </c>
      <c r="AB3163">
        <v>28</v>
      </c>
      <c r="AC3163">
        <v>-1.9792999999999901</v>
      </c>
      <c r="AD3163">
        <v>-1.1103587053689901</v>
      </c>
      <c r="AE3163">
        <v>27.774484000000001</v>
      </c>
      <c r="AF3163">
        <v>-2.3896888668438598</v>
      </c>
      <c r="AG3163">
        <v>-1.1103587053689901</v>
      </c>
      <c r="AH3163">
        <v>27.697816757751301</v>
      </c>
      <c r="AI3163">
        <v>92.287174099802996</v>
      </c>
      <c r="AJ3163">
        <v>94.9311058172852</v>
      </c>
      <c r="AK3163">
        <v>27.822878400353801</v>
      </c>
      <c r="AL3163">
        <v>80.827010929196106</v>
      </c>
      <c r="AM3163">
        <v>93.314408170238707</v>
      </c>
      <c r="AN3163">
        <v>0.99999997089284098</v>
      </c>
    </row>
    <row r="3164" spans="1:40" x14ac:dyDescent="0.3">
      <c r="A3164" t="str">
        <f>"20200111150917452"</f>
        <v>20200111150917452</v>
      </c>
      <c r="B3164" t="str">
        <f>"1578726557447951"</f>
        <v>1578726557447951</v>
      </c>
      <c r="C3164" t="s">
        <v>40</v>
      </c>
      <c r="D3164">
        <v>6.4313549999999999</v>
      </c>
      <c r="E3164">
        <v>0.48746499999999998</v>
      </c>
      <c r="F3164" t="s">
        <v>43</v>
      </c>
      <c r="G3164">
        <v>-188.7577</v>
      </c>
      <c r="H3164" s="1">
        <v>-3.3817390000000002E-6</v>
      </c>
      <c r="I3164">
        <v>37.002020000000002</v>
      </c>
      <c r="J3164">
        <v>-186.4385</v>
      </c>
      <c r="K3164">
        <v>1.1103149999999999</v>
      </c>
      <c r="L3164">
        <v>-2.1822509999999999</v>
      </c>
      <c r="M3164">
        <v>1.4641889999999999E-2</v>
      </c>
      <c r="N3164">
        <v>0</v>
      </c>
      <c r="O3164">
        <v>0.99982649999999995</v>
      </c>
      <c r="P3164">
        <v>-4.0988789999999997E-2</v>
      </c>
      <c r="Q3164">
        <v>0.14810179999999901</v>
      </c>
      <c r="R3164">
        <v>0.98812230000000001</v>
      </c>
      <c r="S3164">
        <v>-0.17828369999999999</v>
      </c>
      <c r="T3164">
        <v>-8.5513710000000007E-2</v>
      </c>
      <c r="U3164">
        <v>3.04129</v>
      </c>
      <c r="V3164">
        <v>-5.5517070000000002E-2</v>
      </c>
      <c r="W3164">
        <v>0.15943840000000001</v>
      </c>
      <c r="X3164">
        <v>0.98564560000000001</v>
      </c>
      <c r="Y3164">
        <v>-7.3109080000000007E-2</v>
      </c>
      <c r="Z3164">
        <v>-2.8040289999999999E-2</v>
      </c>
      <c r="AA3164">
        <v>0.99692970000000003</v>
      </c>
      <c r="AB3164">
        <v>28</v>
      </c>
      <c r="AC3164">
        <v>-2.3191999999999902</v>
      </c>
      <c r="AD3164">
        <v>-1.1103183817390001</v>
      </c>
      <c r="AE3164">
        <v>39.184271000000003</v>
      </c>
      <c r="AF3164">
        <v>-2.89040851526372</v>
      </c>
      <c r="AG3164">
        <v>-1.1103183817390001</v>
      </c>
      <c r="AH3164">
        <v>39.114813859322602</v>
      </c>
      <c r="AI3164">
        <v>91.621550222479399</v>
      </c>
      <c r="AJ3164">
        <v>94.226218649047496</v>
      </c>
      <c r="AK3164">
        <v>39.237175376718803</v>
      </c>
      <c r="AL3164">
        <v>80.825699524650304</v>
      </c>
      <c r="AM3164">
        <v>93.223812209069294</v>
      </c>
      <c r="AN3164">
        <v>0.99999999862765199</v>
      </c>
    </row>
    <row r="3165" spans="1:40" x14ac:dyDescent="0.3">
      <c r="A3165" t="str">
        <f>"20200111150917474"</f>
        <v>20200111150917474</v>
      </c>
      <c r="B3165" t="str">
        <f>"1578726557467469"</f>
        <v>1578726557467469</v>
      </c>
      <c r="C3165" t="s">
        <v>40</v>
      </c>
      <c r="D3165">
        <v>5.5537929999999998</v>
      </c>
      <c r="E3165">
        <v>0.49222519999999997</v>
      </c>
      <c r="F3165" t="s">
        <v>48</v>
      </c>
      <c r="G3165">
        <v>-216.1045</v>
      </c>
      <c r="H3165">
        <v>73.47569</v>
      </c>
      <c r="I3165">
        <v>391.87</v>
      </c>
      <c r="J3165">
        <v>-186.4348</v>
      </c>
      <c r="K3165">
        <v>1.1102730000000001</v>
      </c>
      <c r="L3165">
        <v>-1.912201</v>
      </c>
      <c r="M3165">
        <v>1.4397409999999999E-2</v>
      </c>
      <c r="N3165">
        <v>0</v>
      </c>
      <c r="O3165">
        <v>0.99983290000000002</v>
      </c>
      <c r="P3165">
        <v>-3.9876969999999998E-2</v>
      </c>
      <c r="Q3165">
        <v>0.14861099999999999</v>
      </c>
      <c r="R3165">
        <v>0.98809139999999995</v>
      </c>
      <c r="S3165">
        <v>-0.2217712</v>
      </c>
      <c r="T3165">
        <v>0.54097320000000004</v>
      </c>
      <c r="U3165">
        <v>2.94577</v>
      </c>
      <c r="V3165">
        <v>-5.4164419999999998E-2</v>
      </c>
      <c r="W3165">
        <v>0.15969920000000001</v>
      </c>
      <c r="X3165">
        <v>0.98567859999999996</v>
      </c>
      <c r="Y3165">
        <v>-8.8195380000000004E-2</v>
      </c>
      <c r="Z3165">
        <v>0.1799965</v>
      </c>
      <c r="AA3165">
        <v>0.97970550000000001</v>
      </c>
      <c r="AB3165">
        <v>28</v>
      </c>
      <c r="AC3165">
        <v>-29.669699999999999</v>
      </c>
      <c r="AD3165">
        <v>72.365416999999994</v>
      </c>
      <c r="AE3165">
        <v>393.78220099999999</v>
      </c>
      <c r="AF3165">
        <v>-34.1883544546818</v>
      </c>
      <c r="AG3165">
        <v>72.365416999999994</v>
      </c>
      <c r="AH3165">
        <v>380.53548791604101</v>
      </c>
      <c r="AI3165">
        <v>79.274969846638996</v>
      </c>
      <c r="AJ3165">
        <v>95.133827026160901</v>
      </c>
      <c r="AK3165">
        <v>388.86097094129002</v>
      </c>
      <c r="AL3165">
        <v>80.810562484339002</v>
      </c>
      <c r="AM3165">
        <v>93.145319972009304</v>
      </c>
      <c r="AN3165">
        <v>0.99999996068626695</v>
      </c>
    </row>
    <row r="3166" spans="1:40" x14ac:dyDescent="0.3">
      <c r="A3166" t="str">
        <f>"20200111150917496"</f>
        <v>20200111150917496</v>
      </c>
      <c r="B3166" t="str">
        <f>"1578726557486990"</f>
        <v>1578726557486990</v>
      </c>
      <c r="C3166" t="s">
        <v>40</v>
      </c>
      <c r="D3166">
        <v>5.5586260000000003</v>
      </c>
      <c r="E3166">
        <v>0.48920859999999999</v>
      </c>
      <c r="F3166" t="s">
        <v>48</v>
      </c>
      <c r="G3166">
        <v>-210.5575</v>
      </c>
      <c r="H3166">
        <v>72.977890000000002</v>
      </c>
      <c r="I3166">
        <v>391.87</v>
      </c>
      <c r="J3166">
        <v>-186.43090000000001</v>
      </c>
      <c r="K3166">
        <v>1.110212</v>
      </c>
      <c r="L3166">
        <v>-1.6256710000000001</v>
      </c>
      <c r="M3166">
        <v>1.413911E-2</v>
      </c>
      <c r="N3166">
        <v>0</v>
      </c>
      <c r="O3166">
        <v>0.99984010000000001</v>
      </c>
      <c r="P3166">
        <v>-3.9740310000000001E-2</v>
      </c>
      <c r="Q3166">
        <v>0.14755860000000001</v>
      </c>
      <c r="R3166">
        <v>0.98825459999999998</v>
      </c>
      <c r="S3166">
        <v>-0.18058779999999999</v>
      </c>
      <c r="T3166">
        <v>0.5380161</v>
      </c>
      <c r="U3166">
        <v>2.947937</v>
      </c>
      <c r="V3166">
        <v>-5.3775440000000001E-2</v>
      </c>
      <c r="W3166">
        <v>0.1583377</v>
      </c>
      <c r="X3166">
        <v>0.98591949999999995</v>
      </c>
      <c r="Y3166">
        <v>-7.4262690000000006E-2</v>
      </c>
      <c r="Z3166">
        <v>0.1791026</v>
      </c>
      <c r="AA3166">
        <v>0.9810236</v>
      </c>
      <c r="AB3166">
        <v>28</v>
      </c>
      <c r="AC3166">
        <v>-24.1266</v>
      </c>
      <c r="AD3166">
        <v>71.867677999999998</v>
      </c>
      <c r="AE3166">
        <v>393.49567100000002</v>
      </c>
      <c r="AF3166">
        <v>-28.7333312380119</v>
      </c>
      <c r="AG3166">
        <v>71.867677999999998</v>
      </c>
      <c r="AH3166">
        <v>380.47132372266299</v>
      </c>
      <c r="AI3166">
        <v>79.333037805701693</v>
      </c>
      <c r="AJ3166">
        <v>94.318799824495599</v>
      </c>
      <c r="AK3166">
        <v>388.26407977099802</v>
      </c>
      <c r="AL3166">
        <v>80.889575933867604</v>
      </c>
      <c r="AM3166">
        <v>93.122015316210394</v>
      </c>
      <c r="AN3166">
        <v>0.999999942834365</v>
      </c>
    </row>
    <row r="3167" spans="1:40" x14ac:dyDescent="0.3">
      <c r="A3167" t="str">
        <f>"20200111150917520"</f>
        <v>20200111150917520</v>
      </c>
      <c r="B3167" t="str">
        <f>"1578726557517247"</f>
        <v>1578726557517247</v>
      </c>
      <c r="C3167" t="s">
        <v>40</v>
      </c>
      <c r="D3167">
        <v>5.4079189999999997</v>
      </c>
      <c r="E3167">
        <v>0.49044549999999998</v>
      </c>
      <c r="F3167" t="s">
        <v>48</v>
      </c>
      <c r="G3167">
        <v>-213.6902</v>
      </c>
      <c r="H3167">
        <v>63.6248199999999</v>
      </c>
      <c r="I3167">
        <v>391.87</v>
      </c>
      <c r="J3167">
        <v>-186.4271</v>
      </c>
      <c r="K3167">
        <v>1.110147</v>
      </c>
      <c r="L3167">
        <v>-1.334198</v>
      </c>
      <c r="M3167">
        <v>1.387736E-2</v>
      </c>
      <c r="N3167">
        <v>0</v>
      </c>
      <c r="O3167">
        <v>0.99984770000000001</v>
      </c>
      <c r="P3167">
        <v>-3.94715E-2</v>
      </c>
      <c r="Q3167">
        <v>0.14679039999999999</v>
      </c>
      <c r="R3167">
        <v>0.98837980000000003</v>
      </c>
      <c r="S3167">
        <v>-0.2048645</v>
      </c>
      <c r="T3167">
        <v>0.46982190000000001</v>
      </c>
      <c r="U3167">
        <v>2.9572750000000001</v>
      </c>
      <c r="V3167">
        <v>-5.3250069999999997E-2</v>
      </c>
      <c r="W3167">
        <v>0.15721849999999901</v>
      </c>
      <c r="X3167">
        <v>0.98612710000000003</v>
      </c>
      <c r="Y3167">
        <v>-8.2096230000000006E-2</v>
      </c>
      <c r="Z3167">
        <v>0.1564315</v>
      </c>
      <c r="AA3167">
        <v>0.98427100000000001</v>
      </c>
      <c r="AB3167">
        <v>28</v>
      </c>
      <c r="AC3167">
        <v>-27.263100000000001</v>
      </c>
      <c r="AD3167">
        <v>62.514673000000002</v>
      </c>
      <c r="AE3167">
        <v>393.20419800000002</v>
      </c>
      <c r="AF3167">
        <v>-31.914567410108202</v>
      </c>
      <c r="AG3167">
        <v>62.514673000000002</v>
      </c>
      <c r="AH3167">
        <v>383.14939178376602</v>
      </c>
      <c r="AI3167">
        <v>80.764701130385006</v>
      </c>
      <c r="AJ3167">
        <v>94.761481108942206</v>
      </c>
      <c r="AK3167">
        <v>389.52545536529601</v>
      </c>
      <c r="AL3167">
        <v>80.9545147556654</v>
      </c>
      <c r="AM3167">
        <v>93.090924039585204</v>
      </c>
      <c r="AN3167">
        <v>0.99999994202582998</v>
      </c>
    </row>
    <row r="3168" spans="1:40" x14ac:dyDescent="0.3">
      <c r="A3168" t="str">
        <f>"20200111150917544"</f>
        <v>20200111150917544</v>
      </c>
      <c r="B3168" t="str">
        <f>"1578726557537741"</f>
        <v>1578726557537741</v>
      </c>
      <c r="C3168" t="s">
        <v>40</v>
      </c>
      <c r="D3168">
        <v>5.5586789999999997</v>
      </c>
      <c r="E3168">
        <v>0.54476859999999905</v>
      </c>
      <c r="F3168" t="s">
        <v>48</v>
      </c>
      <c r="G3168">
        <v>-212.2296</v>
      </c>
      <c r="H3168">
        <v>69.74776</v>
      </c>
      <c r="I3168">
        <v>391.87</v>
      </c>
      <c r="J3168">
        <v>-186.42320000000001</v>
      </c>
      <c r="K3168">
        <v>1.1100939999999999</v>
      </c>
      <c r="L3168">
        <v>-1.033722</v>
      </c>
      <c r="M3168">
        <v>1.360891E-2</v>
      </c>
      <c r="N3168">
        <v>0</v>
      </c>
      <c r="O3168">
        <v>0.99985520000000006</v>
      </c>
      <c r="P3168">
        <v>-3.8952529999999999E-2</v>
      </c>
      <c r="Q3168">
        <v>0.14634620000000001</v>
      </c>
      <c r="R3168">
        <v>0.98846630000000002</v>
      </c>
      <c r="S3168">
        <v>-0.1936493</v>
      </c>
      <c r="T3168">
        <v>0.51512910000000001</v>
      </c>
      <c r="U3168">
        <v>2.9510190000000001</v>
      </c>
      <c r="V3168">
        <v>-5.2467399999999997E-2</v>
      </c>
      <c r="W3168">
        <v>0.15640699999999999</v>
      </c>
      <c r="X3168">
        <v>0.98629809999999996</v>
      </c>
      <c r="Y3168">
        <v>-7.8084210000000001E-2</v>
      </c>
      <c r="Z3168">
        <v>0.1714937</v>
      </c>
      <c r="AA3168">
        <v>0.98208589999999996</v>
      </c>
      <c r="AB3168">
        <v>28</v>
      </c>
      <c r="AC3168">
        <v>-25.8064</v>
      </c>
      <c r="AD3168">
        <v>68.637665999999996</v>
      </c>
      <c r="AE3168">
        <v>392.90372200000002</v>
      </c>
      <c r="AF3168">
        <v>-30.232611807290699</v>
      </c>
      <c r="AG3168">
        <v>68.637665999999996</v>
      </c>
      <c r="AH3168">
        <v>380.94059913069799</v>
      </c>
      <c r="AI3168">
        <v>79.8174119328703</v>
      </c>
      <c r="AJ3168">
        <v>94.537657558219493</v>
      </c>
      <c r="AK3168">
        <v>388.25362854282901</v>
      </c>
      <c r="AL3168">
        <v>81.001592878943896</v>
      </c>
      <c r="AM3168">
        <v>93.045052738654306</v>
      </c>
      <c r="AN3168">
        <v>0.99999995988768398</v>
      </c>
    </row>
    <row r="3169" spans="1:40" x14ac:dyDescent="0.3">
      <c r="A3169" t="str">
        <f>"20200111150917565"</f>
        <v>20200111150917565</v>
      </c>
      <c r="B3169" t="str">
        <f>"1578726557557262"</f>
        <v>1578726557557262</v>
      </c>
      <c r="C3169" t="s">
        <v>40</v>
      </c>
      <c r="D3169">
        <v>5.5319510000000003</v>
      </c>
      <c r="E3169">
        <v>0.5467978</v>
      </c>
      <c r="F3169" t="s">
        <v>41</v>
      </c>
      <c r="G3169">
        <v>-186.36330000000001</v>
      </c>
      <c r="H3169">
        <v>0.86410319999999996</v>
      </c>
      <c r="I3169">
        <v>-0.1819829</v>
      </c>
      <c r="J3169">
        <v>-186.41980000000001</v>
      </c>
      <c r="K3169">
        <v>1.1100509999999999</v>
      </c>
      <c r="L3169">
        <v>-0.76492309999999997</v>
      </c>
      <c r="M3169">
        <v>1.336943E-2</v>
      </c>
      <c r="N3169">
        <v>0</v>
      </c>
      <c r="O3169">
        <v>0.99986169999999996</v>
      </c>
      <c r="P3169">
        <v>-3.883926E-2</v>
      </c>
      <c r="Q3169">
        <v>0.14605839999999901</v>
      </c>
      <c r="R3169">
        <v>0.98851319999999998</v>
      </c>
      <c r="S3169">
        <v>0.22294620000000001</v>
      </c>
      <c r="T3169">
        <v>-0.91833790000000004</v>
      </c>
      <c r="U3169">
        <v>3.1797490000000002</v>
      </c>
      <c r="V3169">
        <v>-5.2118249999999998E-2</v>
      </c>
      <c r="W3169">
        <v>0.15580840000000001</v>
      </c>
      <c r="X3169">
        <v>0.98641140000000005</v>
      </c>
      <c r="Y3169">
        <v>5.3864049999999997E-2</v>
      </c>
      <c r="Z3169">
        <v>-0.27691890000000002</v>
      </c>
      <c r="AA3169">
        <v>0.95938239999999997</v>
      </c>
      <c r="AB3169">
        <v>28</v>
      </c>
      <c r="AC3169">
        <v>5.6499999999999703E-2</v>
      </c>
      <c r="AD3169">
        <v>-0.24594779999999999</v>
      </c>
      <c r="AE3169">
        <v>0.58294019999999902</v>
      </c>
      <c r="AF3169">
        <v>4.1400060924769597E-2</v>
      </c>
      <c r="AG3169">
        <v>-0.24594779999999999</v>
      </c>
      <c r="AH3169">
        <v>0.49614754182961801</v>
      </c>
      <c r="AI3169">
        <v>116.289290645503</v>
      </c>
      <c r="AJ3169">
        <v>85.230115786610398</v>
      </c>
      <c r="AK3169">
        <v>0.55530772426915498</v>
      </c>
      <c r="AL3169">
        <v>81.036316287447207</v>
      </c>
      <c r="AM3169">
        <v>93.024480072379305</v>
      </c>
      <c r="AN3169">
        <v>1.00000000977179</v>
      </c>
    </row>
    <row r="3170" spans="1:40" x14ac:dyDescent="0.3">
      <c r="A3170" t="str">
        <f>"20200111150917587"</f>
        <v>20200111150917587</v>
      </c>
      <c r="B3170" t="str">
        <f>"1578726557577758"</f>
        <v>1578726557577758</v>
      </c>
      <c r="C3170" t="s">
        <v>40</v>
      </c>
      <c r="D3170">
        <v>5.4920749999999998</v>
      </c>
      <c r="E3170">
        <v>0.54795179999999999</v>
      </c>
      <c r="F3170" t="s">
        <v>41</v>
      </c>
      <c r="G3170">
        <v>-186.35640000000001</v>
      </c>
      <c r="H3170">
        <v>0.86716599999999999</v>
      </c>
      <c r="I3170">
        <v>7.5039629999999996E-2</v>
      </c>
      <c r="J3170">
        <v>-186.4161</v>
      </c>
      <c r="K3170">
        <v>1.1100110000000001</v>
      </c>
      <c r="L3170">
        <v>-0.47045900000000002</v>
      </c>
      <c r="M3170">
        <v>1.3108140000000001E-2</v>
      </c>
      <c r="N3170">
        <v>0</v>
      </c>
      <c r="O3170">
        <v>0.99986819999999998</v>
      </c>
      <c r="P3170">
        <v>-3.8741339999999999E-2</v>
      </c>
      <c r="Q3170">
        <v>0.1455398</v>
      </c>
      <c r="R3170">
        <v>0.98859359999999996</v>
      </c>
      <c r="S3170">
        <v>0.23945620000000001</v>
      </c>
      <c r="T3170">
        <v>-0.91957330000000004</v>
      </c>
      <c r="U3170">
        <v>3.180145</v>
      </c>
      <c r="V3170">
        <v>-5.1762929999999999E-2</v>
      </c>
      <c r="W3170">
        <v>0.15497559999999999</v>
      </c>
      <c r="X3170">
        <v>0.98656129999999997</v>
      </c>
      <c r="Y3170">
        <v>5.9065560000000003E-2</v>
      </c>
      <c r="Z3170">
        <v>-0.27714349999999999</v>
      </c>
      <c r="AA3170">
        <v>0.95901130000000001</v>
      </c>
      <c r="AB3170">
        <v>29</v>
      </c>
      <c r="AC3170">
        <v>5.9699999999992301E-2</v>
      </c>
      <c r="AD3170">
        <v>-0.24284500000000001</v>
      </c>
      <c r="AE3170">
        <v>0.54549862999999998</v>
      </c>
      <c r="AF3170">
        <v>4.3939066751187299E-2</v>
      </c>
      <c r="AG3170">
        <v>-0.24284500000000001</v>
      </c>
      <c r="AH3170">
        <v>0.45677899819338402</v>
      </c>
      <c r="AI3170">
        <v>117.887964815006</v>
      </c>
      <c r="AJ3170">
        <v>84.505437168965599</v>
      </c>
      <c r="AK3170">
        <v>0.51918338648546603</v>
      </c>
      <c r="AL3170">
        <v>81.084619026328696</v>
      </c>
      <c r="AM3170">
        <v>93.003442767914905</v>
      </c>
      <c r="AN3170">
        <v>1.0000000180876101</v>
      </c>
    </row>
    <row r="3171" spans="1:40" x14ac:dyDescent="0.3">
      <c r="A3171" t="str">
        <f>"20200111150917608"</f>
        <v>20200111150917608</v>
      </c>
      <c r="B3171" t="str">
        <f>"1578726557597278"</f>
        <v>1578726557597278</v>
      </c>
      <c r="C3171" t="s">
        <v>40</v>
      </c>
      <c r="D3171">
        <v>5.4573119999999999</v>
      </c>
      <c r="E3171">
        <v>0.54916869999999995</v>
      </c>
      <c r="F3171" t="s">
        <v>41</v>
      </c>
      <c r="G3171">
        <v>-186.35290000000001</v>
      </c>
      <c r="H3171">
        <v>0.87605730000000004</v>
      </c>
      <c r="I3171">
        <v>0.33511079999999999</v>
      </c>
      <c r="J3171">
        <v>-186.4128</v>
      </c>
      <c r="K3171">
        <v>1.1099749999999999</v>
      </c>
      <c r="L3171">
        <v>-0.20468140000000001</v>
      </c>
      <c r="M3171">
        <v>1.2872730000000001E-2</v>
      </c>
      <c r="N3171">
        <v>0</v>
      </c>
      <c r="O3171">
        <v>0.99987380000000003</v>
      </c>
      <c r="P3171">
        <v>-3.8407249999999997E-2</v>
      </c>
      <c r="Q3171">
        <v>0.1446974</v>
      </c>
      <c r="R3171">
        <v>0.98873029999999995</v>
      </c>
      <c r="S3171">
        <v>0.24877929999999901</v>
      </c>
      <c r="T3171">
        <v>-0.9236299</v>
      </c>
      <c r="U3171">
        <v>3.1803279999999998</v>
      </c>
      <c r="V3171">
        <v>-5.1198380000000002E-2</v>
      </c>
      <c r="W3171">
        <v>0.15387509999999999</v>
      </c>
      <c r="X3171">
        <v>0.98676299999999995</v>
      </c>
      <c r="Y3171">
        <v>6.2067190000000001E-2</v>
      </c>
      <c r="Z3171">
        <v>-0.2782039</v>
      </c>
      <c r="AA3171">
        <v>0.95851459999999999</v>
      </c>
      <c r="AB3171">
        <v>29</v>
      </c>
      <c r="AC3171">
        <v>5.9899999999998899E-2</v>
      </c>
      <c r="AD3171">
        <v>-0.23391769999999901</v>
      </c>
      <c r="AE3171">
        <v>0.53979219999999895</v>
      </c>
      <c r="AF3171">
        <v>4.4661217206567898E-2</v>
      </c>
      <c r="AG3171">
        <v>-0.23391769999999901</v>
      </c>
      <c r="AH3171">
        <v>0.455939177802554</v>
      </c>
      <c r="AI3171">
        <v>117.048950353005</v>
      </c>
      <c r="AJ3171">
        <v>84.405477927216893</v>
      </c>
      <c r="AK3171">
        <v>0.51438570018122698</v>
      </c>
      <c r="AL3171">
        <v>81.148438595317103</v>
      </c>
      <c r="AM3171">
        <v>92.970138707532897</v>
      </c>
      <c r="AN3171">
        <v>1.0000000193418099</v>
      </c>
    </row>
    <row r="3172" spans="1:40" x14ac:dyDescent="0.3">
      <c r="A3172" t="str">
        <f>"20200111150917632"</f>
        <v>20200111150917632</v>
      </c>
      <c r="B3172" t="str">
        <f>"1578726557627535"</f>
        <v>1578726557627535</v>
      </c>
      <c r="C3172" t="s">
        <v>40</v>
      </c>
      <c r="D3172">
        <v>5.4676729999999996</v>
      </c>
      <c r="E3172">
        <v>0.55002859999999998</v>
      </c>
      <c r="F3172" t="s">
        <v>41</v>
      </c>
      <c r="G3172">
        <v>-186.3475</v>
      </c>
      <c r="H3172">
        <v>0.88010309999999903</v>
      </c>
      <c r="I3172">
        <v>0.59397670000000002</v>
      </c>
      <c r="J3172">
        <v>-186.4092</v>
      </c>
      <c r="K3172">
        <v>1.10995</v>
      </c>
      <c r="L3172">
        <v>9.9822999999999995E-2</v>
      </c>
      <c r="M3172">
        <v>1.260327E-2</v>
      </c>
      <c r="N3172">
        <v>0</v>
      </c>
      <c r="O3172">
        <v>0.99987969999999904</v>
      </c>
      <c r="P3172">
        <v>-3.8356139999999997E-2</v>
      </c>
      <c r="Q3172">
        <v>0.14461769999999999</v>
      </c>
      <c r="R3172">
        <v>0.98874390000000001</v>
      </c>
      <c r="S3172">
        <v>0.26000980000000001</v>
      </c>
      <c r="T3172">
        <v>-0.9147419</v>
      </c>
      <c r="U3172">
        <v>3.1781619999999999</v>
      </c>
      <c r="V3172">
        <v>-5.0881170000000003E-2</v>
      </c>
      <c r="W3172">
        <v>0.1535311</v>
      </c>
      <c r="X3172">
        <v>0.98683299999999996</v>
      </c>
      <c r="Y3172">
        <v>6.5807660000000004E-2</v>
      </c>
      <c r="Z3172">
        <v>-0.27583730000000001</v>
      </c>
      <c r="AA3172">
        <v>0.95894900000000005</v>
      </c>
      <c r="AB3172">
        <v>29</v>
      </c>
      <c r="AC3172">
        <v>6.1700000000001802E-2</v>
      </c>
      <c r="AD3172">
        <v>-0.22984689999999999</v>
      </c>
      <c r="AE3172">
        <v>0.49415369999999997</v>
      </c>
      <c r="AF3172">
        <v>4.5726013642289003E-2</v>
      </c>
      <c r="AG3172">
        <v>-0.22984689999999999</v>
      </c>
      <c r="AH3172">
        <v>0.40798108913067699</v>
      </c>
      <c r="AI3172">
        <v>119.243194217837</v>
      </c>
      <c r="AJ3172">
        <v>83.6050481426863</v>
      </c>
      <c r="AK3172">
        <v>0.47049870866079802</v>
      </c>
      <c r="AL3172">
        <v>81.168385473030398</v>
      </c>
      <c r="AM3172">
        <v>92.951560241912702</v>
      </c>
      <c r="AN3172">
        <v>1.0000000310083801</v>
      </c>
    </row>
    <row r="3173" spans="1:40" x14ac:dyDescent="0.3">
      <c r="A3173" t="str">
        <f>"20200111150917653"</f>
        <v>20200111150917653</v>
      </c>
      <c r="B3173" t="str">
        <f>"1578726557647053"</f>
        <v>1578726557647053</v>
      </c>
      <c r="C3173" t="s">
        <v>40</v>
      </c>
      <c r="D3173">
        <v>5.4731529999999999</v>
      </c>
      <c r="E3173">
        <v>0.5513323</v>
      </c>
      <c r="F3173" t="s">
        <v>41</v>
      </c>
      <c r="G3173">
        <v>-186.34549999999999</v>
      </c>
      <c r="H3173">
        <v>0.89110849999999897</v>
      </c>
      <c r="I3173">
        <v>0.85645559999999998</v>
      </c>
      <c r="J3173">
        <v>-186.4059</v>
      </c>
      <c r="K3173">
        <v>1.1099349999999999</v>
      </c>
      <c r="L3173">
        <v>0.38101200000000002</v>
      </c>
      <c r="M3173">
        <v>1.2354479999999999E-2</v>
      </c>
      <c r="N3173">
        <v>0</v>
      </c>
      <c r="O3173">
        <v>0.99988469999999996</v>
      </c>
      <c r="P3173">
        <v>-3.830016E-2</v>
      </c>
      <c r="Q3173">
        <v>0.14382139999999999</v>
      </c>
      <c r="R3173">
        <v>0.98886220000000002</v>
      </c>
      <c r="S3173">
        <v>0.26693729999999999</v>
      </c>
      <c r="T3173">
        <v>-0.91945410000000005</v>
      </c>
      <c r="U3173">
        <v>3.1789860000000001</v>
      </c>
      <c r="V3173">
        <v>-5.0581399999999999E-2</v>
      </c>
      <c r="W3173">
        <v>0.15252599999999999</v>
      </c>
      <c r="X3173">
        <v>0.9870042</v>
      </c>
      <c r="Y3173">
        <v>6.8082019999999993E-2</v>
      </c>
      <c r="Z3173">
        <v>-0.27704020000000001</v>
      </c>
      <c r="AA3173">
        <v>0.9584433</v>
      </c>
      <c r="AB3173">
        <v>29</v>
      </c>
      <c r="AC3173">
        <v>6.0400000000015497E-2</v>
      </c>
      <c r="AD3173">
        <v>-0.21882650000000001</v>
      </c>
      <c r="AE3173">
        <v>0.47544360000000002</v>
      </c>
      <c r="AF3173">
        <v>4.5115883035947602E-2</v>
      </c>
      <c r="AG3173">
        <v>-0.21882650000000001</v>
      </c>
      <c r="AH3173">
        <v>0.39401274225809502</v>
      </c>
      <c r="AI3173">
        <v>118.888765368751</v>
      </c>
      <c r="AJ3173">
        <v>83.4678747687623</v>
      </c>
      <c r="AK3173">
        <v>0.45295311133284799</v>
      </c>
      <c r="AL3173">
        <v>81.226659333370606</v>
      </c>
      <c r="AM3173">
        <v>92.933693333865307</v>
      </c>
      <c r="AN3173">
        <v>0.99999997475979896</v>
      </c>
    </row>
    <row r="3174" spans="1:40" x14ac:dyDescent="0.3">
      <c r="A3174" t="str">
        <f>"20200111150917676"</f>
        <v>20200111150917676</v>
      </c>
      <c r="B3174" t="str">
        <f>"1578726557666984"</f>
        <v>1578726557666984</v>
      </c>
      <c r="C3174" t="s">
        <v>40</v>
      </c>
      <c r="D3174">
        <v>5.5636999999999999</v>
      </c>
      <c r="E3174">
        <v>0.55091880000000004</v>
      </c>
      <c r="F3174" t="s">
        <v>41</v>
      </c>
      <c r="G3174">
        <v>-186.3417</v>
      </c>
      <c r="H3174">
        <v>0.89431000000000005</v>
      </c>
      <c r="I3174">
        <v>1.1164620000000001</v>
      </c>
      <c r="J3174">
        <v>-186.4025</v>
      </c>
      <c r="K3174">
        <v>1.1099239999999999</v>
      </c>
      <c r="L3174">
        <v>0.6787415</v>
      </c>
      <c r="M3174">
        <v>1.2091080000000001E-2</v>
      </c>
      <c r="N3174">
        <v>0</v>
      </c>
      <c r="O3174">
        <v>0.99988949999999999</v>
      </c>
      <c r="P3174">
        <v>-3.8691759999999999E-2</v>
      </c>
      <c r="Q3174">
        <v>0.1434115</v>
      </c>
      <c r="R3174">
        <v>0.98890650000000002</v>
      </c>
      <c r="S3174">
        <v>0.27746579999999998</v>
      </c>
      <c r="T3174">
        <v>-0.93237919999999996</v>
      </c>
      <c r="U3174">
        <v>3.180145</v>
      </c>
      <c r="V3174">
        <v>-5.071316E-2</v>
      </c>
      <c r="W3174">
        <v>0.15193219999999999</v>
      </c>
      <c r="X3174">
        <v>0.98708899999999999</v>
      </c>
      <c r="Y3174">
        <v>7.1378880000000006E-2</v>
      </c>
      <c r="Z3174">
        <v>-0.28046789999999999</v>
      </c>
      <c r="AA3174">
        <v>0.95720570000000005</v>
      </c>
      <c r="AB3174">
        <v>29</v>
      </c>
      <c r="AC3174">
        <v>6.0800000000000402E-2</v>
      </c>
      <c r="AD3174">
        <v>-0.215613999999999</v>
      </c>
      <c r="AE3174">
        <v>0.43772050000000001</v>
      </c>
      <c r="AF3174">
        <v>4.48310037442275E-2</v>
      </c>
      <c r="AG3174">
        <v>-0.215613999999999</v>
      </c>
      <c r="AH3174">
        <v>0.35412551294183597</v>
      </c>
      <c r="AI3174">
        <v>121.133742575114</v>
      </c>
      <c r="AJ3174">
        <v>82.784943424819005</v>
      </c>
      <c r="AK3174">
        <v>0.417018098898637</v>
      </c>
      <c r="AL3174">
        <v>81.261082600131999</v>
      </c>
      <c r="AM3174">
        <v>92.941069696563304</v>
      </c>
      <c r="AN3174">
        <v>0.99999995595751101</v>
      </c>
    </row>
    <row r="3175" spans="1:40" x14ac:dyDescent="0.3">
      <c r="A3175" t="str">
        <f>"20200111150917699"</f>
        <v>20200111150917699</v>
      </c>
      <c r="B3175" t="str">
        <f>"1578726557687480"</f>
        <v>1578726557687480</v>
      </c>
      <c r="C3175" t="s">
        <v>40</v>
      </c>
      <c r="D3175">
        <v>5.5473790000000003</v>
      </c>
      <c r="E3175">
        <v>0.55063079999999998</v>
      </c>
      <c r="F3175" t="s">
        <v>41</v>
      </c>
      <c r="G3175">
        <v>-186.34180000000001</v>
      </c>
      <c r="H3175">
        <v>0.90432380000000001</v>
      </c>
      <c r="I3175">
        <v>1.380431</v>
      </c>
      <c r="J3175">
        <v>-186.39920000000001</v>
      </c>
      <c r="K3175">
        <v>1.1099159999999999</v>
      </c>
      <c r="L3175">
        <v>0.97436520000000004</v>
      </c>
      <c r="M3175">
        <v>1.18295E-2</v>
      </c>
      <c r="N3175">
        <v>0</v>
      </c>
      <c r="O3175">
        <v>0.9998939</v>
      </c>
      <c r="P3175">
        <v>-3.9114099999999999E-2</v>
      </c>
      <c r="Q3175">
        <v>0.14239889999999999</v>
      </c>
      <c r="R3175">
        <v>0.98903620000000003</v>
      </c>
      <c r="S3175">
        <v>0.27420040000000001</v>
      </c>
      <c r="T3175">
        <v>-0.93160339999999997</v>
      </c>
      <c r="U3175">
        <v>3.1794739999999999</v>
      </c>
      <c r="V3175">
        <v>-5.0878550000000002E-2</v>
      </c>
      <c r="W3175">
        <v>0.15077460000000001</v>
      </c>
      <c r="X3175">
        <v>0.98725799999999997</v>
      </c>
      <c r="Y3175">
        <v>7.0685059999999994E-2</v>
      </c>
      <c r="Z3175">
        <v>-0.28032679999999999</v>
      </c>
      <c r="AA3175">
        <v>0.9572986</v>
      </c>
      <c r="AB3175">
        <v>29</v>
      </c>
      <c r="AC3175">
        <v>5.74000000000012E-2</v>
      </c>
      <c r="AD3175">
        <v>-0.205592199999999</v>
      </c>
      <c r="AE3175">
        <v>0.40606579999999898</v>
      </c>
      <c r="AF3175">
        <v>4.2029400306707702E-2</v>
      </c>
      <c r="AG3175">
        <v>-0.205592199999999</v>
      </c>
      <c r="AH3175">
        <v>0.32502975066715001</v>
      </c>
      <c r="AI3175">
        <v>122.100485243655</v>
      </c>
      <c r="AJ3175">
        <v>82.632002473386706</v>
      </c>
      <c r="AK3175">
        <v>0.38688365435842798</v>
      </c>
      <c r="AL3175">
        <v>81.328181430227104</v>
      </c>
      <c r="AM3175">
        <v>92.950140234432794</v>
      </c>
      <c r="AN3175">
        <v>0.99999998270963097</v>
      </c>
    </row>
    <row r="3176" spans="1:40" x14ac:dyDescent="0.3">
      <c r="A3176" t="str">
        <f>"20200111150917720"</f>
        <v>20200111150917720</v>
      </c>
      <c r="B3176" t="str">
        <f>"1578726557717736"</f>
        <v>1578726557717736</v>
      </c>
      <c r="C3176" t="s">
        <v>40</v>
      </c>
      <c r="D3176">
        <v>5.5841629999999904</v>
      </c>
      <c r="E3176">
        <v>0.54996630000000002</v>
      </c>
      <c r="F3176" t="s">
        <v>41</v>
      </c>
      <c r="G3176">
        <v>-186.34200000000001</v>
      </c>
      <c r="H3176">
        <v>0.91274310000000003</v>
      </c>
      <c r="I3176">
        <v>1.6443410000000001</v>
      </c>
      <c r="J3176">
        <v>-186.39619999999999</v>
      </c>
      <c r="K3176">
        <v>1.1099110000000001</v>
      </c>
      <c r="L3176">
        <v>1.2482599999999999</v>
      </c>
      <c r="M3176">
        <v>1.1587190000000001E-2</v>
      </c>
      <c r="N3176">
        <v>0</v>
      </c>
      <c r="O3176">
        <v>0.9998977</v>
      </c>
      <c r="P3176">
        <v>-3.9881939999999998E-2</v>
      </c>
      <c r="Q3176">
        <v>0.14189479999999999</v>
      </c>
      <c r="R3176">
        <v>0.98907800000000001</v>
      </c>
      <c r="S3176">
        <v>0.271347</v>
      </c>
      <c r="T3176">
        <v>-0.93548489999999995</v>
      </c>
      <c r="U3176">
        <v>3.1786799999999999</v>
      </c>
      <c r="V3176">
        <v>-5.140782E-2</v>
      </c>
      <c r="W3176">
        <v>0.15016179999999901</v>
      </c>
      <c r="X3176">
        <v>0.98732399999999998</v>
      </c>
      <c r="Y3176">
        <v>7.0065310000000006E-2</v>
      </c>
      <c r="Z3176">
        <v>-0.28148379999999901</v>
      </c>
      <c r="AA3176">
        <v>0.95700450000000004</v>
      </c>
      <c r="AB3176">
        <v>29</v>
      </c>
      <c r="AC3176">
        <v>5.4199999999980202E-2</v>
      </c>
      <c r="AD3176">
        <v>-0.19716790000000001</v>
      </c>
      <c r="AE3176">
        <v>0.39608099999999902</v>
      </c>
      <c r="AF3176">
        <v>3.9900951871504199E-2</v>
      </c>
      <c r="AG3176">
        <v>-0.19716790000000001</v>
      </c>
      <c r="AH3176">
        <v>0.31906973751624201</v>
      </c>
      <c r="AI3176">
        <v>121.515383486674</v>
      </c>
      <c r="AJ3176">
        <v>82.871936429618302</v>
      </c>
      <c r="AK3176">
        <v>0.37719062044189999</v>
      </c>
      <c r="AL3176">
        <v>81.363696829856707</v>
      </c>
      <c r="AM3176">
        <v>92.980575451714401</v>
      </c>
      <c r="AN3176">
        <v>1.00000000555619</v>
      </c>
    </row>
    <row r="3177" spans="1:40" x14ac:dyDescent="0.3">
      <c r="A3177" t="str">
        <f>"20200111150917742"</f>
        <v>20200111150917742</v>
      </c>
      <c r="B3177" t="str">
        <f>"1578726557737256"</f>
        <v>1578726557737256</v>
      </c>
      <c r="C3177" t="s">
        <v>40</v>
      </c>
      <c r="D3177">
        <v>5.6133179999999996</v>
      </c>
      <c r="E3177">
        <v>0.54929890000000003</v>
      </c>
      <c r="F3177" t="s">
        <v>41</v>
      </c>
      <c r="G3177">
        <v>-186.32210000000001</v>
      </c>
      <c r="H3177">
        <v>0.84728939999999997</v>
      </c>
      <c r="I3177">
        <v>2.1391840000000002</v>
      </c>
      <c r="J3177">
        <v>-186.3931</v>
      </c>
      <c r="K3177">
        <v>1.1099019999999999</v>
      </c>
      <c r="L3177">
        <v>1.5326839999999999</v>
      </c>
      <c r="M3177">
        <v>1.1335619999999999E-2</v>
      </c>
      <c r="N3177">
        <v>0</v>
      </c>
      <c r="O3177">
        <v>0.99990140000000005</v>
      </c>
      <c r="P3177">
        <v>-4.0608749999999999E-2</v>
      </c>
      <c r="Q3177">
        <v>0.14121249999999999</v>
      </c>
      <c r="R3177">
        <v>0.98914610000000003</v>
      </c>
      <c r="S3177">
        <v>0.26380920000000002</v>
      </c>
      <c r="T3177">
        <v>-0.93683930000000004</v>
      </c>
      <c r="U3177">
        <v>3.1781619999999999</v>
      </c>
      <c r="V3177">
        <v>-5.1886660000000001E-2</v>
      </c>
      <c r="W3177">
        <v>0.14938670000000001</v>
      </c>
      <c r="X3177">
        <v>0.98741650000000003</v>
      </c>
      <c r="Y3177">
        <v>6.8064199999999894E-2</v>
      </c>
      <c r="Z3177">
        <v>-0.28194750000000002</v>
      </c>
      <c r="AA3177">
        <v>0.95701250000000004</v>
      </c>
      <c r="AB3177">
        <v>29</v>
      </c>
      <c r="AC3177">
        <v>7.0999999999997898E-2</v>
      </c>
      <c r="AD3177">
        <v>-0.26261259999999997</v>
      </c>
      <c r="AE3177">
        <v>0.60650000000000004</v>
      </c>
      <c r="AF3177">
        <v>5.4112036949710701E-2</v>
      </c>
      <c r="AG3177">
        <v>-0.26261259999999997</v>
      </c>
      <c r="AH3177">
        <v>0.51248156741922501</v>
      </c>
      <c r="AI3177">
        <v>117.003408982948</v>
      </c>
      <c r="AJ3177">
        <v>83.972571823390595</v>
      </c>
      <c r="AK3177">
        <v>0.57838641682362502</v>
      </c>
      <c r="AL3177">
        <v>81.408613200851093</v>
      </c>
      <c r="AM3177">
        <v>93.008006074463594</v>
      </c>
      <c r="AN3177">
        <v>0.99999997804754703</v>
      </c>
    </row>
    <row r="3178" spans="1:40" x14ac:dyDescent="0.3">
      <c r="A3178" t="str">
        <f>"20200111150917765"</f>
        <v>20200111150917765</v>
      </c>
      <c r="B3178" t="str">
        <f>"1578726557757752"</f>
        <v>1578726557757752</v>
      </c>
      <c r="C3178" t="s">
        <v>40</v>
      </c>
      <c r="D3178">
        <v>5.5248559999999998</v>
      </c>
      <c r="E3178">
        <v>0.54888159999999997</v>
      </c>
      <c r="F3178" t="s">
        <v>41</v>
      </c>
      <c r="G3178">
        <v>-186.3227</v>
      </c>
      <c r="H3178">
        <v>0.85537469999999904</v>
      </c>
      <c r="I3178">
        <v>2.4043580000000002</v>
      </c>
      <c r="J3178">
        <v>-186.39009999999999</v>
      </c>
      <c r="K3178">
        <v>1.109896</v>
      </c>
      <c r="L3178">
        <v>1.8257749999999999</v>
      </c>
      <c r="M3178">
        <v>1.107642E-2</v>
      </c>
      <c r="N3178">
        <v>0</v>
      </c>
      <c r="O3178">
        <v>0.99990489999999999</v>
      </c>
      <c r="P3178">
        <v>-4.2392279999999997E-2</v>
      </c>
      <c r="Q3178">
        <v>0.141141299999999</v>
      </c>
      <c r="R3178">
        <v>0.9890814</v>
      </c>
      <c r="S3178">
        <v>0.25627139999999998</v>
      </c>
      <c r="T3178">
        <v>-0.92732599999999998</v>
      </c>
      <c r="U3178">
        <v>3.1758120000000001</v>
      </c>
      <c r="V3178">
        <v>-5.3412889999999998E-2</v>
      </c>
      <c r="W3178">
        <v>0.14923249999999999</v>
      </c>
      <c r="X3178">
        <v>0.98735850000000003</v>
      </c>
      <c r="Y3178">
        <v>6.6181210000000004E-2</v>
      </c>
      <c r="Z3178">
        <v>-0.27954289999999998</v>
      </c>
      <c r="AA3178">
        <v>0.95784959999999997</v>
      </c>
      <c r="AB3178">
        <v>29</v>
      </c>
      <c r="AC3178">
        <v>6.7399999999992105E-2</v>
      </c>
      <c r="AD3178">
        <v>-0.25452130000000001</v>
      </c>
      <c r="AE3178">
        <v>0.57858299999999996</v>
      </c>
      <c r="AF3178">
        <v>5.1209786038140699E-2</v>
      </c>
      <c r="AG3178">
        <v>-0.25452130000000001</v>
      </c>
      <c r="AH3178">
        <v>0.48642359791137602</v>
      </c>
      <c r="AI3178">
        <v>117.491318144698</v>
      </c>
      <c r="AJ3178">
        <v>83.990143362339197</v>
      </c>
      <c r="AK3178">
        <v>0.55137233422145004</v>
      </c>
      <c r="AL3178">
        <v>81.417548919473703</v>
      </c>
      <c r="AM3178">
        <v>93.096497459147798</v>
      </c>
      <c r="AN3178">
        <v>1.0000000416983199</v>
      </c>
    </row>
    <row r="3179" spans="1:40" x14ac:dyDescent="0.3">
      <c r="A3179" t="str">
        <f>"20200111150917786"</f>
        <v>20200111150917786</v>
      </c>
      <c r="B3179" t="str">
        <f>"1578726557777828"</f>
        <v>1578726557777828</v>
      </c>
      <c r="C3179" t="s">
        <v>40</v>
      </c>
      <c r="D3179">
        <v>5.5088350000000004</v>
      </c>
      <c r="E3179">
        <v>0.54855559999999903</v>
      </c>
      <c r="F3179" t="s">
        <v>41</v>
      </c>
      <c r="G3179">
        <v>-186.3237</v>
      </c>
      <c r="H3179">
        <v>0.86487879999999995</v>
      </c>
      <c r="I3179">
        <v>2.6707320000000001</v>
      </c>
      <c r="J3179">
        <v>-186.3871</v>
      </c>
      <c r="K3179">
        <v>1.109893</v>
      </c>
      <c r="L3179">
        <v>2.1185299999999998</v>
      </c>
      <c r="M3179">
        <v>1.081761E-2</v>
      </c>
      <c r="N3179">
        <v>0</v>
      </c>
      <c r="O3179">
        <v>0.99990829999999997</v>
      </c>
      <c r="P3179">
        <v>-4.3235129999999997E-2</v>
      </c>
      <c r="Q3179">
        <v>0.1401646</v>
      </c>
      <c r="R3179">
        <v>0.98918379999999995</v>
      </c>
      <c r="S3179">
        <v>0.2492065</v>
      </c>
      <c r="T3179">
        <v>-0.92071769999999997</v>
      </c>
      <c r="U3179">
        <v>3.1751710000000002</v>
      </c>
      <c r="V3179">
        <v>-5.4000989999999999E-2</v>
      </c>
      <c r="W3179">
        <v>0.148191299999999</v>
      </c>
      <c r="X3179">
        <v>0.98748329999999995</v>
      </c>
      <c r="Y3179">
        <v>6.4376569999999994E-2</v>
      </c>
      <c r="Z3179">
        <v>-0.27779690000000001</v>
      </c>
      <c r="AA3179">
        <v>0.95848029999999995</v>
      </c>
      <c r="AB3179">
        <v>29</v>
      </c>
      <c r="AC3179">
        <v>6.34000000000014E-2</v>
      </c>
      <c r="AD3179">
        <v>-0.24501419999999999</v>
      </c>
      <c r="AE3179">
        <v>0.55220199999999997</v>
      </c>
      <c r="AF3179">
        <v>4.8080064237381002E-2</v>
      </c>
      <c r="AG3179">
        <v>-0.24501419999999999</v>
      </c>
      <c r="AH3179">
        <v>0.46290722973901899</v>
      </c>
      <c r="AI3179">
        <v>117.765112053747</v>
      </c>
      <c r="AJ3179">
        <v>84.070211090343804</v>
      </c>
      <c r="AK3179">
        <v>0.52595318624699205</v>
      </c>
      <c r="AL3179">
        <v>81.4778758865274</v>
      </c>
      <c r="AM3179">
        <v>93.130128992440106</v>
      </c>
      <c r="AN3179">
        <v>1.0000000180477799</v>
      </c>
    </row>
    <row r="3180" spans="1:40" x14ac:dyDescent="0.3">
      <c r="A3180" t="str">
        <f>"20200111150917809"</f>
        <v>20200111150917809</v>
      </c>
      <c r="B3180" t="str">
        <f>"1578726557798325"</f>
        <v>1578726557798325</v>
      </c>
      <c r="C3180" t="s">
        <v>40</v>
      </c>
      <c r="D3180">
        <v>5.3738869999999999</v>
      </c>
      <c r="E3180">
        <v>0.54835409999999996</v>
      </c>
      <c r="F3180" t="s">
        <v>41</v>
      </c>
      <c r="G3180">
        <v>-186.3244</v>
      </c>
      <c r="H3180">
        <v>0.87302279999999999</v>
      </c>
      <c r="I3180">
        <v>2.9371969999999998</v>
      </c>
      <c r="J3180">
        <v>-186.38419999999999</v>
      </c>
      <c r="K3180">
        <v>1.1098840000000001</v>
      </c>
      <c r="L3180">
        <v>2.411438</v>
      </c>
      <c r="M3180">
        <v>1.055876E-2</v>
      </c>
      <c r="N3180">
        <v>0</v>
      </c>
      <c r="O3180">
        <v>0.99991149999999995</v>
      </c>
      <c r="P3180">
        <v>-4.2961949999999999E-2</v>
      </c>
      <c r="Q3180">
        <v>0.14008289999999901</v>
      </c>
      <c r="R3180">
        <v>0.98920730000000001</v>
      </c>
      <c r="S3180">
        <v>0.2428284</v>
      </c>
      <c r="T3180">
        <v>-0.91821549999999996</v>
      </c>
      <c r="U3180">
        <v>3.1735229999999999</v>
      </c>
      <c r="V3180">
        <v>-5.3472310000000002E-2</v>
      </c>
      <c r="W3180">
        <v>0.1480612</v>
      </c>
      <c r="X3180">
        <v>0.98753150000000001</v>
      </c>
      <c r="Y3180">
        <v>6.2770400000000004E-2</v>
      </c>
      <c r="Z3180">
        <v>-0.2772675</v>
      </c>
      <c r="AA3180">
        <v>0.95874009999999998</v>
      </c>
      <c r="AB3180">
        <v>29</v>
      </c>
      <c r="AC3180">
        <v>5.97999999999956E-2</v>
      </c>
      <c r="AD3180">
        <v>-0.23686119999999999</v>
      </c>
      <c r="AE3180">
        <v>0.52575899999999998</v>
      </c>
      <c r="AF3180">
        <v>4.5190345430336898E-2</v>
      </c>
      <c r="AG3180">
        <v>-0.23686119999999999</v>
      </c>
      <c r="AH3180">
        <v>0.438499176552887</v>
      </c>
      <c r="AI3180">
        <v>118.249919603295</v>
      </c>
      <c r="AJ3180">
        <v>84.116049158533698</v>
      </c>
      <c r="AK3180">
        <v>0.50042674111513397</v>
      </c>
      <c r="AL3180">
        <v>81.485412504897695</v>
      </c>
      <c r="AM3180">
        <v>93.099393490023502</v>
      </c>
      <c r="AN3180">
        <v>0.99999993518721098</v>
      </c>
    </row>
    <row r="3181" spans="1:40" x14ac:dyDescent="0.3">
      <c r="A3181" t="str">
        <f>"20200111150917832"</f>
        <v>20200111150917832</v>
      </c>
      <c r="B3181" t="str">
        <f>"1578726557827604"</f>
        <v>1578726557827604</v>
      </c>
      <c r="C3181" t="s">
        <v>40</v>
      </c>
      <c r="D3181">
        <v>5.376417</v>
      </c>
      <c r="E3181">
        <v>0.47732190000000002</v>
      </c>
      <c r="F3181" t="s">
        <v>41</v>
      </c>
      <c r="G3181">
        <v>-186.3246</v>
      </c>
      <c r="H3181">
        <v>0.88070369999999998</v>
      </c>
      <c r="I3181">
        <v>3.2041439999999999</v>
      </c>
      <c r="J3181">
        <v>-186.38130000000001</v>
      </c>
      <c r="K3181">
        <v>1.109883</v>
      </c>
      <c r="L3181">
        <v>2.706909</v>
      </c>
      <c r="M3181">
        <v>1.0297870000000001E-2</v>
      </c>
      <c r="N3181">
        <v>0</v>
      </c>
      <c r="O3181">
        <v>0.99991450000000004</v>
      </c>
      <c r="P3181">
        <v>-4.2912489999999998E-2</v>
      </c>
      <c r="Q3181">
        <v>0.13989179999999901</v>
      </c>
      <c r="R3181">
        <v>0.98923649999999996</v>
      </c>
      <c r="S3181">
        <v>0.2383728</v>
      </c>
      <c r="T3181">
        <v>-0.91734979999999999</v>
      </c>
      <c r="U3181">
        <v>3.1730040000000002</v>
      </c>
      <c r="V3181">
        <v>-5.3165709999999998E-2</v>
      </c>
      <c r="W3181">
        <v>0.14783289999999999</v>
      </c>
      <c r="X3181">
        <v>0.98758230000000002</v>
      </c>
      <c r="Y3181">
        <v>6.1707819999999997E-2</v>
      </c>
      <c r="Z3181">
        <v>-0.2770917</v>
      </c>
      <c r="AA3181">
        <v>0.95885989999999999</v>
      </c>
      <c r="AB3181">
        <v>29</v>
      </c>
      <c r="AC3181">
        <v>5.6700000000006398E-2</v>
      </c>
      <c r="AD3181">
        <v>-0.2291793</v>
      </c>
      <c r="AE3181">
        <v>0.49723499999999898</v>
      </c>
      <c r="AF3181">
        <v>4.2635355910045497E-2</v>
      </c>
      <c r="AG3181">
        <v>-0.2291793</v>
      </c>
      <c r="AH3181">
        <v>0.41149782239907501</v>
      </c>
      <c r="AI3181">
        <v>118.98530169306299</v>
      </c>
      <c r="AJ3181">
        <v>84.084681874037003</v>
      </c>
      <c r="AK3181">
        <v>0.47293909011758301</v>
      </c>
      <c r="AL3181">
        <v>81.498639059173897</v>
      </c>
      <c r="AM3181">
        <v>93.081498301012104</v>
      </c>
      <c r="AN3181">
        <v>0.99999997915775096</v>
      </c>
    </row>
    <row r="3182" spans="1:40" x14ac:dyDescent="0.3">
      <c r="A3182" t="str">
        <f>"20200111150917854"</f>
        <v>20200111150917854</v>
      </c>
      <c r="B3182" t="str">
        <f>"1578726557847125"</f>
        <v>1578726557847125</v>
      </c>
      <c r="C3182" t="s">
        <v>40</v>
      </c>
      <c r="D3182">
        <v>5.2699639999999999</v>
      </c>
      <c r="E3182">
        <v>0.50781179999999904</v>
      </c>
      <c r="F3182" t="s">
        <v>48</v>
      </c>
      <c r="G3182">
        <v>-227.0335</v>
      </c>
      <c r="H3182">
        <v>38.197130000000001</v>
      </c>
      <c r="I3182">
        <v>391.87</v>
      </c>
      <c r="J3182">
        <v>-186.3785</v>
      </c>
      <c r="K3182">
        <v>1.109882</v>
      </c>
      <c r="L3182">
        <v>3.0138240000000001</v>
      </c>
      <c r="M3182">
        <v>1.002696E-2</v>
      </c>
      <c r="N3182">
        <v>0</v>
      </c>
      <c r="O3182">
        <v>0.99991750000000001</v>
      </c>
      <c r="P3182">
        <v>-4.3205260000000002E-2</v>
      </c>
      <c r="Q3182">
        <v>0.139202399999999</v>
      </c>
      <c r="R3182">
        <v>0.98932100000000001</v>
      </c>
      <c r="S3182">
        <v>-0.31118770000000001</v>
      </c>
      <c r="T3182">
        <v>0.28389910000000002</v>
      </c>
      <c r="U3182">
        <v>2.9790040000000002</v>
      </c>
      <c r="V3182">
        <v>-5.319173E-2</v>
      </c>
      <c r="W3182">
        <v>0.1471142</v>
      </c>
      <c r="X3182">
        <v>0.98768820000000002</v>
      </c>
      <c r="Y3182">
        <v>-0.11339970000000001</v>
      </c>
      <c r="Z3182">
        <v>9.430268E-2</v>
      </c>
      <c r="AA3182">
        <v>0.98906400000000005</v>
      </c>
      <c r="AB3182">
        <v>30</v>
      </c>
      <c r="AC3182">
        <v>-40.655000000000001</v>
      </c>
      <c r="AD3182">
        <v>37.087247999999903</v>
      </c>
      <c r="AE3182">
        <v>388.856176</v>
      </c>
      <c r="AF3182">
        <v>-44.154818522058299</v>
      </c>
      <c r="AG3182">
        <v>37.087247999999903</v>
      </c>
      <c r="AH3182">
        <v>384.96502153921199</v>
      </c>
      <c r="AI3182">
        <v>84.532774863100002</v>
      </c>
      <c r="AJ3182">
        <v>96.543133100757601</v>
      </c>
      <c r="AK3182">
        <v>389.25978442630702</v>
      </c>
      <c r="AL3182">
        <v>81.540272633191293</v>
      </c>
      <c r="AM3182">
        <v>93.082673596018495</v>
      </c>
      <c r="AN3182">
        <v>0.99999996420063497</v>
      </c>
    </row>
    <row r="3183" spans="1:40" x14ac:dyDescent="0.3">
      <c r="A3183" t="str">
        <f>"20200111150917876"</f>
        <v>20200111150917876</v>
      </c>
      <c r="B3183" t="str">
        <f>"1578726557867752"</f>
        <v>1578726557867752</v>
      </c>
      <c r="C3183" t="s">
        <v>40</v>
      </c>
      <c r="D3183">
        <v>5.1898710000000001</v>
      </c>
      <c r="E3183">
        <v>0.52306660000000005</v>
      </c>
      <c r="F3183" t="s">
        <v>48</v>
      </c>
      <c r="G3183">
        <v>-195.61619999999999</v>
      </c>
      <c r="H3183">
        <v>3.5374789999999998</v>
      </c>
      <c r="I3183">
        <v>391.87</v>
      </c>
      <c r="J3183">
        <v>-186.3759</v>
      </c>
      <c r="K3183">
        <v>1.109877</v>
      </c>
      <c r="L3183">
        <v>3.299042</v>
      </c>
      <c r="M3183">
        <v>9.775242E-3</v>
      </c>
      <c r="N3183">
        <v>0</v>
      </c>
      <c r="O3183">
        <v>0.99992009999999998</v>
      </c>
      <c r="P3183">
        <v>-4.3557949999999998E-2</v>
      </c>
      <c r="Q3183">
        <v>0.1389861</v>
      </c>
      <c r="R3183">
        <v>0.98933590000000005</v>
      </c>
      <c r="S3183">
        <v>-7.1899409999999997E-2</v>
      </c>
      <c r="T3183">
        <v>1.8894669999999999E-2</v>
      </c>
      <c r="U3183">
        <v>3.0265810000000002</v>
      </c>
      <c r="V3183">
        <v>-5.3295830000000002E-2</v>
      </c>
      <c r="W3183">
        <v>0.14687649999999999</v>
      </c>
      <c r="X3183">
        <v>0.98771799999999998</v>
      </c>
      <c r="Y3183">
        <v>-3.352049E-2</v>
      </c>
      <c r="Z3183">
        <v>6.2397069999999997E-3</v>
      </c>
      <c r="AA3183">
        <v>0.99941860000000005</v>
      </c>
      <c r="AB3183">
        <v>30</v>
      </c>
      <c r="AC3183">
        <v>-9.2402999999999906</v>
      </c>
      <c r="AD3183">
        <v>2.4276019999999998</v>
      </c>
      <c r="AE3183">
        <v>388.57095800000002</v>
      </c>
      <c r="AF3183">
        <v>-13.037847038007699</v>
      </c>
      <c r="AG3183">
        <v>2.4276019999999998</v>
      </c>
      <c r="AH3183">
        <v>388.44690921210798</v>
      </c>
      <c r="AI3183">
        <v>89.642135751985094</v>
      </c>
      <c r="AJ3183">
        <v>91.922356096094902</v>
      </c>
      <c r="AK3183">
        <v>388.67323034047098</v>
      </c>
      <c r="AL3183">
        <v>81.554041709666905</v>
      </c>
      <c r="AM3183">
        <v>93.088601930316798</v>
      </c>
      <c r="AN3183">
        <v>0.99999999963581898</v>
      </c>
    </row>
    <row r="3184" spans="1:40" x14ac:dyDescent="0.3">
      <c r="A3184" t="str">
        <f>"20200111150917898"</f>
        <v>20200111150917898</v>
      </c>
      <c r="B3184" t="str">
        <f>"1578726557887273"</f>
        <v>1578726557887273</v>
      </c>
      <c r="C3184" t="s">
        <v>40</v>
      </c>
      <c r="D3184">
        <v>5.1131440000000001</v>
      </c>
      <c r="E3184">
        <v>0.52491390000000004</v>
      </c>
      <c r="F3184" t="s">
        <v>41</v>
      </c>
      <c r="G3184">
        <v>-186.36670000000001</v>
      </c>
      <c r="H3184">
        <v>0.92752769999999995</v>
      </c>
      <c r="I3184">
        <v>4.0224359999999999</v>
      </c>
      <c r="J3184">
        <v>-186.3733</v>
      </c>
      <c r="K3184">
        <v>1.109874</v>
      </c>
      <c r="L3184">
        <v>3.590668</v>
      </c>
      <c r="M3184">
        <v>9.5181980000000003E-3</v>
      </c>
      <c r="N3184">
        <v>0</v>
      </c>
      <c r="O3184">
        <v>0.9999228</v>
      </c>
      <c r="P3184">
        <v>-4.4311690000000001E-2</v>
      </c>
      <c r="Q3184">
        <v>0.13904229999999901</v>
      </c>
      <c r="R3184">
        <v>0.98929449999999997</v>
      </c>
      <c r="S3184">
        <v>3.9215090000000001E-2</v>
      </c>
      <c r="T3184">
        <v>-0.79288219999999898</v>
      </c>
      <c r="U3184">
        <v>3.1454469999999999</v>
      </c>
      <c r="V3184">
        <v>-5.379519E-2</v>
      </c>
      <c r="W3184">
        <v>0.1469184</v>
      </c>
      <c r="X3184">
        <v>0.98768469999999997</v>
      </c>
      <c r="Y3184">
        <v>2.5698919999999998E-3</v>
      </c>
      <c r="Z3184">
        <v>-0.24440149999999999</v>
      </c>
      <c r="AA3184">
        <v>0.9696707</v>
      </c>
      <c r="AB3184">
        <v>30</v>
      </c>
      <c r="AC3184">
        <v>6.5999999999917201E-3</v>
      </c>
      <c r="AD3184">
        <v>-0.18234629999999999</v>
      </c>
      <c r="AE3184">
        <v>0.43176799999999899</v>
      </c>
      <c r="AF3184">
        <v>2.1131135687989001E-3</v>
      </c>
      <c r="AG3184">
        <v>-0.18234629999999999</v>
      </c>
      <c r="AH3184">
        <v>0.36646457950883898</v>
      </c>
      <c r="AI3184">
        <v>116.453746406493</v>
      </c>
      <c r="AJ3184">
        <v>89.669623876181603</v>
      </c>
      <c r="AK3184">
        <v>0.40932985037404102</v>
      </c>
      <c r="AL3184">
        <v>81.551614713325904</v>
      </c>
      <c r="AM3184">
        <v>93.117588941347506</v>
      </c>
      <c r="AN3184">
        <v>1.0000000026698901</v>
      </c>
    </row>
    <row r="3185" spans="1:40" x14ac:dyDescent="0.3">
      <c r="A3185" t="str">
        <f>"20200111150917921"</f>
        <v>20200111150917921</v>
      </c>
      <c r="B3185" t="str">
        <f>"1578726557917528"</f>
        <v>1578726557917528</v>
      </c>
      <c r="C3185" t="s">
        <v>40</v>
      </c>
      <c r="D3185">
        <v>5.0048519999999996</v>
      </c>
      <c r="E3185">
        <v>0.5276459</v>
      </c>
      <c r="F3185" t="s">
        <v>41</v>
      </c>
      <c r="G3185">
        <v>-186.3613</v>
      </c>
      <c r="H3185">
        <v>0.94477120000000003</v>
      </c>
      <c r="I3185">
        <v>4.2963279999999999</v>
      </c>
      <c r="J3185">
        <v>-186.3707</v>
      </c>
      <c r="K3185">
        <v>1.109872</v>
      </c>
      <c r="L3185">
        <v>3.8966980000000002</v>
      </c>
      <c r="M3185">
        <v>9.2484200000000003E-3</v>
      </c>
      <c r="N3185">
        <v>0</v>
      </c>
      <c r="O3185">
        <v>0.99992530000000002</v>
      </c>
      <c r="P3185">
        <v>-4.5477539999999997E-2</v>
      </c>
      <c r="Q3185">
        <v>0.13914749999999901</v>
      </c>
      <c r="R3185">
        <v>0.98922690000000002</v>
      </c>
      <c r="S3185">
        <v>5.2627559999999997E-2</v>
      </c>
      <c r="T3185">
        <v>-0.73418930000000004</v>
      </c>
      <c r="U3185">
        <v>3.1379999999999999</v>
      </c>
      <c r="V3185">
        <v>-5.4693899999999997E-2</v>
      </c>
      <c r="W3185">
        <v>0.14701800000000001</v>
      </c>
      <c r="X3185">
        <v>0.98762050000000001</v>
      </c>
      <c r="Y3185">
        <v>7.0797289999999999E-3</v>
      </c>
      <c r="Z3185">
        <v>-0.2277827</v>
      </c>
      <c r="AA3185">
        <v>0.9736863</v>
      </c>
      <c r="AB3185">
        <v>30</v>
      </c>
      <c r="AC3185">
        <v>9.3999999999994002E-3</v>
      </c>
      <c r="AD3185">
        <v>-0.16510079999999999</v>
      </c>
      <c r="AE3185">
        <v>0.39962999999999899</v>
      </c>
      <c r="AF3185">
        <v>4.8723772200597801E-3</v>
      </c>
      <c r="AG3185">
        <v>-0.16510079999999999</v>
      </c>
      <c r="AH3185">
        <v>0.34145294340454102</v>
      </c>
      <c r="AI3185">
        <v>115.80261025185401</v>
      </c>
      <c r="AJ3185">
        <v>89.182470935876694</v>
      </c>
      <c r="AK3185">
        <v>0.37930479403777501</v>
      </c>
      <c r="AL3185">
        <v>81.545845242971396</v>
      </c>
      <c r="AM3185">
        <v>93.169772114272007</v>
      </c>
      <c r="AN3185">
        <v>0.99999998352072905</v>
      </c>
    </row>
    <row r="3186" spans="1:40" x14ac:dyDescent="0.3">
      <c r="A3186" t="str">
        <f>"20200111150917942"</f>
        <v>20200111150917942</v>
      </c>
      <c r="B3186" t="str">
        <f>"1578726557937048"</f>
        <v>1578726557937048</v>
      </c>
      <c r="C3186" t="s">
        <v>40</v>
      </c>
      <c r="D3186">
        <v>4.9294460000000004</v>
      </c>
      <c r="E3186">
        <v>0.52849999999999997</v>
      </c>
      <c r="F3186" t="s">
        <v>41</v>
      </c>
      <c r="G3186">
        <v>-186.35</v>
      </c>
      <c r="H3186">
        <v>0.88632630000000001</v>
      </c>
      <c r="I3186">
        <v>4.8049460000000002</v>
      </c>
      <c r="J3186">
        <v>-186.3682</v>
      </c>
      <c r="K3186">
        <v>1.1098650000000001</v>
      </c>
      <c r="L3186">
        <v>4.1959229999999996</v>
      </c>
      <c r="M3186">
        <v>8.9847299999999998E-3</v>
      </c>
      <c r="N3186">
        <v>0</v>
      </c>
      <c r="O3186">
        <v>0.99992769999999997</v>
      </c>
      <c r="P3186">
        <v>-4.6948110000000001E-2</v>
      </c>
      <c r="Q3186">
        <v>0.13931589999999999</v>
      </c>
      <c r="R3186">
        <v>0.98913439999999997</v>
      </c>
      <c r="S3186">
        <v>7.1121219999999999E-2</v>
      </c>
      <c r="T3186">
        <v>-0.77402890000000002</v>
      </c>
      <c r="U3186">
        <v>3.144806</v>
      </c>
      <c r="V3186">
        <v>-5.5903220000000003E-2</v>
      </c>
      <c r="W3186">
        <v>0.14718539999999999</v>
      </c>
      <c r="X3186">
        <v>0.98752779999999996</v>
      </c>
      <c r="Y3186">
        <v>1.2971099999999999E-2</v>
      </c>
      <c r="Z3186">
        <v>-0.23894370000000001</v>
      </c>
      <c r="AA3186">
        <v>0.9709468</v>
      </c>
      <c r="AB3186">
        <v>30</v>
      </c>
      <c r="AC3186">
        <v>1.8200000000007301E-2</v>
      </c>
      <c r="AD3186">
        <v>-0.22353869999999901</v>
      </c>
      <c r="AE3186">
        <v>0.60902299999999898</v>
      </c>
      <c r="AF3186">
        <v>1.1217314357708799E-2</v>
      </c>
      <c r="AG3186">
        <v>-0.22353869999999901</v>
      </c>
      <c r="AH3186">
        <v>0.53689499220104497</v>
      </c>
      <c r="AI3186">
        <v>112.60019209304799</v>
      </c>
      <c r="AJ3186">
        <v>88.803096904885905</v>
      </c>
      <c r="AK3186">
        <v>0.58167999036381601</v>
      </c>
      <c r="AL3186">
        <v>81.536148018149206</v>
      </c>
      <c r="AM3186">
        <v>93.240013756878199</v>
      </c>
      <c r="AN3186">
        <v>0.99999993387618102</v>
      </c>
    </row>
    <row r="3187" spans="1:40" x14ac:dyDescent="0.3">
      <c r="A3187" t="str">
        <f>"20200111150917966"</f>
        <v>20200111150917966</v>
      </c>
      <c r="B3187" t="str">
        <f>"1578726557957547"</f>
        <v>1578726557957547</v>
      </c>
      <c r="C3187" t="s">
        <v>40</v>
      </c>
      <c r="D3187">
        <v>4.9283640000000002</v>
      </c>
      <c r="E3187">
        <v>0.52949860000000004</v>
      </c>
      <c r="F3187" t="s">
        <v>41</v>
      </c>
      <c r="G3187">
        <v>-186.34739999999999</v>
      </c>
      <c r="H3187">
        <v>0.89156290000000005</v>
      </c>
      <c r="I3187">
        <v>5.0752790000000001</v>
      </c>
      <c r="J3187">
        <v>-186.36580000000001</v>
      </c>
      <c r="K3187">
        <v>1.1098669999999999</v>
      </c>
      <c r="L3187">
        <v>4.4971620000000003</v>
      </c>
      <c r="M3187">
        <v>8.7192999999999993E-3</v>
      </c>
      <c r="N3187">
        <v>0</v>
      </c>
      <c r="O3187">
        <v>0.99992999999999999</v>
      </c>
      <c r="P3187">
        <v>-4.7746709999999998E-2</v>
      </c>
      <c r="Q3187">
        <v>0.13966689999999901</v>
      </c>
      <c r="R3187">
        <v>0.98904669999999895</v>
      </c>
      <c r="S3187">
        <v>7.369995E-2</v>
      </c>
      <c r="T3187">
        <v>-0.78111919999999901</v>
      </c>
      <c r="U3187">
        <v>3.1464840000000001</v>
      </c>
      <c r="V3187">
        <v>-5.64389E-2</v>
      </c>
      <c r="W3187">
        <v>0.14753859999999999</v>
      </c>
      <c r="X3187">
        <v>0.98744469999999995</v>
      </c>
      <c r="Y3187">
        <v>1.4008929999999999E-2</v>
      </c>
      <c r="Z3187">
        <v>-0.24088190000000001</v>
      </c>
      <c r="AA3187">
        <v>0.97045329999999996</v>
      </c>
      <c r="AB3187">
        <v>30</v>
      </c>
      <c r="AC3187">
        <v>1.8400000000013898E-2</v>
      </c>
      <c r="AD3187">
        <v>-0.218304099999999</v>
      </c>
      <c r="AE3187">
        <v>0.57811699999999899</v>
      </c>
      <c r="AF3187">
        <v>1.1692766888047599E-2</v>
      </c>
      <c r="AG3187">
        <v>-0.218304099999999</v>
      </c>
      <c r="AH3187">
        <v>0.50615528002882504</v>
      </c>
      <c r="AI3187">
        <v>113.324914768661</v>
      </c>
      <c r="AJ3187">
        <v>88.676637223912905</v>
      </c>
      <c r="AK3187">
        <v>0.55134976954322401</v>
      </c>
      <c r="AL3187">
        <v>81.515688440715095</v>
      </c>
      <c r="AM3187">
        <v>93.271268040060093</v>
      </c>
      <c r="AN3187">
        <v>1.00000001174063</v>
      </c>
    </row>
    <row r="3188" spans="1:40" x14ac:dyDescent="0.3">
      <c r="A3188" t="str">
        <f>"20200111150917988"</f>
        <v>20200111150917988</v>
      </c>
      <c r="B3188" t="str">
        <f>"1578726557977065"</f>
        <v>1578726557977065</v>
      </c>
      <c r="C3188" t="s">
        <v>40</v>
      </c>
      <c r="D3188">
        <v>4.9850459999999996</v>
      </c>
      <c r="E3188">
        <v>0.53051440000000005</v>
      </c>
      <c r="F3188" t="s">
        <v>41</v>
      </c>
      <c r="G3188">
        <v>-186.34450000000001</v>
      </c>
      <c r="H3188">
        <v>0.89856610000000003</v>
      </c>
      <c r="I3188">
        <v>5.3469280000000001</v>
      </c>
      <c r="J3188">
        <v>-186.36340000000001</v>
      </c>
      <c r="K3188">
        <v>1.1098650000000001</v>
      </c>
      <c r="L3188">
        <v>4.8024899999999997</v>
      </c>
      <c r="M3188">
        <v>8.4503619999999995E-3</v>
      </c>
      <c r="N3188">
        <v>0</v>
      </c>
      <c r="O3188">
        <v>0.99993220000000005</v>
      </c>
      <c r="P3188">
        <v>-4.9050129999999997E-2</v>
      </c>
      <c r="Q3188">
        <v>0.13984579999999999</v>
      </c>
      <c r="R3188">
        <v>0.98895759999999999</v>
      </c>
      <c r="S3188">
        <v>7.8582760000000001E-2</v>
      </c>
      <c r="T3188">
        <v>-0.78266009999999997</v>
      </c>
      <c r="U3188">
        <v>3.1475520000000001</v>
      </c>
      <c r="V3188">
        <v>-5.7476409999999999E-2</v>
      </c>
      <c r="W3188">
        <v>0.14772679999999999</v>
      </c>
      <c r="X3188">
        <v>0.98735669999999998</v>
      </c>
      <c r="Y3188">
        <v>1.5772459999999999E-2</v>
      </c>
      <c r="Z3188">
        <v>-0.24124570000000001</v>
      </c>
      <c r="AA3188">
        <v>0.97033590000000003</v>
      </c>
      <c r="AB3188">
        <v>30</v>
      </c>
      <c r="AC3188">
        <v>1.8900000000002099E-2</v>
      </c>
      <c r="AD3188">
        <v>-0.21129889999999901</v>
      </c>
      <c r="AE3188">
        <v>0.54443799999999998</v>
      </c>
      <c r="AF3188">
        <v>1.2428662892273E-2</v>
      </c>
      <c r="AG3188">
        <v>-0.21129889999999901</v>
      </c>
      <c r="AH3188">
        <v>0.47336361315735997</v>
      </c>
      <c r="AI3188">
        <v>114.04756533538399</v>
      </c>
      <c r="AJ3188">
        <v>88.495984189916001</v>
      </c>
      <c r="AK3188">
        <v>0.51853139448242702</v>
      </c>
      <c r="AL3188">
        <v>81.504785799703598</v>
      </c>
      <c r="AM3188">
        <v>93.331565418834799</v>
      </c>
      <c r="AN3188">
        <v>0.99999999908980897</v>
      </c>
    </row>
    <row r="3189" spans="1:40" x14ac:dyDescent="0.3">
      <c r="A3189" t="str">
        <f>"20200111150918031"</f>
        <v>20200111150918031</v>
      </c>
      <c r="B3189" t="str">
        <f>"1578726558027816"</f>
        <v>1578726558027816</v>
      </c>
      <c r="C3189" t="s">
        <v>40</v>
      </c>
      <c r="D3189">
        <v>5.0252499999999998</v>
      </c>
      <c r="E3189">
        <v>0.50870020000000005</v>
      </c>
      <c r="F3189" t="s">
        <v>41</v>
      </c>
      <c r="G3189">
        <v>-186.34139999999999</v>
      </c>
      <c r="H3189">
        <v>0.90683329999999995</v>
      </c>
      <c r="I3189">
        <v>5.6196789999999996</v>
      </c>
      <c r="J3189">
        <v>-186.35910000000001</v>
      </c>
      <c r="K3189">
        <v>1.109872</v>
      </c>
      <c r="L3189">
        <v>5.3820499999999996</v>
      </c>
      <c r="M3189">
        <v>7.9402480000000004E-3</v>
      </c>
      <c r="N3189">
        <v>0</v>
      </c>
      <c r="O3189">
        <v>0.99993620000000005</v>
      </c>
      <c r="P3189">
        <v>-5.1090429999999999E-2</v>
      </c>
      <c r="Q3189">
        <v>0.14070959999999999</v>
      </c>
      <c r="R3189">
        <v>0.98873180000000005</v>
      </c>
      <c r="S3189">
        <v>8.3862300000000001E-2</v>
      </c>
      <c r="T3189">
        <v>-0.78218759999999998</v>
      </c>
      <c r="U3189">
        <v>3.1482540000000001</v>
      </c>
      <c r="V3189">
        <v>-5.9011689999999999E-2</v>
      </c>
      <c r="W3189">
        <v>0.1486162</v>
      </c>
      <c r="X3189">
        <v>0.98713260000000003</v>
      </c>
      <c r="Y3189">
        <v>1.790454E-2</v>
      </c>
      <c r="Z3189">
        <v>-0.24105019999999999</v>
      </c>
      <c r="AA3189">
        <v>0.97034750000000003</v>
      </c>
      <c r="AB3189">
        <v>30</v>
      </c>
      <c r="AC3189">
        <v>1.77000000000191E-2</v>
      </c>
      <c r="AD3189">
        <v>-0.20303869999999899</v>
      </c>
      <c r="AE3189">
        <v>0.23762900000000001</v>
      </c>
      <c r="AF3189">
        <v>9.1612124258356204E-3</v>
      </c>
      <c r="AG3189">
        <v>-0.20303869999999899</v>
      </c>
      <c r="AH3189">
        <v>0.13775064655261501</v>
      </c>
      <c r="AI3189">
        <v>145.78649170588201</v>
      </c>
      <c r="AJ3189">
        <v>86.195103334848199</v>
      </c>
      <c r="AK3189">
        <v>0.245527762455622</v>
      </c>
      <c r="AL3189">
        <v>81.453257835457507</v>
      </c>
      <c r="AM3189">
        <v>93.421122577252405</v>
      </c>
      <c r="AN3189">
        <v>0.99999996222092702</v>
      </c>
    </row>
    <row r="3190" spans="1:40" x14ac:dyDescent="0.3">
      <c r="A3190" t="str">
        <f>"20200111150918054"</f>
        <v>20200111150918054</v>
      </c>
      <c r="B3190" t="str">
        <f>"1578726558047336"</f>
        <v>1578726558047336</v>
      </c>
      <c r="C3190" t="s">
        <v>40</v>
      </c>
      <c r="D3190">
        <v>5.6303280000000004</v>
      </c>
      <c r="E3190">
        <v>0.50773219999999997</v>
      </c>
      <c r="F3190" t="s">
        <v>48</v>
      </c>
      <c r="G3190">
        <v>-197.50059999999999</v>
      </c>
      <c r="H3190">
        <v>16.299469999999999</v>
      </c>
      <c r="I3190">
        <v>391.87</v>
      </c>
      <c r="J3190">
        <v>-186.3569</v>
      </c>
      <c r="K3190">
        <v>1.109874</v>
      </c>
      <c r="L3190">
        <v>5.687195</v>
      </c>
      <c r="M3190">
        <v>7.6718089999999999E-3</v>
      </c>
      <c r="N3190">
        <v>0</v>
      </c>
      <c r="O3190">
        <v>0.9999382</v>
      </c>
      <c r="P3190">
        <v>-5.1998290000000003E-2</v>
      </c>
      <c r="Q3190">
        <v>0.1415614</v>
      </c>
      <c r="R3190">
        <v>0.98856290000000002</v>
      </c>
      <c r="S3190">
        <v>-8.6853029999999998E-2</v>
      </c>
      <c r="T3190">
        <v>0.1184098</v>
      </c>
      <c r="U3190">
        <v>3.012848</v>
      </c>
      <c r="V3190">
        <v>-5.9653379999999999E-2</v>
      </c>
      <c r="W3190">
        <v>0.1494829</v>
      </c>
      <c r="X3190">
        <v>0.98696320000000004</v>
      </c>
      <c r="Y3190">
        <v>-3.6461399999999998E-2</v>
      </c>
      <c r="Z3190">
        <v>3.9248350000000001E-2</v>
      </c>
      <c r="AA3190">
        <v>0.99856409999999995</v>
      </c>
      <c r="AB3190">
        <v>30</v>
      </c>
      <c r="AC3190">
        <v>-11.1436999999999</v>
      </c>
      <c r="AD3190">
        <v>15.189596</v>
      </c>
      <c r="AE3190">
        <v>386.18280499999997</v>
      </c>
      <c r="AF3190">
        <v>-14.0844173782474</v>
      </c>
      <c r="AG3190">
        <v>15.189596</v>
      </c>
      <c r="AH3190">
        <v>385.49006498060203</v>
      </c>
      <c r="AI3190">
        <v>87.745025305822395</v>
      </c>
      <c r="AJ3190">
        <v>92.0924505011035</v>
      </c>
      <c r="AK3190">
        <v>386.04622111643101</v>
      </c>
      <c r="AL3190">
        <v>81.403039036890206</v>
      </c>
      <c r="AM3190">
        <v>93.458826005087502</v>
      </c>
      <c r="AN3190">
        <v>1.0000000106460301</v>
      </c>
    </row>
    <row r="3191" spans="1:40" x14ac:dyDescent="0.3">
      <c r="A3191" t="str">
        <f>"20200111150918101"</f>
        <v>20200111150918101</v>
      </c>
      <c r="B3191" t="str">
        <f>"1578726558097113"</f>
        <v>1578726558097113</v>
      </c>
      <c r="C3191" t="s">
        <v>40</v>
      </c>
      <c r="D3191">
        <v>4.990043</v>
      </c>
      <c r="E3191">
        <v>0.50518799999999997</v>
      </c>
      <c r="F3191" t="s">
        <v>48</v>
      </c>
      <c r="G3191">
        <v>-198.8811</v>
      </c>
      <c r="H3191">
        <v>10.351929999999999</v>
      </c>
      <c r="I3191">
        <v>391.87</v>
      </c>
      <c r="J3191">
        <v>-186.3528</v>
      </c>
      <c r="K3191">
        <v>1.1098749999999999</v>
      </c>
      <c r="L3191">
        <v>6.3132929999999998</v>
      </c>
      <c r="M3191">
        <v>7.1210669999999896E-3</v>
      </c>
      <c r="N3191">
        <v>0</v>
      </c>
      <c r="O3191">
        <v>0.999942</v>
      </c>
      <c r="P3191">
        <v>-5.3701400000000003E-2</v>
      </c>
      <c r="Q3191">
        <v>0.14240799999999901</v>
      </c>
      <c r="R3191">
        <v>0.98835019999999996</v>
      </c>
      <c r="S3191">
        <v>-9.7915650000000007E-2</v>
      </c>
      <c r="T3191">
        <v>7.2255490000000006E-2</v>
      </c>
      <c r="U3191">
        <v>3.0192260000000002</v>
      </c>
      <c r="V3191">
        <v>-6.0811810000000001E-2</v>
      </c>
      <c r="W3191">
        <v>0.150359299999999</v>
      </c>
      <c r="X3191">
        <v>0.98675939999999995</v>
      </c>
      <c r="Y3191">
        <v>-3.9521149999999998E-2</v>
      </c>
      <c r="Z3191">
        <v>2.3908410000000001E-2</v>
      </c>
      <c r="AA3191">
        <v>0.99893270000000001</v>
      </c>
      <c r="AB3191">
        <v>30</v>
      </c>
      <c r="AC3191">
        <v>-12.5283</v>
      </c>
      <c r="AD3191">
        <v>9.2420550000000006</v>
      </c>
      <c r="AE3191">
        <v>385.55670699999899</v>
      </c>
      <c r="AF3191">
        <v>-15.264885245420199</v>
      </c>
      <c r="AG3191">
        <v>9.2420550000000006</v>
      </c>
      <c r="AH3191">
        <v>385.23659185058602</v>
      </c>
      <c r="AI3191">
        <v>88.626781005523</v>
      </c>
      <c r="AJ3191">
        <v>92.269141094170294</v>
      </c>
      <c r="AK3191">
        <v>385.64966485507802</v>
      </c>
      <c r="AL3191">
        <v>81.352251387720202</v>
      </c>
      <c r="AM3191">
        <v>93.526552699386897</v>
      </c>
      <c r="AN3191">
        <v>1.0000000544101599</v>
      </c>
    </row>
    <row r="3192" spans="1:40" x14ac:dyDescent="0.3">
      <c r="A3192" t="str">
        <f>"20200111150918124"</f>
        <v>20200111150918124</v>
      </c>
      <c r="B3192" t="str">
        <f>"1578726558117609"</f>
        <v>1578726558117609</v>
      </c>
      <c r="C3192" t="s">
        <v>40</v>
      </c>
      <c r="D3192">
        <v>4.7554280000000002</v>
      </c>
      <c r="E3192">
        <v>0.50356809999999996</v>
      </c>
      <c r="F3192" t="s">
        <v>48</v>
      </c>
      <c r="G3192">
        <v>-201.89019999999999</v>
      </c>
      <c r="H3192">
        <v>54.888539999999999</v>
      </c>
      <c r="I3192">
        <v>391.00349999999997</v>
      </c>
      <c r="J3192">
        <v>-186.35069999999999</v>
      </c>
      <c r="K3192">
        <v>1.1098709999999901</v>
      </c>
      <c r="L3192">
        <v>6.6399540000000004</v>
      </c>
      <c r="M3192">
        <v>6.8339680000000002E-3</v>
      </c>
      <c r="N3192">
        <v>0</v>
      </c>
      <c r="O3192">
        <v>0.9999439</v>
      </c>
      <c r="P3192">
        <v>-5.397333E-2</v>
      </c>
      <c r="Q3192">
        <v>0.14171729999999999</v>
      </c>
      <c r="R3192">
        <v>0.9884347</v>
      </c>
      <c r="S3192">
        <v>-0.11991880000000001</v>
      </c>
      <c r="T3192">
        <v>0.41506589999999999</v>
      </c>
      <c r="U3192">
        <v>2.969055</v>
      </c>
      <c r="V3192">
        <v>-6.0800710000000001E-2</v>
      </c>
      <c r="W3192">
        <v>0.14968509999999999</v>
      </c>
      <c r="X3192">
        <v>0.98686249999999998</v>
      </c>
      <c r="Y3192">
        <v>-4.679639E-2</v>
      </c>
      <c r="Z3192">
        <v>0.13831489999999999</v>
      </c>
      <c r="AA3192">
        <v>0.98928210000000005</v>
      </c>
      <c r="AB3192">
        <v>30</v>
      </c>
      <c r="AC3192">
        <v>-15.5395</v>
      </c>
      <c r="AD3192">
        <v>53.778668999999901</v>
      </c>
      <c r="AE3192">
        <v>384.36354599999999</v>
      </c>
      <c r="AF3192">
        <v>-17.817711533832998</v>
      </c>
      <c r="AG3192">
        <v>53.778668999999901</v>
      </c>
      <c r="AH3192">
        <v>376.88236089443598</v>
      </c>
      <c r="AI3192">
        <v>81.888025098050903</v>
      </c>
      <c r="AJ3192">
        <v>92.706733491866004</v>
      </c>
      <c r="AK3192">
        <v>381.11668821645401</v>
      </c>
      <c r="AL3192">
        <v>81.391321690492305</v>
      </c>
      <c r="AM3192">
        <v>93.525543189023196</v>
      </c>
      <c r="AN3192">
        <v>0.999999974702381</v>
      </c>
    </row>
    <row r="3193" spans="1:40" x14ac:dyDescent="0.3">
      <c r="A3193" t="str">
        <f>"20200111150918146"</f>
        <v>20200111150918146</v>
      </c>
      <c r="B3193" t="str">
        <f>"1578726558137128"</f>
        <v>1578726558137128</v>
      </c>
      <c r="C3193" t="s">
        <v>40</v>
      </c>
      <c r="D3193">
        <v>4.7809220000000003</v>
      </c>
      <c r="E3193">
        <v>0.50613589999999997</v>
      </c>
      <c r="F3193" t="s">
        <v>48</v>
      </c>
      <c r="G3193">
        <v>-203.6644</v>
      </c>
      <c r="H3193">
        <v>53.773539999999997</v>
      </c>
      <c r="I3193">
        <v>391.00349999999997</v>
      </c>
      <c r="J3193">
        <v>-186.34889999999999</v>
      </c>
      <c r="K3193">
        <v>1.109869</v>
      </c>
      <c r="L3193">
        <v>6.9508669999999997</v>
      </c>
      <c r="M3193">
        <v>6.5609170000000003E-3</v>
      </c>
      <c r="N3193">
        <v>0</v>
      </c>
      <c r="O3193">
        <v>0.99994559999999999</v>
      </c>
      <c r="P3193">
        <v>-5.434547E-2</v>
      </c>
      <c r="Q3193">
        <v>0.14184730000000001</v>
      </c>
      <c r="R3193">
        <v>0.98839560000000004</v>
      </c>
      <c r="S3193">
        <v>-0.1337585</v>
      </c>
      <c r="T3193">
        <v>0.4068601</v>
      </c>
      <c r="U3193">
        <v>2.969452</v>
      </c>
      <c r="V3193">
        <v>-6.0903350000000002E-2</v>
      </c>
      <c r="W3193">
        <v>0.149829399999999</v>
      </c>
      <c r="X3193">
        <v>0.98683430000000005</v>
      </c>
      <c r="Y3193">
        <v>-5.1137170000000003E-2</v>
      </c>
      <c r="Z3193">
        <v>0.13558619999999999</v>
      </c>
      <c r="AA3193">
        <v>0.98944500000000002</v>
      </c>
      <c r="AB3193">
        <v>31</v>
      </c>
      <c r="AC3193">
        <v>-17.3155</v>
      </c>
      <c r="AD3193">
        <v>52.663670999999901</v>
      </c>
      <c r="AE3193">
        <v>384.05263300000001</v>
      </c>
      <c r="AF3193">
        <v>-19.469592049684302</v>
      </c>
      <c r="AG3193">
        <v>52.663670999999901</v>
      </c>
      <c r="AH3193">
        <v>376.85883393003797</v>
      </c>
      <c r="AI3193">
        <v>82.055249109560705</v>
      </c>
      <c r="AJ3193">
        <v>92.957432533889204</v>
      </c>
      <c r="AK3193">
        <v>381.01851394503802</v>
      </c>
      <c r="AL3193">
        <v>81.382959840189301</v>
      </c>
      <c r="AM3193">
        <v>93.531580404748894</v>
      </c>
      <c r="AN3193">
        <v>1.00000000140103</v>
      </c>
    </row>
    <row r="3194" spans="1:40" x14ac:dyDescent="0.3">
      <c r="A3194" t="str">
        <f>"20200111150918167"</f>
        <v>20200111150918167</v>
      </c>
      <c r="B3194" t="str">
        <f>"1578726558157624"</f>
        <v>1578726558157624</v>
      </c>
      <c r="C3194" t="s">
        <v>40</v>
      </c>
      <c r="D3194">
        <v>5.1374649999999997</v>
      </c>
      <c r="E3194">
        <v>0.50774339999999996</v>
      </c>
      <c r="F3194" t="s">
        <v>48</v>
      </c>
      <c r="G3194">
        <v>-201.1576</v>
      </c>
      <c r="H3194">
        <v>52.975749999999998</v>
      </c>
      <c r="I3194">
        <v>391.87</v>
      </c>
      <c r="J3194">
        <v>-186.34729999999999</v>
      </c>
      <c r="K3194">
        <v>1.1098709999999901</v>
      </c>
      <c r="L3194">
        <v>7.2310789999999896</v>
      </c>
      <c r="M3194">
        <v>6.3149540000000002E-3</v>
      </c>
      <c r="N3194">
        <v>0</v>
      </c>
      <c r="O3194">
        <v>0.99994700000000003</v>
      </c>
      <c r="P3194">
        <v>-5.4653979999999998E-2</v>
      </c>
      <c r="Q3194">
        <v>0.14221629999999999</v>
      </c>
      <c r="R3194">
        <v>0.98832560000000003</v>
      </c>
      <c r="S3194">
        <v>-0.1143188</v>
      </c>
      <c r="T3194">
        <v>0.40038980000000002</v>
      </c>
      <c r="U3194">
        <v>2.9714659999999999</v>
      </c>
      <c r="V3194">
        <v>-6.0968950000000001E-2</v>
      </c>
      <c r="W3194">
        <v>0.15021080000000001</v>
      </c>
      <c r="X3194">
        <v>0.98677219999999999</v>
      </c>
      <c r="Y3194">
        <v>-4.440976E-2</v>
      </c>
      <c r="Z3194">
        <v>0.1334197</v>
      </c>
      <c r="AA3194">
        <v>0.9900641</v>
      </c>
      <c r="AB3194">
        <v>31</v>
      </c>
      <c r="AC3194">
        <v>-14.8103</v>
      </c>
      <c r="AD3194">
        <v>51.865879</v>
      </c>
      <c r="AE3194">
        <v>384.63892099999998</v>
      </c>
      <c r="AF3194">
        <v>-16.931655563957801</v>
      </c>
      <c r="AG3194">
        <v>51.865879</v>
      </c>
      <c r="AH3194">
        <v>377.68065494567202</v>
      </c>
      <c r="AI3194">
        <v>82.188381830342607</v>
      </c>
      <c r="AJ3194">
        <v>92.566886252784201</v>
      </c>
      <c r="AK3194">
        <v>381.60113663977899</v>
      </c>
      <c r="AL3194">
        <v>81.360856522435398</v>
      </c>
      <c r="AM3194">
        <v>93.535596610760805</v>
      </c>
      <c r="AN3194">
        <v>0.99999993599678905</v>
      </c>
    </row>
    <row r="3195" spans="1:40" x14ac:dyDescent="0.3">
      <c r="A3195" t="str">
        <f>"20200111150918188"</f>
        <v>20200111150918188</v>
      </c>
      <c r="B3195" t="str">
        <f>"1578726558177850"</f>
        <v>1578726558177850</v>
      </c>
      <c r="C3195" t="s">
        <v>40</v>
      </c>
      <c r="D3195">
        <v>5.6517730000000004</v>
      </c>
      <c r="E3195">
        <v>0.50704850000000001</v>
      </c>
      <c r="F3195" t="s">
        <v>48</v>
      </c>
      <c r="G3195">
        <v>-199.60810000000001</v>
      </c>
      <c r="H3195">
        <v>50.630490000000002</v>
      </c>
      <c r="I3195">
        <v>391.87</v>
      </c>
      <c r="J3195">
        <v>-186.34559999999999</v>
      </c>
      <c r="K3195">
        <v>1.109869</v>
      </c>
      <c r="L3195">
        <v>7.5286869999999997</v>
      </c>
      <c r="M3195">
        <v>6.0537880000000001E-3</v>
      </c>
      <c r="N3195">
        <v>0</v>
      </c>
      <c r="O3195">
        <v>0.99994859999999997</v>
      </c>
      <c r="P3195">
        <v>-5.4624180000000001E-2</v>
      </c>
      <c r="Q3195">
        <v>0.1422852</v>
      </c>
      <c r="R3195">
        <v>0.98831729999999995</v>
      </c>
      <c r="S3195">
        <v>-0.1025543</v>
      </c>
      <c r="T3195">
        <v>0.38297589999999998</v>
      </c>
      <c r="U3195">
        <v>2.9746700000000001</v>
      </c>
      <c r="V3195">
        <v>-6.068117E-2</v>
      </c>
      <c r="W3195">
        <v>0.15029229999999999</v>
      </c>
      <c r="X3195">
        <v>0.98677760000000003</v>
      </c>
      <c r="Y3195">
        <v>-4.0223479999999999E-2</v>
      </c>
      <c r="Z3195">
        <v>0.1275992</v>
      </c>
      <c r="AA3195">
        <v>0.99100980000000005</v>
      </c>
      <c r="AB3195">
        <v>31</v>
      </c>
      <c r="AC3195">
        <v>-13.262499999999999</v>
      </c>
      <c r="AD3195">
        <v>49.520620999999998</v>
      </c>
      <c r="AE3195">
        <v>384.34131300000001</v>
      </c>
      <c r="AF3195">
        <v>-15.3347825777428</v>
      </c>
      <c r="AG3195">
        <v>49.520620999999998</v>
      </c>
      <c r="AH3195">
        <v>377.98643437020303</v>
      </c>
      <c r="AI3195">
        <v>82.542161848611201</v>
      </c>
      <c r="AJ3195">
        <v>92.323196491929096</v>
      </c>
      <c r="AK3195">
        <v>381.52482491815903</v>
      </c>
      <c r="AL3195">
        <v>81.356133905494502</v>
      </c>
      <c r="AM3195">
        <v>93.518931040049793</v>
      </c>
      <c r="AN3195">
        <v>1.0000000058467999</v>
      </c>
    </row>
    <row r="3196" spans="1:40" x14ac:dyDescent="0.3">
      <c r="A3196" t="str">
        <f>"20200111150918211"</f>
        <v>20200111150918211</v>
      </c>
      <c r="B3196" t="str">
        <f>"1578726558207130"</f>
        <v>1578726558207130</v>
      </c>
      <c r="C3196" t="s">
        <v>40</v>
      </c>
      <c r="D3196">
        <v>4.9726869999999996</v>
      </c>
      <c r="E3196">
        <v>0.50738490000000003</v>
      </c>
      <c r="F3196" t="s">
        <v>48</v>
      </c>
      <c r="G3196">
        <v>-200.3013</v>
      </c>
      <c r="H3196">
        <v>54.423540000000003</v>
      </c>
      <c r="I3196">
        <v>391.87</v>
      </c>
      <c r="J3196">
        <v>-186.34399999999999</v>
      </c>
      <c r="K3196">
        <v>1.1098629999999901</v>
      </c>
      <c r="L3196">
        <v>7.8374329999999999</v>
      </c>
      <c r="M3196">
        <v>5.7829930000000002E-3</v>
      </c>
      <c r="N3196">
        <v>0</v>
      </c>
      <c r="O3196">
        <v>0.99995009999999995</v>
      </c>
      <c r="P3196">
        <v>-5.4599349999999998E-2</v>
      </c>
      <c r="Q3196">
        <v>0.14174510000000001</v>
      </c>
      <c r="R3196">
        <v>0.98839630000000001</v>
      </c>
      <c r="S3196">
        <v>-0.1078491</v>
      </c>
      <c r="T3196">
        <v>0.41200720000000002</v>
      </c>
      <c r="U3196">
        <v>2.9701840000000002</v>
      </c>
      <c r="V3196">
        <v>-6.038959E-2</v>
      </c>
      <c r="W3196">
        <v>0.1497676</v>
      </c>
      <c r="X3196">
        <v>0.98687519999999995</v>
      </c>
      <c r="Y3196">
        <v>-4.1721800000000003E-2</v>
      </c>
      <c r="Z3196">
        <v>0.1372911</v>
      </c>
      <c r="AA3196">
        <v>0.98965170000000002</v>
      </c>
      <c r="AB3196">
        <v>31</v>
      </c>
      <c r="AC3196">
        <v>-13.957299999999901</v>
      </c>
      <c r="AD3196">
        <v>53.313676999999998</v>
      </c>
      <c r="AE3196">
        <v>384.03256699999997</v>
      </c>
      <c r="AF3196">
        <v>-15.872496581983199</v>
      </c>
      <c r="AG3196">
        <v>53.313676999999998</v>
      </c>
      <c r="AH3196">
        <v>376.69509597004497</v>
      </c>
      <c r="AI3196">
        <v>81.951475389784093</v>
      </c>
      <c r="AJ3196">
        <v>92.412798653676404</v>
      </c>
      <c r="AK3196">
        <v>380.78009353285103</v>
      </c>
      <c r="AL3196">
        <v>81.386540669384502</v>
      </c>
      <c r="AM3196">
        <v>93.501718870082101</v>
      </c>
      <c r="AN3196">
        <v>0.999999948482582</v>
      </c>
    </row>
    <row r="3197" spans="1:40" x14ac:dyDescent="0.3">
      <c r="A3197" t="str">
        <f>"20200111150918234"</f>
        <v>20200111150918234</v>
      </c>
      <c r="B3197" t="str">
        <f>"1578726558227626"</f>
        <v>1578726558227626</v>
      </c>
      <c r="C3197" t="s">
        <v>40</v>
      </c>
      <c r="D3197">
        <v>4.2351789999999996</v>
      </c>
      <c r="E3197">
        <v>0.5148298</v>
      </c>
      <c r="F3197" t="s">
        <v>48</v>
      </c>
      <c r="G3197">
        <v>-199.9511</v>
      </c>
      <c r="H3197">
        <v>50.542250000000003</v>
      </c>
      <c r="I3197">
        <v>391.87</v>
      </c>
      <c r="J3197">
        <v>-186.3425</v>
      </c>
      <c r="K3197">
        <v>1.109861</v>
      </c>
      <c r="L3197">
        <v>8.1618040000000001</v>
      </c>
      <c r="M3197">
        <v>5.4986289999999997E-3</v>
      </c>
      <c r="N3197">
        <v>0</v>
      </c>
      <c r="O3197">
        <v>0.99995149999999999</v>
      </c>
      <c r="P3197">
        <v>-5.4596659999999998E-2</v>
      </c>
      <c r="Q3197">
        <v>0.14195639999999901</v>
      </c>
      <c r="R3197">
        <v>0.98836610000000003</v>
      </c>
      <c r="S3197">
        <v>-0.1053925</v>
      </c>
      <c r="T3197">
        <v>0.38287379999999999</v>
      </c>
      <c r="U3197">
        <v>2.9744869999999999</v>
      </c>
      <c r="V3197">
        <v>-6.0106050000000001E-2</v>
      </c>
      <c r="W3197">
        <v>0.14999960000000001</v>
      </c>
      <c r="X3197">
        <v>0.9868574</v>
      </c>
      <c r="Y3197">
        <v>-4.0615409999999998E-2</v>
      </c>
      <c r="Z3197">
        <v>0.12757099999999999</v>
      </c>
      <c r="AA3197">
        <v>0.99099749999999998</v>
      </c>
      <c r="AB3197">
        <v>31</v>
      </c>
      <c r="AC3197">
        <v>-13.6085999999999</v>
      </c>
      <c r="AD3197">
        <v>49.432389000000001</v>
      </c>
      <c r="AE3197">
        <v>383.70819599999999</v>
      </c>
      <c r="AF3197">
        <v>-15.4620376941531</v>
      </c>
      <c r="AG3197">
        <v>49.432389000000001</v>
      </c>
      <c r="AH3197">
        <v>377.37230690341198</v>
      </c>
      <c r="AI3197">
        <v>82.543442358552298</v>
      </c>
      <c r="AJ3197">
        <v>92.346261865247698</v>
      </c>
      <c r="AK3197">
        <v>380.91008612204701</v>
      </c>
      <c r="AL3197">
        <v>81.373097252906604</v>
      </c>
      <c r="AM3197">
        <v>93.485381003012293</v>
      </c>
      <c r="AN3197">
        <v>1.0000000725907501</v>
      </c>
    </row>
    <row r="3198" spans="1:40" x14ac:dyDescent="0.3">
      <c r="A3198" t="str">
        <f>"20200111150918255"</f>
        <v>20200111150918255</v>
      </c>
      <c r="B3198" t="str">
        <f>"1578726558247146"</f>
        <v>1578726558247146</v>
      </c>
      <c r="C3198" t="s">
        <v>40</v>
      </c>
      <c r="D3198">
        <v>7.4357879999999996</v>
      </c>
      <c r="E3198">
        <v>0.51491920000000002</v>
      </c>
      <c r="F3198" t="s">
        <v>41</v>
      </c>
      <c r="G3198">
        <v>-186.3561</v>
      </c>
      <c r="H3198">
        <v>1.036524</v>
      </c>
      <c r="I3198">
        <v>8.9663550000000001</v>
      </c>
      <c r="J3198">
        <v>-186.34110000000001</v>
      </c>
      <c r="K3198">
        <v>1.109864</v>
      </c>
      <c r="L3198">
        <v>8.4571229999999993</v>
      </c>
      <c r="M3198">
        <v>5.2398139999999998E-3</v>
      </c>
      <c r="N3198">
        <v>0</v>
      </c>
      <c r="O3198">
        <v>0.99995270000000003</v>
      </c>
      <c r="P3198">
        <v>-5.5030639999999999E-2</v>
      </c>
      <c r="Q3198">
        <v>0.14241819999999999</v>
      </c>
      <c r="R3198">
        <v>0.98827560000000003</v>
      </c>
      <c r="S3198">
        <v>-5.2764890000000002E-2</v>
      </c>
      <c r="T3198">
        <v>-0.28008280000000002</v>
      </c>
      <c r="U3198">
        <v>3.072632</v>
      </c>
      <c r="V3198">
        <v>-6.028464E-2</v>
      </c>
      <c r="W3198">
        <v>0.15048039999999999</v>
      </c>
      <c r="X3198">
        <v>0.98677329999999996</v>
      </c>
      <c r="Y3198">
        <v>-2.2338130000000001E-2</v>
      </c>
      <c r="Z3198">
        <v>-9.0757840000000006E-2</v>
      </c>
      <c r="AA3198">
        <v>0.99562249999999997</v>
      </c>
      <c r="AB3198">
        <v>31</v>
      </c>
      <c r="AC3198">
        <v>-1.49999999999863E-2</v>
      </c>
      <c r="AD3198">
        <v>-7.3339999999999905E-2</v>
      </c>
      <c r="AE3198">
        <v>0.50923200000000002</v>
      </c>
      <c r="AF3198">
        <v>-1.7309443541770501E-2</v>
      </c>
      <c r="AG3198">
        <v>-7.3339999999999905E-2</v>
      </c>
      <c r="AH3198">
        <v>0.49880908484313402</v>
      </c>
      <c r="AI3198">
        <v>98.359320424673697</v>
      </c>
      <c r="AJ3198">
        <v>91.987454293652405</v>
      </c>
      <c r="AK3198">
        <v>0.50446890445077996</v>
      </c>
      <c r="AL3198">
        <v>81.345233126277293</v>
      </c>
      <c r="AM3198">
        <v>93.496008484080903</v>
      </c>
      <c r="AN3198">
        <v>1.0000000670984801</v>
      </c>
    </row>
    <row r="3199" spans="1:40" x14ac:dyDescent="0.3">
      <c r="A3199" t="str">
        <f>"20200111150918278"</f>
        <v>20200111150918278</v>
      </c>
      <c r="B3199" t="str">
        <f>"1578726558267340"</f>
        <v>1578726558267340</v>
      </c>
      <c r="C3199" t="s">
        <v>40</v>
      </c>
      <c r="D3199">
        <v>4.7182219999999999</v>
      </c>
      <c r="E3199">
        <v>0.4809119</v>
      </c>
      <c r="F3199" t="s">
        <v>43</v>
      </c>
      <c r="G3199">
        <v>-186.5583</v>
      </c>
      <c r="H3199" s="1">
        <v>-1.3377759999999999E-6</v>
      </c>
      <c r="I3199">
        <v>20.88823</v>
      </c>
      <c r="J3199">
        <v>-186.3398</v>
      </c>
      <c r="K3199">
        <v>1.1098709999999901</v>
      </c>
      <c r="L3199">
        <v>8.7601009999999899</v>
      </c>
      <c r="M3199">
        <v>4.9743629999999999E-3</v>
      </c>
      <c r="N3199">
        <v>0</v>
      </c>
      <c r="O3199">
        <v>0.99995389999999995</v>
      </c>
      <c r="P3199">
        <v>-5.5994629999999997E-2</v>
      </c>
      <c r="Q3199">
        <v>0.1428217</v>
      </c>
      <c r="R3199">
        <v>0.98816320000000002</v>
      </c>
      <c r="S3199">
        <v>-5.368042E-2</v>
      </c>
      <c r="T3199">
        <v>-0.27428229999999998</v>
      </c>
      <c r="U3199">
        <v>3.0721129999999999</v>
      </c>
      <c r="V3199">
        <v>-6.0985989999999997E-2</v>
      </c>
      <c r="W3199">
        <v>0.15090190000000001</v>
      </c>
      <c r="X3199">
        <v>0.98666580000000004</v>
      </c>
      <c r="Y3199">
        <v>-2.237515E-2</v>
      </c>
      <c r="Z3199">
        <v>-8.8908059999999997E-2</v>
      </c>
      <c r="AA3199">
        <v>0.99578849999999997</v>
      </c>
      <c r="AB3199">
        <v>31</v>
      </c>
      <c r="AC3199">
        <v>-0.218500000000005</v>
      </c>
      <c r="AD3199">
        <v>-1.10987233777599</v>
      </c>
      <c r="AE3199">
        <v>12.128128999999999</v>
      </c>
      <c r="AF3199">
        <v>-0.27651413361383398</v>
      </c>
      <c r="AG3199">
        <v>-1.10987233777599</v>
      </c>
      <c r="AH3199">
        <v>12.026211278945</v>
      </c>
      <c r="AI3199">
        <v>95.271379339423703</v>
      </c>
      <c r="AJ3199">
        <v>91.317148142187406</v>
      </c>
      <c r="AK3199">
        <v>12.0804815466136</v>
      </c>
      <c r="AL3199">
        <v>81.3208037401767</v>
      </c>
      <c r="AM3199">
        <v>93.536962664351606</v>
      </c>
      <c r="AN3199">
        <v>1.00000003764476</v>
      </c>
    </row>
    <row r="3200" spans="1:40" x14ac:dyDescent="0.3">
      <c r="A3200" t="str">
        <f>"20200111150918300"</f>
        <v>20200111150918300</v>
      </c>
      <c r="B3200" t="str">
        <f>"1578726558297595"</f>
        <v>1578726558297595</v>
      </c>
      <c r="C3200" t="s">
        <v>40</v>
      </c>
      <c r="D3200">
        <v>5.1538830000000004</v>
      </c>
      <c r="E3200">
        <v>0.47703839999999997</v>
      </c>
      <c r="F3200" t="s">
        <v>48</v>
      </c>
      <c r="G3200">
        <v>-228.12649999999999</v>
      </c>
      <c r="H3200">
        <v>114.16200000000001</v>
      </c>
      <c r="I3200">
        <v>391.87</v>
      </c>
      <c r="J3200">
        <v>-186.33850000000001</v>
      </c>
      <c r="K3200">
        <v>1.1098760000000001</v>
      </c>
      <c r="L3200">
        <v>9.0684509999999996</v>
      </c>
      <c r="M3200">
        <v>4.7043750000000002E-3</v>
      </c>
      <c r="N3200">
        <v>0</v>
      </c>
      <c r="O3200">
        <v>0.99995500000000004</v>
      </c>
      <c r="P3200">
        <v>-5.6660919999999997E-2</v>
      </c>
      <c r="Q3200">
        <v>0.14274500000000001</v>
      </c>
      <c r="R3200">
        <v>0.98813640000000003</v>
      </c>
      <c r="S3200">
        <v>-0.31571959999999999</v>
      </c>
      <c r="T3200">
        <v>0.854166599999999</v>
      </c>
      <c r="U3200">
        <v>2.8945919999999998</v>
      </c>
      <c r="V3200">
        <v>-6.1385929999999998E-2</v>
      </c>
      <c r="W3200">
        <v>0.15084810000000001</v>
      </c>
      <c r="X3200">
        <v>0.9866492</v>
      </c>
      <c r="Y3200">
        <v>-0.1087221</v>
      </c>
      <c r="Z3200">
        <v>0.2814122</v>
      </c>
      <c r="AA3200">
        <v>0.95340789999999997</v>
      </c>
      <c r="AB3200">
        <v>31</v>
      </c>
      <c r="AC3200">
        <v>-41.787999999999897</v>
      </c>
      <c r="AD3200">
        <v>113.052123999999</v>
      </c>
      <c r="AE3200">
        <v>382.80154900000002</v>
      </c>
      <c r="AF3200">
        <v>-40.129603021445597</v>
      </c>
      <c r="AG3200">
        <v>113.052123999999</v>
      </c>
      <c r="AH3200">
        <v>352.24051944482699</v>
      </c>
      <c r="AI3200">
        <v>72.313105378206899</v>
      </c>
      <c r="AJ3200">
        <v>96.499496619591397</v>
      </c>
      <c r="AK3200">
        <v>372.10825215027398</v>
      </c>
      <c r="AL3200">
        <v>81.323921730091897</v>
      </c>
      <c r="AM3200">
        <v>93.560157992153094</v>
      </c>
      <c r="AN3200">
        <v>1.0000000127680999</v>
      </c>
    </row>
    <row r="3201" spans="1:40" x14ac:dyDescent="0.3">
      <c r="A3201" t="str">
        <f>"20200111150918323"</f>
        <v>20200111150918323</v>
      </c>
      <c r="B3201" t="str">
        <f>"1578726558317116"</f>
        <v>1578726558317116</v>
      </c>
      <c r="C3201" t="s">
        <v>40</v>
      </c>
      <c r="D3201">
        <v>5.1144230000000004</v>
      </c>
      <c r="E3201">
        <v>0.47191709999999898</v>
      </c>
      <c r="F3201" t="s">
        <v>48</v>
      </c>
      <c r="G3201">
        <v>-232.0376</v>
      </c>
      <c r="H3201">
        <v>68.724040000000002</v>
      </c>
      <c r="I3201">
        <v>391.00349999999997</v>
      </c>
      <c r="J3201">
        <v>-186.3373</v>
      </c>
      <c r="K3201">
        <v>1.109877</v>
      </c>
      <c r="L3201">
        <v>9.3886109999999992</v>
      </c>
      <c r="M3201">
        <v>4.4236429999999997E-3</v>
      </c>
      <c r="N3201">
        <v>0</v>
      </c>
      <c r="O3201">
        <v>0.99995599999999996</v>
      </c>
      <c r="P3201">
        <v>-5.7579650000000003E-2</v>
      </c>
      <c r="Q3201">
        <v>0.14283509999999999</v>
      </c>
      <c r="R3201">
        <v>0.98807020000000001</v>
      </c>
      <c r="S3201">
        <v>-0.35185240000000001</v>
      </c>
      <c r="T3201">
        <v>0.52058369999999998</v>
      </c>
      <c r="U3201">
        <v>2.9406430000000001</v>
      </c>
      <c r="V3201">
        <v>-6.2027449999999998E-2</v>
      </c>
      <c r="W3201">
        <v>0.15096499999999999</v>
      </c>
      <c r="X3201">
        <v>0.9865912</v>
      </c>
      <c r="Y3201">
        <v>-0.1214022</v>
      </c>
      <c r="Z3201">
        <v>0.1730739</v>
      </c>
      <c r="AA3201">
        <v>0.97739799999999999</v>
      </c>
      <c r="AB3201">
        <v>31</v>
      </c>
      <c r="AC3201">
        <v>-45.700299999999999</v>
      </c>
      <c r="AD3201">
        <v>67.614163000000005</v>
      </c>
      <c r="AE3201">
        <v>381.61488900000001</v>
      </c>
      <c r="AF3201">
        <v>-45.965472798527202</v>
      </c>
      <c r="AG3201">
        <v>67.614163000000005</v>
      </c>
      <c r="AH3201">
        <v>369.95927433537202</v>
      </c>
      <c r="AI3201">
        <v>79.720201081972704</v>
      </c>
      <c r="AJ3201">
        <v>97.082401716324497</v>
      </c>
      <c r="AK3201">
        <v>378.885687766822</v>
      </c>
      <c r="AL3201">
        <v>81.317146288050196</v>
      </c>
      <c r="AM3201">
        <v>93.597477519698003</v>
      </c>
      <c r="AN3201">
        <v>1.00000001584797</v>
      </c>
    </row>
    <row r="3202" spans="1:40" x14ac:dyDescent="0.3">
      <c r="A3202" t="str">
        <f>"20200111150918345"</f>
        <v>20200111150918345</v>
      </c>
      <c r="B3202" t="str">
        <f>"1578726558337613"</f>
        <v>1578726558337613</v>
      </c>
      <c r="C3202" t="s">
        <v>40</v>
      </c>
      <c r="D3202">
        <v>5.0940580000000004</v>
      </c>
      <c r="E3202">
        <v>0.48847469999999998</v>
      </c>
      <c r="F3202" t="s">
        <v>110</v>
      </c>
      <c r="G3202">
        <v>-242.62270000000001</v>
      </c>
      <c r="H3202">
        <v>67.192480000000003</v>
      </c>
      <c r="I3202">
        <v>428.16390000000001</v>
      </c>
      <c r="J3202">
        <v>-186.33619999999999</v>
      </c>
      <c r="K3202">
        <v>1.1098779999999999</v>
      </c>
      <c r="L3202">
        <v>9.7001950000000008</v>
      </c>
      <c r="M3202">
        <v>4.150094E-3</v>
      </c>
      <c r="N3202">
        <v>0</v>
      </c>
      <c r="O3202">
        <v>0.99995699999999998</v>
      </c>
      <c r="P3202">
        <v>-5.8154009999999999E-2</v>
      </c>
      <c r="Q3202">
        <v>0.14247839999999901</v>
      </c>
      <c r="R3202">
        <v>0.98808810000000002</v>
      </c>
      <c r="S3202">
        <v>-0.39595029999999998</v>
      </c>
      <c r="T3202">
        <v>0.46487079999999997</v>
      </c>
      <c r="U3202">
        <v>2.9459529999999998</v>
      </c>
      <c r="V3202">
        <v>-6.2332180000000001E-2</v>
      </c>
      <c r="W3202">
        <v>0.15063460000000001</v>
      </c>
      <c r="X3202">
        <v>0.98662249999999996</v>
      </c>
      <c r="Y3202">
        <v>-0.13572010000000001</v>
      </c>
      <c r="Z3202">
        <v>0.15447</v>
      </c>
      <c r="AA3202">
        <v>0.97863120000000003</v>
      </c>
      <c r="AB3202">
        <v>31</v>
      </c>
      <c r="AC3202">
        <v>-56.286499999999997</v>
      </c>
      <c r="AD3202">
        <v>66.082601999999994</v>
      </c>
      <c r="AE3202">
        <v>418.463705</v>
      </c>
      <c r="AF3202">
        <v>-56.635471656365098</v>
      </c>
      <c r="AG3202">
        <v>66.082601999999994</v>
      </c>
      <c r="AH3202">
        <v>408.22711158867298</v>
      </c>
      <c r="AI3202">
        <v>80.8906556705535</v>
      </c>
      <c r="AJ3202">
        <v>97.898523678236799</v>
      </c>
      <c r="AK3202">
        <v>417.40131956291202</v>
      </c>
      <c r="AL3202">
        <v>81.336295841158005</v>
      </c>
      <c r="AM3202">
        <v>93.614990158664099</v>
      </c>
      <c r="AN3202">
        <v>1.00000002044348</v>
      </c>
    </row>
    <row r="3203" spans="1:40" x14ac:dyDescent="0.3">
      <c r="A3203" t="str">
        <f>"20200111150918366"</f>
        <v>20200111150918366</v>
      </c>
      <c r="B3203" t="str">
        <f>"1578726558357133"</f>
        <v>1578726558357133</v>
      </c>
      <c r="C3203" t="s">
        <v>40</v>
      </c>
      <c r="D3203">
        <v>5.0998570000000001</v>
      </c>
      <c r="E3203">
        <v>0.48833219999999999</v>
      </c>
      <c r="F3203" t="s">
        <v>43</v>
      </c>
      <c r="G3203">
        <v>-187.58189999999999</v>
      </c>
      <c r="H3203" s="1">
        <v>-2.1457620000000001E-6</v>
      </c>
      <c r="I3203">
        <v>23.63476</v>
      </c>
      <c r="J3203">
        <v>-186.33519999999999</v>
      </c>
      <c r="K3203">
        <v>1.1098730000000001</v>
      </c>
      <c r="L3203">
        <v>9.9999690000000001</v>
      </c>
      <c r="M3203">
        <v>3.8866840000000001E-3</v>
      </c>
      <c r="N3203">
        <v>0</v>
      </c>
      <c r="O3203">
        <v>0.99995789999999996</v>
      </c>
      <c r="P3203">
        <v>-5.9956700000000002E-2</v>
      </c>
      <c r="Q3203">
        <v>0.1421829</v>
      </c>
      <c r="R3203">
        <v>0.98802290000000004</v>
      </c>
      <c r="S3203">
        <v>-0.27313229999999999</v>
      </c>
      <c r="T3203">
        <v>-0.2433429</v>
      </c>
      <c r="U3203">
        <v>3.0551759999999999</v>
      </c>
      <c r="V3203">
        <v>-6.3874609999999998E-2</v>
      </c>
      <c r="W3203">
        <v>0.15036160000000001</v>
      </c>
      <c r="X3203">
        <v>0.98656549999999998</v>
      </c>
      <c r="Y3203">
        <v>-9.2636640000000006E-2</v>
      </c>
      <c r="Z3203">
        <v>-7.9069650000000005E-2</v>
      </c>
      <c r="AA3203">
        <v>0.99255550000000003</v>
      </c>
      <c r="AB3203">
        <v>31</v>
      </c>
      <c r="AC3203">
        <v>-1.2466999999999999</v>
      </c>
      <c r="AD3203">
        <v>-1.109875145762</v>
      </c>
      <c r="AE3203">
        <v>13.634791</v>
      </c>
      <c r="AF3203">
        <v>-1.29120197069805</v>
      </c>
      <c r="AG3203">
        <v>-1.109875145762</v>
      </c>
      <c r="AH3203">
        <v>13.540864463705701</v>
      </c>
      <c r="AI3203">
        <v>94.664700781785797</v>
      </c>
      <c r="AJ3203">
        <v>95.447023738752193</v>
      </c>
      <c r="AK3203">
        <v>13.6474919231617</v>
      </c>
      <c r="AL3203">
        <v>81.352117889542498</v>
      </c>
      <c r="AM3203">
        <v>93.704411623047804</v>
      </c>
      <c r="AN3203">
        <v>1.00000003117373</v>
      </c>
    </row>
    <row r="3204" spans="1:40" x14ac:dyDescent="0.3">
      <c r="A3204" t="str">
        <f>"20200111150918390"</f>
        <v>20200111150918390</v>
      </c>
      <c r="B3204" t="str">
        <f>"1578726558387388"</f>
        <v>1578726558387388</v>
      </c>
      <c r="C3204" t="s">
        <v>40</v>
      </c>
      <c r="D3204">
        <v>5.0889329999999999</v>
      </c>
      <c r="E3204">
        <v>0.4890737</v>
      </c>
      <c r="F3204" t="s">
        <v>43</v>
      </c>
      <c r="G3204">
        <v>-187.6086</v>
      </c>
      <c r="H3204" s="1">
        <v>-2.2759070000000001E-6</v>
      </c>
      <c r="I3204">
        <v>23.94914</v>
      </c>
      <c r="J3204">
        <v>-186.33420000000001</v>
      </c>
      <c r="K3204">
        <v>1.1098760000000001</v>
      </c>
      <c r="L3204">
        <v>10.322139999999999</v>
      </c>
      <c r="M3204">
        <v>3.6033660000000002E-3</v>
      </c>
      <c r="N3204">
        <v>0</v>
      </c>
      <c r="O3204">
        <v>0.99995869999999998</v>
      </c>
      <c r="P3204">
        <v>-6.0550600000000003E-2</v>
      </c>
      <c r="Q3204">
        <v>0.14183009999999999</v>
      </c>
      <c r="R3204">
        <v>0.98803730000000001</v>
      </c>
      <c r="S3204">
        <v>-0.27882390000000001</v>
      </c>
      <c r="T3204">
        <v>-0.2430264</v>
      </c>
      <c r="U3204">
        <v>3.0544129999999998</v>
      </c>
      <c r="V3204">
        <v>-6.4188789999999996E-2</v>
      </c>
      <c r="W3204">
        <v>0.15003349999999999</v>
      </c>
      <c r="X3204">
        <v>0.986595</v>
      </c>
      <c r="Y3204">
        <v>-9.4211630000000005E-2</v>
      </c>
      <c r="Z3204">
        <v>-7.8974680000000005E-2</v>
      </c>
      <c r="AA3204">
        <v>0.99241480000000004</v>
      </c>
      <c r="AB3204">
        <v>31</v>
      </c>
      <c r="AC3204">
        <v>-1.27439999999998</v>
      </c>
      <c r="AD3204">
        <v>-1.1098782759070001</v>
      </c>
      <c r="AE3204">
        <v>13.627000000000001</v>
      </c>
      <c r="AF3204">
        <v>-1.3148499201294399</v>
      </c>
      <c r="AG3204">
        <v>-1.1098782759070001</v>
      </c>
      <c r="AH3204">
        <v>13.533322763932301</v>
      </c>
      <c r="AI3204">
        <v>94.666504034659098</v>
      </c>
      <c r="AJ3204">
        <v>95.549239182856496</v>
      </c>
      <c r="AK3204">
        <v>13.6422683279784</v>
      </c>
      <c r="AL3204">
        <v>81.371131827860097</v>
      </c>
      <c r="AM3204">
        <v>93.722470405899401</v>
      </c>
      <c r="AN3204">
        <v>0.99999997295445597</v>
      </c>
    </row>
    <row r="3205" spans="1:40" x14ac:dyDescent="0.3">
      <c r="A3205" t="str">
        <f>"20200111150918414"</f>
        <v>20200111150918414</v>
      </c>
      <c r="B3205" t="str">
        <f>"1578726558407884"</f>
        <v>1578726558407884</v>
      </c>
      <c r="C3205" t="s">
        <v>40</v>
      </c>
      <c r="D3205">
        <v>5.0944949999999896</v>
      </c>
      <c r="E3205">
        <v>0.4895699</v>
      </c>
      <c r="F3205" t="s">
        <v>43</v>
      </c>
      <c r="G3205">
        <v>-187.67169999999999</v>
      </c>
      <c r="H3205" s="1">
        <v>-2.7954209999999999E-6</v>
      </c>
      <c r="I3205">
        <v>25.186260000000001</v>
      </c>
      <c r="J3205">
        <v>-186.33330000000001</v>
      </c>
      <c r="K3205">
        <v>1.10988</v>
      </c>
      <c r="L3205">
        <v>10.65128</v>
      </c>
      <c r="M3205">
        <v>3.3138130000000001E-3</v>
      </c>
      <c r="N3205">
        <v>0</v>
      </c>
      <c r="O3205">
        <v>0.9999595</v>
      </c>
      <c r="P3205">
        <v>-5.9852250000000003E-2</v>
      </c>
      <c r="Q3205">
        <v>0.14187359999999999</v>
      </c>
      <c r="R3205">
        <v>0.9880736</v>
      </c>
      <c r="S3205">
        <v>-0.27464290000000002</v>
      </c>
      <c r="T3205">
        <v>-0.22790379999999999</v>
      </c>
      <c r="U3205">
        <v>3.052216</v>
      </c>
      <c r="V3205">
        <v>-6.3204839999999998E-2</v>
      </c>
      <c r="W3205">
        <v>0.1501043</v>
      </c>
      <c r="X3205">
        <v>0.98664779999999996</v>
      </c>
      <c r="Y3205">
        <v>-9.2672790000000005E-2</v>
      </c>
      <c r="Z3205">
        <v>-7.4151239999999993E-2</v>
      </c>
      <c r="AA3205">
        <v>0.99293169999999997</v>
      </c>
      <c r="AB3205">
        <v>31</v>
      </c>
      <c r="AC3205">
        <v>-1.3383999999999701</v>
      </c>
      <c r="AD3205">
        <v>-1.109882795421</v>
      </c>
      <c r="AE3205">
        <v>14.534979999999999</v>
      </c>
      <c r="AF3205">
        <v>-1.3785898951565501</v>
      </c>
      <c r="AG3205">
        <v>-1.109882795421</v>
      </c>
      <c r="AH3205">
        <v>14.4469364026008</v>
      </c>
      <c r="AI3205">
        <v>94.373318188373801</v>
      </c>
      <c r="AJ3205">
        <v>95.450909023435997</v>
      </c>
      <c r="AK3205">
        <v>14.5549414749559</v>
      </c>
      <c r="AL3205">
        <v>81.367029205050002</v>
      </c>
      <c r="AM3205">
        <v>93.665369807446197</v>
      </c>
      <c r="AN3205">
        <v>1.0000000169613701</v>
      </c>
    </row>
    <row r="3206" spans="1:40" x14ac:dyDescent="0.3">
      <c r="A3206" t="str">
        <f>"20200111150918435"</f>
        <v>20200111150918435</v>
      </c>
      <c r="B3206" t="str">
        <f>"1578726558427404"</f>
        <v>1578726558427404</v>
      </c>
      <c r="C3206" t="s">
        <v>40</v>
      </c>
      <c r="D3206">
        <v>5.1718299999999999</v>
      </c>
      <c r="E3206">
        <v>0.49062270000000002</v>
      </c>
      <c r="F3206" t="s">
        <v>43</v>
      </c>
      <c r="G3206">
        <v>-187.6566</v>
      </c>
      <c r="H3206" s="1">
        <v>-2.9742689999999998E-6</v>
      </c>
      <c r="I3206">
        <v>25.596920000000001</v>
      </c>
      <c r="J3206">
        <v>-186.33260000000001</v>
      </c>
      <c r="K3206">
        <v>1.1098749999999999</v>
      </c>
      <c r="L3206">
        <v>10.96115</v>
      </c>
      <c r="M3206">
        <v>3.04135E-3</v>
      </c>
      <c r="N3206">
        <v>0</v>
      </c>
      <c r="O3206">
        <v>0.99996010000000002</v>
      </c>
      <c r="P3206">
        <v>-5.9312759999999999E-2</v>
      </c>
      <c r="Q3206">
        <v>0.1421694</v>
      </c>
      <c r="R3206">
        <v>0.98806369999999999</v>
      </c>
      <c r="S3206">
        <v>-0.2702637</v>
      </c>
      <c r="T3206">
        <v>-0.22667509999999999</v>
      </c>
      <c r="U3206">
        <v>3.0523989999999999</v>
      </c>
      <c r="V3206">
        <v>-6.2396739999999999E-2</v>
      </c>
      <c r="W3206">
        <v>0.1504286</v>
      </c>
      <c r="X3206">
        <v>0.98664980000000002</v>
      </c>
      <c r="Y3206">
        <v>-9.098531E-2</v>
      </c>
      <c r="Z3206">
        <v>-7.3759779999999997E-2</v>
      </c>
      <c r="AA3206">
        <v>0.99311689999999997</v>
      </c>
      <c r="AB3206">
        <v>31</v>
      </c>
      <c r="AC3206">
        <v>-1.3239999999999801</v>
      </c>
      <c r="AD3206">
        <v>-1.1098779742689999</v>
      </c>
      <c r="AE3206">
        <v>14.635770000000001</v>
      </c>
      <c r="AF3206">
        <v>-1.36074624596553</v>
      </c>
      <c r="AG3206">
        <v>-1.1098779742689999</v>
      </c>
      <c r="AH3206">
        <v>14.5486896592506</v>
      </c>
      <c r="AI3206">
        <v>94.343597220060204</v>
      </c>
      <c r="AJ3206">
        <v>95.343358045570398</v>
      </c>
      <c r="AK3206">
        <v>14.654276859158299</v>
      </c>
      <c r="AL3206">
        <v>81.348234394460505</v>
      </c>
      <c r="AM3206">
        <v>93.618624546622499</v>
      </c>
      <c r="AN3206">
        <v>0.99999997235031302</v>
      </c>
    </row>
    <row r="3207" spans="1:40" x14ac:dyDescent="0.3">
      <c r="A3207" t="str">
        <f>"20200111150918456"</f>
        <v>20200111150918456</v>
      </c>
      <c r="B3207" t="str">
        <f>"1578726558447900"</f>
        <v>1578726558447900</v>
      </c>
      <c r="C3207" t="s">
        <v>40</v>
      </c>
      <c r="D3207">
        <v>5.2239040000000001</v>
      </c>
      <c r="E3207">
        <v>0.49113770000000001</v>
      </c>
      <c r="F3207" t="s">
        <v>43</v>
      </c>
      <c r="G3207">
        <v>-187.66499999999999</v>
      </c>
      <c r="H3207" s="1">
        <v>-3.418371E-6</v>
      </c>
      <c r="I3207">
        <v>26.635590000000001</v>
      </c>
      <c r="J3207">
        <v>-186.33189999999999</v>
      </c>
      <c r="K3207">
        <v>1.1098779999999999</v>
      </c>
      <c r="L3207">
        <v>11.264340000000001</v>
      </c>
      <c r="M3207">
        <v>2.7746440000000002E-3</v>
      </c>
      <c r="N3207">
        <v>0</v>
      </c>
      <c r="O3207">
        <v>0.99996070000000004</v>
      </c>
      <c r="P3207">
        <v>-5.8965410000000003E-2</v>
      </c>
      <c r="Q3207">
        <v>0.14207149999999999</v>
      </c>
      <c r="R3207">
        <v>0.98809860000000005</v>
      </c>
      <c r="S3207">
        <v>-0.2594147</v>
      </c>
      <c r="T3207">
        <v>-0.21608949999999999</v>
      </c>
      <c r="U3207">
        <v>3.051758</v>
      </c>
      <c r="V3207">
        <v>-6.1786250000000001E-2</v>
      </c>
      <c r="W3207">
        <v>0.15035879999999999</v>
      </c>
      <c r="X3207">
        <v>0.98669890000000005</v>
      </c>
      <c r="Y3207">
        <v>-8.7254010000000007E-2</v>
      </c>
      <c r="Z3207">
        <v>-7.0370000000000002E-2</v>
      </c>
      <c r="AA3207">
        <v>0.99369750000000001</v>
      </c>
      <c r="AB3207">
        <v>31</v>
      </c>
      <c r="AC3207">
        <v>-1.3331</v>
      </c>
      <c r="AD3207">
        <v>-1.109881418371</v>
      </c>
      <c r="AE3207">
        <v>15.37125</v>
      </c>
      <c r="AF3207">
        <v>-1.3686637793652401</v>
      </c>
      <c r="AG3207">
        <v>-1.109881418371</v>
      </c>
      <c r="AH3207">
        <v>15.2883798998968</v>
      </c>
      <c r="AI3207">
        <v>94.135701739608706</v>
      </c>
      <c r="AJ3207">
        <v>95.115660890529895</v>
      </c>
      <c r="AK3207">
        <v>15.3895950975768</v>
      </c>
      <c r="AL3207">
        <v>81.352280015900902</v>
      </c>
      <c r="AM3207">
        <v>93.583134760102197</v>
      </c>
      <c r="AN3207">
        <v>1.0000000143438501</v>
      </c>
    </row>
    <row r="3208" spans="1:40" x14ac:dyDescent="0.3">
      <c r="A3208" t="str">
        <f>"20200111150918479"</f>
        <v>20200111150918479</v>
      </c>
      <c r="B3208" t="str">
        <f>"1578726558467419"</f>
        <v>1578726558467419</v>
      </c>
      <c r="C3208" t="s">
        <v>40</v>
      </c>
      <c r="D3208">
        <v>5.145499</v>
      </c>
      <c r="E3208">
        <v>0.49073060000000002</v>
      </c>
      <c r="F3208" t="s">
        <v>43</v>
      </c>
      <c r="G3208">
        <v>-187.62559999999999</v>
      </c>
      <c r="H3208" s="1">
        <v>-3.5096019999999999E-6</v>
      </c>
      <c r="I3208">
        <v>26.831969999999998</v>
      </c>
      <c r="J3208">
        <v>-186.3313</v>
      </c>
      <c r="K3208">
        <v>1.1098840000000001</v>
      </c>
      <c r="L3208">
        <v>11.58057</v>
      </c>
      <c r="M3208">
        <v>2.496313E-3</v>
      </c>
      <c r="N3208">
        <v>0</v>
      </c>
      <c r="O3208">
        <v>0.99996110000000005</v>
      </c>
      <c r="P3208">
        <v>-5.8618799999999999E-2</v>
      </c>
      <c r="Q3208">
        <v>0.1414309</v>
      </c>
      <c r="R3208">
        <v>0.98821110000000001</v>
      </c>
      <c r="S3208">
        <v>-0.25364690000000001</v>
      </c>
      <c r="T3208">
        <v>-0.21760959999999999</v>
      </c>
      <c r="U3208">
        <v>3.0522770000000001</v>
      </c>
      <c r="V3208">
        <v>-6.116481E-2</v>
      </c>
      <c r="W3208">
        <v>0.14974689999999999</v>
      </c>
      <c r="X3208">
        <v>0.98683069999999895</v>
      </c>
      <c r="Y3208">
        <v>-8.5094779999999995E-2</v>
      </c>
      <c r="Z3208">
        <v>-7.0862889999999998E-2</v>
      </c>
      <c r="AA3208">
        <v>0.99384980000000001</v>
      </c>
      <c r="AB3208">
        <v>31</v>
      </c>
      <c r="AC3208">
        <v>-1.29429999999999</v>
      </c>
      <c r="AD3208">
        <v>-1.109887509602</v>
      </c>
      <c r="AE3208">
        <v>15.2514</v>
      </c>
      <c r="AF3208">
        <v>-1.3254006191377501</v>
      </c>
      <c r="AG3208">
        <v>-1.109887509602</v>
      </c>
      <c r="AH3208">
        <v>15.1683658648966</v>
      </c>
      <c r="AI3208">
        <v>94.169113452354495</v>
      </c>
      <c r="AJ3208">
        <v>94.993779325030502</v>
      </c>
      <c r="AK3208">
        <v>15.266560192019099</v>
      </c>
      <c r="AL3208">
        <v>81.387741094106701</v>
      </c>
      <c r="AM3208">
        <v>93.546715878323596</v>
      </c>
      <c r="AN3208">
        <v>1.0000000492522101</v>
      </c>
    </row>
    <row r="3209" spans="1:40" x14ac:dyDescent="0.3">
      <c r="A3209" t="str">
        <f>"20200111150918501"</f>
        <v>20200111150918501</v>
      </c>
      <c r="B3209" t="str">
        <f>"1578726558497676"</f>
        <v>1578726558497676</v>
      </c>
      <c r="C3209" t="s">
        <v>40</v>
      </c>
      <c r="D3209">
        <v>8.7506299999999992</v>
      </c>
      <c r="E3209">
        <v>0.49079719999999999</v>
      </c>
      <c r="F3209" t="s">
        <v>43</v>
      </c>
      <c r="G3209">
        <v>-187.71870000000001</v>
      </c>
      <c r="H3209" s="1">
        <v>-4.0446950000000001E-6</v>
      </c>
      <c r="I3209">
        <v>28.117750000000001</v>
      </c>
      <c r="J3209">
        <v>-186.33080000000001</v>
      </c>
      <c r="K3209">
        <v>1.1098870000000001</v>
      </c>
      <c r="L3209">
        <v>11.89059</v>
      </c>
      <c r="M3209">
        <v>2.2236920000000002E-3</v>
      </c>
      <c r="N3209">
        <v>0</v>
      </c>
      <c r="O3209">
        <v>0.99996160000000001</v>
      </c>
      <c r="P3209">
        <v>-5.8062200000000001E-2</v>
      </c>
      <c r="Q3209">
        <v>0.14139649999999901</v>
      </c>
      <c r="R3209">
        <v>0.98824889999999999</v>
      </c>
      <c r="S3209">
        <v>-0.25585940000000001</v>
      </c>
      <c r="T3209">
        <v>-0.20469280000000001</v>
      </c>
      <c r="U3209">
        <v>3.0498959999999999</v>
      </c>
      <c r="V3209">
        <v>-6.0339509999999999E-2</v>
      </c>
      <c r="W3209">
        <v>0.14973839999999999</v>
      </c>
      <c r="X3209">
        <v>0.9868827</v>
      </c>
      <c r="Y3209">
        <v>-8.5627010000000003E-2</v>
      </c>
      <c r="Z3209">
        <v>-6.6724160000000005E-2</v>
      </c>
      <c r="AA3209">
        <v>0.99409049999999999</v>
      </c>
      <c r="AB3209">
        <v>32</v>
      </c>
      <c r="AC3209">
        <v>-1.3878999999999999</v>
      </c>
      <c r="AD3209">
        <v>-1.1098910446950001</v>
      </c>
      <c r="AE3209">
        <v>16.227160000000001</v>
      </c>
      <c r="AF3209">
        <v>-1.4173993946872401</v>
      </c>
      <c r="AG3209">
        <v>-1.1098910446950001</v>
      </c>
      <c r="AH3209">
        <v>16.149034276548399</v>
      </c>
      <c r="AI3209">
        <v>93.916632530037106</v>
      </c>
      <c r="AJ3209">
        <v>95.015991825380596</v>
      </c>
      <c r="AK3209">
        <v>16.249067272932599</v>
      </c>
      <c r="AL3209">
        <v>81.388232837383001</v>
      </c>
      <c r="AM3209">
        <v>93.498795650578501</v>
      </c>
      <c r="AN3209">
        <v>0.99999995423044397</v>
      </c>
    </row>
    <row r="3210" spans="1:40" x14ac:dyDescent="0.3">
      <c r="A3210" t="str">
        <f>"20200111150918526"</f>
        <v>20200111150918526</v>
      </c>
      <c r="B3210" t="str">
        <f>"1578726558517197"</f>
        <v>1578726558517197</v>
      </c>
      <c r="C3210" t="s">
        <v>40</v>
      </c>
      <c r="D3210">
        <v>5.2495839999999996</v>
      </c>
      <c r="E3210">
        <v>0.47460059999999898</v>
      </c>
      <c r="F3210" t="s">
        <v>43</v>
      </c>
      <c r="G3210">
        <v>-187.70519999999999</v>
      </c>
      <c r="H3210" s="1">
        <v>-4.170411E-6</v>
      </c>
      <c r="I3210">
        <v>28.40522</v>
      </c>
      <c r="J3210">
        <v>-186.3304</v>
      </c>
      <c r="K3210">
        <v>1.10989</v>
      </c>
      <c r="L3210">
        <v>12.24905</v>
      </c>
      <c r="M3210">
        <v>1.908632E-3</v>
      </c>
      <c r="N3210">
        <v>0</v>
      </c>
      <c r="O3210">
        <v>0.99996200000000002</v>
      </c>
      <c r="P3210">
        <v>-5.8849739999999998E-2</v>
      </c>
      <c r="Q3210">
        <v>0.14146410000000001</v>
      </c>
      <c r="R3210">
        <v>0.98819259999999998</v>
      </c>
      <c r="S3210">
        <v>-0.25383</v>
      </c>
      <c r="T3210">
        <v>-0.20498530000000001</v>
      </c>
      <c r="U3210">
        <v>3.0500790000000002</v>
      </c>
      <c r="V3210">
        <v>-6.0816269999999999E-2</v>
      </c>
      <c r="W3210">
        <v>0.1498322</v>
      </c>
      <c r="X3210">
        <v>0.98683920000000003</v>
      </c>
      <c r="Y3210">
        <v>-8.4650699999999995E-2</v>
      </c>
      <c r="Z3210">
        <v>-6.6819760000000006E-2</v>
      </c>
      <c r="AA3210">
        <v>0.99416769999999999</v>
      </c>
      <c r="AB3210">
        <v>32</v>
      </c>
      <c r="AC3210">
        <v>-1.37479999999999</v>
      </c>
      <c r="AD3210">
        <v>-1.1098941704109999</v>
      </c>
      <c r="AE3210">
        <v>16.156169999999999</v>
      </c>
      <c r="AF3210">
        <v>-1.3990794536986699</v>
      </c>
      <c r="AG3210">
        <v>-1.1098941704109999</v>
      </c>
      <c r="AH3210">
        <v>16.078182692589799</v>
      </c>
      <c r="AI3210">
        <v>93.934104890423598</v>
      </c>
      <c r="AJ3210">
        <v>94.973194816211006</v>
      </c>
      <c r="AK3210">
        <v>16.1770592841706</v>
      </c>
      <c r="AL3210">
        <v>81.382797192711195</v>
      </c>
      <c r="AM3210">
        <v>93.526526214444999</v>
      </c>
      <c r="AN3210">
        <v>0.99999995675509501</v>
      </c>
    </row>
    <row r="3211" spans="1:40" x14ac:dyDescent="0.3">
      <c r="A3211" t="str">
        <f>"20200111150918549"</f>
        <v>20200111150918549</v>
      </c>
      <c r="B3211" t="str">
        <f>"1578726558537692"</f>
        <v>1578726558537692</v>
      </c>
      <c r="C3211" t="s">
        <v>40</v>
      </c>
      <c r="D3211">
        <v>5.2205529999999998</v>
      </c>
      <c r="E3211">
        <v>0.49588349999999998</v>
      </c>
      <c r="F3211" t="s">
        <v>49</v>
      </c>
      <c r="G3211">
        <v>0</v>
      </c>
      <c r="H3211">
        <v>0</v>
      </c>
      <c r="I3211">
        <v>0</v>
      </c>
      <c r="J3211">
        <v>-186.33</v>
      </c>
      <c r="K3211">
        <v>1.10989</v>
      </c>
      <c r="L3211">
        <v>12.56808</v>
      </c>
      <c r="M3211">
        <v>1.62839E-3</v>
      </c>
      <c r="N3211">
        <v>0</v>
      </c>
      <c r="O3211">
        <v>0.99996229999999997</v>
      </c>
      <c r="P3211">
        <v>-5.9995159999999999E-2</v>
      </c>
      <c r="Q3211">
        <v>0.14196819999999999</v>
      </c>
      <c r="R3211">
        <v>0.98805140000000002</v>
      </c>
      <c r="S3211">
        <v>-0.37438959999999999</v>
      </c>
      <c r="T3211">
        <v>0.90073910000000001</v>
      </c>
      <c r="U3211">
        <v>2.8846129999999999</v>
      </c>
      <c r="V3211">
        <v>-6.1684650000000001E-2</v>
      </c>
      <c r="W3211">
        <v>0.1503565</v>
      </c>
      <c r="X3211">
        <v>0.98670559999999996</v>
      </c>
      <c r="Y3211">
        <v>-0.1245648</v>
      </c>
      <c r="Z3211">
        <v>0.29577059999999999</v>
      </c>
      <c r="AA3211">
        <v>0.94710260000000002</v>
      </c>
      <c r="AB3211">
        <v>32</v>
      </c>
      <c r="AC3211">
        <v>-0.37438959999999999</v>
      </c>
      <c r="AD3211">
        <v>0.90073910000000001</v>
      </c>
      <c r="AE3211">
        <v>2.8846129999999999</v>
      </c>
      <c r="AF3211">
        <v>-0.34591696719750897</v>
      </c>
      <c r="AG3211">
        <v>0.90073910000000001</v>
      </c>
      <c r="AH3211">
        <v>2.6316532787557598</v>
      </c>
      <c r="AI3211">
        <v>71.255247131325305</v>
      </c>
      <c r="AJ3211">
        <v>97.4882985605567</v>
      </c>
      <c r="AK3211">
        <v>2.8029606586696598</v>
      </c>
      <c r="AL3211">
        <v>81.3524132484592</v>
      </c>
      <c r="AM3211">
        <v>93.577233814274393</v>
      </c>
      <c r="AN3211">
        <v>1.00000000710461</v>
      </c>
    </row>
    <row r="3212" spans="1:40" x14ac:dyDescent="0.3">
      <c r="A3212" t="str">
        <f>"20200111150918570"</f>
        <v>20200111150918570</v>
      </c>
      <c r="B3212" t="str">
        <f>"1578726558567949"</f>
        <v>1578726558567949</v>
      </c>
      <c r="C3212" t="s">
        <v>40</v>
      </c>
      <c r="D3212">
        <v>5.3447239999999896</v>
      </c>
      <c r="E3212">
        <v>0.47085569999999999</v>
      </c>
      <c r="F3212" t="s">
        <v>43</v>
      </c>
      <c r="G3212">
        <v>-187.53399999999999</v>
      </c>
      <c r="H3212" s="1">
        <v>-4.6184429999999998E-6</v>
      </c>
      <c r="I3212">
        <v>29.378830000000001</v>
      </c>
      <c r="J3212">
        <v>-186.32980000000001</v>
      </c>
      <c r="K3212">
        <v>1.109893</v>
      </c>
      <c r="L3212">
        <v>12.87552</v>
      </c>
      <c r="M3212">
        <v>1.3585750000000001E-3</v>
      </c>
      <c r="N3212">
        <v>0</v>
      </c>
      <c r="O3212">
        <v>0.99996249999999998</v>
      </c>
      <c r="P3212">
        <v>-6.0934309999999998E-2</v>
      </c>
      <c r="Q3212">
        <v>0.1416916</v>
      </c>
      <c r="R3212">
        <v>0.98803370000000001</v>
      </c>
      <c r="S3212">
        <v>-0.2185822</v>
      </c>
      <c r="T3212">
        <v>-0.20150009999999999</v>
      </c>
      <c r="U3212">
        <v>3.051971</v>
      </c>
      <c r="V3212">
        <v>-6.2357559999999999E-2</v>
      </c>
      <c r="W3212">
        <v>0.15009910000000001</v>
      </c>
      <c r="X3212">
        <v>0.98670250000000004</v>
      </c>
      <c r="Y3212">
        <v>-7.2637709999999994E-2</v>
      </c>
      <c r="Z3212">
        <v>-6.5708610000000001E-2</v>
      </c>
      <c r="AA3212">
        <v>0.99519150000000001</v>
      </c>
      <c r="AB3212">
        <v>32</v>
      </c>
      <c r="AC3212">
        <v>-1.2042000000000099</v>
      </c>
      <c r="AD3212">
        <v>-1.1098976184430001</v>
      </c>
      <c r="AE3212">
        <v>16.503309999999999</v>
      </c>
      <c r="AF3212">
        <v>-1.2211268234263899</v>
      </c>
      <c r="AG3212">
        <v>-1.1098976184430001</v>
      </c>
      <c r="AH3212">
        <v>16.427749994968199</v>
      </c>
      <c r="AI3212">
        <v>93.854562180184601</v>
      </c>
      <c r="AJ3212">
        <v>94.251158923186196</v>
      </c>
      <c r="AK3212">
        <v>16.510420749923199</v>
      </c>
      <c r="AL3212">
        <v>81.367330534169795</v>
      </c>
      <c r="AM3212">
        <v>93.616165742995307</v>
      </c>
      <c r="AN3212">
        <v>1.0000000143081</v>
      </c>
    </row>
    <row r="3213" spans="1:40" x14ac:dyDescent="0.3">
      <c r="A3213" t="str">
        <f>"20200111150918591"</f>
        <v>20200111150918591</v>
      </c>
      <c r="B3213" t="str">
        <f>"1578726558587468"</f>
        <v>1578726558587468</v>
      </c>
      <c r="C3213" t="s">
        <v>40</v>
      </c>
      <c r="D3213">
        <v>6.0623779999999998</v>
      </c>
      <c r="E3213">
        <v>0.4882397</v>
      </c>
      <c r="F3213" t="s">
        <v>110</v>
      </c>
      <c r="G3213">
        <v>-242.60149999999999</v>
      </c>
      <c r="H3213">
        <v>131.09</v>
      </c>
      <c r="I3213">
        <v>407.69330000000002</v>
      </c>
      <c r="J3213">
        <v>-186.3297</v>
      </c>
      <c r="K3213">
        <v>1.1098939999999999</v>
      </c>
      <c r="L3213">
        <v>13.176539999999999</v>
      </c>
      <c r="M3213">
        <v>1.0945289999999999E-3</v>
      </c>
      <c r="N3213">
        <v>0</v>
      </c>
      <c r="O3213">
        <v>0.99996269999999998</v>
      </c>
      <c r="P3213">
        <v>-6.1657289999999997E-2</v>
      </c>
      <c r="Q3213">
        <v>0.14197509999999999</v>
      </c>
      <c r="R3213">
        <v>0.9879481</v>
      </c>
      <c r="S3213">
        <v>-0.40980529999999998</v>
      </c>
      <c r="T3213">
        <v>0.94659550000000003</v>
      </c>
      <c r="U3213">
        <v>2.875305</v>
      </c>
      <c r="V3213">
        <v>-6.2819970000000003E-2</v>
      </c>
      <c r="W3213">
        <v>0.150399799999999</v>
      </c>
      <c r="X3213">
        <v>0.98662729999999998</v>
      </c>
      <c r="Y3213">
        <v>-0.13523879999999999</v>
      </c>
      <c r="Z3213">
        <v>0.30985499999999999</v>
      </c>
      <c r="AA3213">
        <v>0.94111650000000002</v>
      </c>
      <c r="AB3213">
        <v>32</v>
      </c>
      <c r="AC3213">
        <v>-56.271799999999899</v>
      </c>
      <c r="AD3213">
        <v>129.98010600000001</v>
      </c>
      <c r="AE3213">
        <v>394.51675999999998</v>
      </c>
      <c r="AF3213">
        <v>-51.251280457835399</v>
      </c>
      <c r="AG3213">
        <v>129.98010600000001</v>
      </c>
      <c r="AH3213">
        <v>356.52627082651298</v>
      </c>
      <c r="AI3213">
        <v>70.157300302992795</v>
      </c>
      <c r="AJ3213">
        <v>98.180328923977896</v>
      </c>
      <c r="AK3213">
        <v>382.92623766699398</v>
      </c>
      <c r="AL3213">
        <v>81.349903209742607</v>
      </c>
      <c r="AM3213">
        <v>93.643186242888802</v>
      </c>
      <c r="AN3213">
        <v>0.99999993878806304</v>
      </c>
    </row>
    <row r="3214" spans="1:40" x14ac:dyDescent="0.3">
      <c r="A3214" t="str">
        <f>"20200111150918613"</f>
        <v>20200111150918613</v>
      </c>
      <c r="B3214" t="str">
        <f>"1578726558607964"</f>
        <v>1578726558607964</v>
      </c>
      <c r="C3214" t="s">
        <v>40</v>
      </c>
      <c r="D3214">
        <v>5.3377800000000004</v>
      </c>
      <c r="E3214">
        <v>0.48374630000000002</v>
      </c>
      <c r="F3214" t="s">
        <v>48</v>
      </c>
      <c r="G3214">
        <v>-222.20500000000001</v>
      </c>
      <c r="H3214">
        <v>117.2988</v>
      </c>
      <c r="I3214">
        <v>391.87</v>
      </c>
      <c r="J3214">
        <v>-186.3296</v>
      </c>
      <c r="K3214">
        <v>1.10989</v>
      </c>
      <c r="L3214">
        <v>13.48944</v>
      </c>
      <c r="M3214">
        <v>8.1987249999999998E-4</v>
      </c>
      <c r="N3214">
        <v>0</v>
      </c>
      <c r="O3214">
        <v>0.99996280000000004</v>
      </c>
      <c r="P3214">
        <v>-6.2299449999999999E-2</v>
      </c>
      <c r="Q3214">
        <v>0.14181270000000001</v>
      </c>
      <c r="R3214">
        <v>0.98793109999999995</v>
      </c>
      <c r="S3214">
        <v>-0.27397159999999998</v>
      </c>
      <c r="T3214">
        <v>0.88730849999999895</v>
      </c>
      <c r="U3214">
        <v>2.8919980000000001</v>
      </c>
      <c r="V3214">
        <v>-6.3190679999999999E-2</v>
      </c>
      <c r="W3214">
        <v>0.1502541</v>
      </c>
      <c r="X3214">
        <v>0.98662589999999994</v>
      </c>
      <c r="Y3214">
        <v>-9.1014680000000001E-2</v>
      </c>
      <c r="Z3214">
        <v>0.2921127</v>
      </c>
      <c r="AA3214">
        <v>0.95204339999999998</v>
      </c>
      <c r="AB3214">
        <v>32</v>
      </c>
      <c r="AC3214">
        <v>-35.875399999999999</v>
      </c>
      <c r="AD3214">
        <v>116.18891000000001</v>
      </c>
      <c r="AE3214">
        <v>378.38056</v>
      </c>
      <c r="AF3214">
        <v>-33.093037741784897</v>
      </c>
      <c r="AG3214">
        <v>116.18891000000001</v>
      </c>
      <c r="AH3214">
        <v>346.01544561465499</v>
      </c>
      <c r="AI3214">
        <v>71.516980303649802</v>
      </c>
      <c r="AJ3214">
        <v>95.463171398754696</v>
      </c>
      <c r="AK3214">
        <v>366.49925041925502</v>
      </c>
      <c r="AL3214">
        <v>81.358347793383999</v>
      </c>
      <c r="AM3214">
        <v>93.664631999626394</v>
      </c>
      <c r="AN3214">
        <v>1.0000000115782399</v>
      </c>
    </row>
    <row r="3215" spans="1:40" x14ac:dyDescent="0.3">
      <c r="A3215" t="str">
        <f>"20200111150918636"</f>
        <v>20200111150918636</v>
      </c>
      <c r="B3215" t="str">
        <f>"1578726558627483"</f>
        <v>1578726558627483</v>
      </c>
      <c r="C3215" t="s">
        <v>40</v>
      </c>
      <c r="D3215">
        <v>5.3025279999999997</v>
      </c>
      <c r="E3215">
        <v>0.51077589999999995</v>
      </c>
      <c r="F3215" t="s">
        <v>48</v>
      </c>
      <c r="G3215">
        <v>-227.23249999999999</v>
      </c>
      <c r="H3215">
        <v>120.6893</v>
      </c>
      <c r="I3215">
        <v>391.87</v>
      </c>
      <c r="J3215">
        <v>-186.3296</v>
      </c>
      <c r="K3215">
        <v>1.109899</v>
      </c>
      <c r="L3215">
        <v>13.806609999999999</v>
      </c>
      <c r="M3215">
        <v>5.4156790000000005E-4</v>
      </c>
      <c r="N3215">
        <v>0</v>
      </c>
      <c r="O3215">
        <v>0.99996289999999999</v>
      </c>
      <c r="P3215">
        <v>-6.2799270000000004E-2</v>
      </c>
      <c r="Q3215">
        <v>0.14222879999999999</v>
      </c>
      <c r="R3215">
        <v>0.98783969999999999</v>
      </c>
      <c r="S3215">
        <v>-0.31198120000000001</v>
      </c>
      <c r="T3215">
        <v>0.9120762</v>
      </c>
      <c r="U3215">
        <v>2.886047</v>
      </c>
      <c r="V3215">
        <v>-6.3416529999999999E-2</v>
      </c>
      <c r="W3215">
        <v>0.15068599999999999</v>
      </c>
      <c r="X3215">
        <v>0.98654549999999996</v>
      </c>
      <c r="Y3215">
        <v>-0.10307040000000001</v>
      </c>
      <c r="Z3215">
        <v>0.29974269999999997</v>
      </c>
      <c r="AA3215">
        <v>0.94843599999999995</v>
      </c>
      <c r="AB3215">
        <v>32</v>
      </c>
      <c r="AC3215">
        <v>-40.902899999999903</v>
      </c>
      <c r="AD3215">
        <v>119.579401</v>
      </c>
      <c r="AE3215">
        <v>378.063389999999</v>
      </c>
      <c r="AF3215">
        <v>-37.408515224014998</v>
      </c>
      <c r="AG3215">
        <v>119.579401</v>
      </c>
      <c r="AH3215">
        <v>344.02257992469498</v>
      </c>
      <c r="AI3215">
        <v>70.937164244363998</v>
      </c>
      <c r="AJ3215">
        <v>96.205876843534298</v>
      </c>
      <c r="AK3215">
        <v>366.128619002704</v>
      </c>
      <c r="AL3215">
        <v>81.333316439618201</v>
      </c>
      <c r="AM3215">
        <v>93.677992785832501</v>
      </c>
      <c r="AN3215">
        <v>0.999999975221745</v>
      </c>
    </row>
    <row r="3216" spans="1:40" x14ac:dyDescent="0.3">
      <c r="A3216" t="str">
        <f>"20200111150918657"</f>
        <v>20200111150918657</v>
      </c>
      <c r="B3216" t="str">
        <f>"1578726558647003"</f>
        <v>1578726558647003</v>
      </c>
      <c r="C3216" t="s">
        <v>40</v>
      </c>
      <c r="D3216">
        <v>5.2724669999999998</v>
      </c>
      <c r="E3216">
        <v>0.51180020000000004</v>
      </c>
      <c r="F3216" t="s">
        <v>43</v>
      </c>
      <c r="G3216">
        <v>-186.8905</v>
      </c>
      <c r="H3216" s="1">
        <v>-8.3970460000000005E-7</v>
      </c>
      <c r="I3216">
        <v>29.684380000000001</v>
      </c>
      <c r="J3216">
        <v>-186.3297</v>
      </c>
      <c r="K3216">
        <v>1.109904</v>
      </c>
      <c r="L3216">
        <v>14.12668</v>
      </c>
      <c r="M3216">
        <v>2.6087639999999997E-4</v>
      </c>
      <c r="N3216">
        <v>0</v>
      </c>
      <c r="O3216">
        <v>0.99996280000000004</v>
      </c>
      <c r="P3216">
        <v>-6.2774319999999995E-2</v>
      </c>
      <c r="Q3216">
        <v>0.142813299999999</v>
      </c>
      <c r="R3216">
        <v>0.98775690000000005</v>
      </c>
      <c r="S3216">
        <v>-0.108139</v>
      </c>
      <c r="T3216">
        <v>-0.21396209999999999</v>
      </c>
      <c r="U3216">
        <v>3.0608520000000001</v>
      </c>
      <c r="V3216">
        <v>-6.3114779999999995E-2</v>
      </c>
      <c r="W3216">
        <v>0.151285</v>
      </c>
      <c r="X3216">
        <v>0.98647320000000005</v>
      </c>
      <c r="Y3216">
        <v>-3.5482569999999998E-2</v>
      </c>
      <c r="Z3216">
        <v>-6.9689039999999994E-2</v>
      </c>
      <c r="AA3216">
        <v>0.99693750000000003</v>
      </c>
      <c r="AB3216">
        <v>32</v>
      </c>
      <c r="AC3216">
        <v>-0.56079999999999997</v>
      </c>
      <c r="AD3216">
        <v>-1.1099048397046001</v>
      </c>
      <c r="AE3216">
        <v>15.557700000000001</v>
      </c>
      <c r="AF3216">
        <v>-0.56200213364293805</v>
      </c>
      <c r="AG3216">
        <v>-1.1099048397046001</v>
      </c>
      <c r="AH3216">
        <v>15.478874650498801</v>
      </c>
      <c r="AI3216">
        <v>94.098653873281506</v>
      </c>
      <c r="AJ3216">
        <v>92.079363835694295</v>
      </c>
      <c r="AK3216">
        <v>15.5287892508487</v>
      </c>
      <c r="AL3216">
        <v>81.298598477874705</v>
      </c>
      <c r="AM3216">
        <v>93.660807328608897</v>
      </c>
      <c r="AN3216">
        <v>1.0000000004988401</v>
      </c>
    </row>
    <row r="3217" spans="1:40" x14ac:dyDescent="0.3">
      <c r="A3217" t="str">
        <f>"20200111150918681"</f>
        <v>20200111150918681</v>
      </c>
      <c r="B3217" t="str">
        <f>"1578726558677260"</f>
        <v>1578726558677260</v>
      </c>
      <c r="C3217" t="s">
        <v>40</v>
      </c>
      <c r="D3217">
        <v>5.2560630000000002</v>
      </c>
      <c r="E3217">
        <v>0.51217479999999904</v>
      </c>
      <c r="F3217" t="s">
        <v>43</v>
      </c>
      <c r="G3217">
        <v>-186.8312</v>
      </c>
      <c r="H3217" s="1">
        <v>-4.7396299999999999E-6</v>
      </c>
      <c r="I3217">
        <v>29.370719999999999</v>
      </c>
      <c r="J3217">
        <v>-186.32990000000001</v>
      </c>
      <c r="K3217">
        <v>1.1099110000000001</v>
      </c>
      <c r="L3217">
        <v>14.449490000000001</v>
      </c>
      <c r="M3217" s="1">
        <v>-2.1886450000000001E-5</v>
      </c>
      <c r="N3217">
        <v>0</v>
      </c>
      <c r="O3217">
        <v>0.99996269999999998</v>
      </c>
      <c r="P3217">
        <v>-6.3024090000000005E-2</v>
      </c>
      <c r="Q3217">
        <v>0.1433131</v>
      </c>
      <c r="R3217">
        <v>0.98766860000000001</v>
      </c>
      <c r="S3217">
        <v>-0.100769</v>
      </c>
      <c r="T3217">
        <v>-0.2230164</v>
      </c>
      <c r="U3217">
        <v>3.0630190000000002</v>
      </c>
      <c r="V3217">
        <v>-6.3085769999999999E-2</v>
      </c>
      <c r="W3217">
        <v>0.15179879999999901</v>
      </c>
      <c r="X3217">
        <v>0.9863961</v>
      </c>
      <c r="Y3217">
        <v>-3.2772219999999998E-2</v>
      </c>
      <c r="Z3217">
        <v>-7.2578069999999995E-2</v>
      </c>
      <c r="AA3217">
        <v>0.99682409999999999</v>
      </c>
      <c r="AB3217">
        <v>32</v>
      </c>
      <c r="AC3217">
        <v>-0.50129999999998598</v>
      </c>
      <c r="AD3217">
        <v>-1.1099157396299999</v>
      </c>
      <c r="AE3217">
        <v>14.92123</v>
      </c>
      <c r="AF3217">
        <v>-0.49821980867950799</v>
      </c>
      <c r="AG3217">
        <v>-1.1099157396299999</v>
      </c>
      <c r="AH3217">
        <v>14.8392261921196</v>
      </c>
      <c r="AI3217">
        <v>94.275133993963905</v>
      </c>
      <c r="AJ3217">
        <v>91.9229556235952</v>
      </c>
      <c r="AK3217">
        <v>14.889015075139399</v>
      </c>
      <c r="AL3217">
        <v>81.268815745294404</v>
      </c>
      <c r="AM3217">
        <v>93.659414484742001</v>
      </c>
      <c r="AN3217">
        <v>0.99999997807657104</v>
      </c>
    </row>
    <row r="3218" spans="1:40" x14ac:dyDescent="0.3">
      <c r="A3218" t="str">
        <f>"20200111150918702"</f>
        <v>20200111150918702</v>
      </c>
      <c r="B3218" t="str">
        <f>"1578726558697756"</f>
        <v>1578726558697756</v>
      </c>
      <c r="C3218" t="s">
        <v>40</v>
      </c>
      <c r="D3218">
        <v>5.1271000000000004</v>
      </c>
      <c r="E3218">
        <v>0.51208149999999997</v>
      </c>
      <c r="F3218" t="s">
        <v>43</v>
      </c>
      <c r="G3218">
        <v>-186.791</v>
      </c>
      <c r="H3218" s="1">
        <v>-4.4810330000000002E-6</v>
      </c>
      <c r="I3218">
        <v>28.751280000000001</v>
      </c>
      <c r="J3218">
        <v>-186.33019999999999</v>
      </c>
      <c r="K3218">
        <v>1.10991</v>
      </c>
      <c r="L3218">
        <v>14.76831</v>
      </c>
      <c r="M3218">
        <v>-3.015308E-4</v>
      </c>
      <c r="N3218">
        <v>0</v>
      </c>
      <c r="O3218">
        <v>0.99996269999999998</v>
      </c>
      <c r="P3218">
        <v>-6.3586370000000003E-2</v>
      </c>
      <c r="Q3218">
        <v>0.14378650000000001</v>
      </c>
      <c r="R3218">
        <v>0.98756379999999999</v>
      </c>
      <c r="S3218">
        <v>-9.8831180000000005E-2</v>
      </c>
      <c r="T3218">
        <v>-0.23791709999999999</v>
      </c>
      <c r="U3218">
        <v>3.065674</v>
      </c>
      <c r="V3218">
        <v>-6.3372220000000007E-2</v>
      </c>
      <c r="W3218">
        <v>0.15227389999999999</v>
      </c>
      <c r="X3218">
        <v>0.98630450000000003</v>
      </c>
      <c r="Y3218">
        <v>-3.1823369999999997E-2</v>
      </c>
      <c r="Z3218">
        <v>-7.7334570000000005E-2</v>
      </c>
      <c r="AA3218">
        <v>0.99649719999999997</v>
      </c>
      <c r="AB3218">
        <v>32</v>
      </c>
      <c r="AC3218">
        <v>-0.46080000000000598</v>
      </c>
      <c r="AD3218">
        <v>-1.1099144810329999</v>
      </c>
      <c r="AE3218">
        <v>13.9829699999999</v>
      </c>
      <c r="AF3218">
        <v>-0.45372788051487201</v>
      </c>
      <c r="AG3218">
        <v>-1.1099144810329999</v>
      </c>
      <c r="AH3218">
        <v>13.8956526893193</v>
      </c>
      <c r="AI3218">
        <v>94.564379272584404</v>
      </c>
      <c r="AJ3218">
        <v>91.870186308149201</v>
      </c>
      <c r="AK3218">
        <v>13.947291593960101</v>
      </c>
      <c r="AL3218">
        <v>81.241274301595396</v>
      </c>
      <c r="AM3218">
        <v>93.676325584097896</v>
      </c>
      <c r="AN3218">
        <v>0.99999997280459296</v>
      </c>
    </row>
    <row r="3219" spans="1:40" x14ac:dyDescent="0.3">
      <c r="A3219" t="str">
        <f>"20200111150918724"</f>
        <v>20200111150918724</v>
      </c>
      <c r="B3219" t="str">
        <f>"1578726558717276"</f>
        <v>1578726558717276</v>
      </c>
      <c r="C3219" t="s">
        <v>40</v>
      </c>
      <c r="D3219">
        <v>5.2850429999999999</v>
      </c>
      <c r="E3219">
        <v>0.51114529999999903</v>
      </c>
      <c r="F3219" t="s">
        <v>43</v>
      </c>
      <c r="G3219">
        <v>-186.82490000000001</v>
      </c>
      <c r="H3219" s="1">
        <v>-9.0374609999999996E-7</v>
      </c>
      <c r="I3219">
        <v>29.821249999999999</v>
      </c>
      <c r="J3219">
        <v>-186.3305</v>
      </c>
      <c r="K3219">
        <v>1.109909</v>
      </c>
      <c r="L3219">
        <v>15.07437</v>
      </c>
      <c r="M3219">
        <v>-5.696621E-4</v>
      </c>
      <c r="N3219">
        <v>0</v>
      </c>
      <c r="O3219">
        <v>0.99996260000000003</v>
      </c>
      <c r="P3219">
        <v>-6.3739920000000005E-2</v>
      </c>
      <c r="Q3219">
        <v>0.14380780000000001</v>
      </c>
      <c r="R3219">
        <v>0.98755079999999995</v>
      </c>
      <c r="S3219">
        <v>-0.10070800000000001</v>
      </c>
      <c r="T3219">
        <v>-0.22593360000000001</v>
      </c>
      <c r="U3219">
        <v>3.0641780000000001</v>
      </c>
      <c r="V3219">
        <v>-6.3261520000000002E-2</v>
      </c>
      <c r="W3219">
        <v>0.15229129999999999</v>
      </c>
      <c r="X3219">
        <v>0.98630890000000004</v>
      </c>
      <c r="Y3219">
        <v>-3.2190280000000002E-2</v>
      </c>
      <c r="Z3219">
        <v>-7.3495420000000006E-2</v>
      </c>
      <c r="AA3219">
        <v>0.99677590000000005</v>
      </c>
      <c r="AB3219">
        <v>32</v>
      </c>
      <c r="AC3219">
        <v>-0.494400000000013</v>
      </c>
      <c r="AD3219">
        <v>-1.1099099037461</v>
      </c>
      <c r="AE3219">
        <v>14.7468799999999</v>
      </c>
      <c r="AF3219">
        <v>-0.483264404958617</v>
      </c>
      <c r="AG3219">
        <v>-1.1099099037461</v>
      </c>
      <c r="AH3219">
        <v>14.6641846485642</v>
      </c>
      <c r="AI3219">
        <v>94.326038273011804</v>
      </c>
      <c r="AJ3219">
        <v>91.887523514508899</v>
      </c>
      <c r="AK3219">
        <v>14.714066599234901</v>
      </c>
      <c r="AL3219">
        <v>81.240265416378094</v>
      </c>
      <c r="AM3219">
        <v>93.669904935474406</v>
      </c>
      <c r="AN3219">
        <v>0.99999995309380396</v>
      </c>
    </row>
    <row r="3220" spans="1:40" x14ac:dyDescent="0.3">
      <c r="A3220" t="str">
        <f>"20200111150918747"</f>
        <v>20200111150918747</v>
      </c>
      <c r="B3220" t="str">
        <f>"1578726558737772"</f>
        <v>1578726558737772</v>
      </c>
      <c r="C3220" t="s">
        <v>40</v>
      </c>
      <c r="D3220">
        <v>5.3375120000000003</v>
      </c>
      <c r="E3220">
        <v>0.50901390000000002</v>
      </c>
      <c r="F3220" t="s">
        <v>43</v>
      </c>
      <c r="G3220">
        <v>-186.82640000000001</v>
      </c>
      <c r="H3220" s="1">
        <v>-4.6208870000000004E-6</v>
      </c>
      <c r="I3220">
        <v>29.09196</v>
      </c>
      <c r="J3220">
        <v>-186.33109999999999</v>
      </c>
      <c r="K3220">
        <v>1.1099000000000001</v>
      </c>
      <c r="L3220">
        <v>15.413270000000001</v>
      </c>
      <c r="M3220">
        <v>-8.6630759999999996E-4</v>
      </c>
      <c r="N3220">
        <v>0</v>
      </c>
      <c r="O3220">
        <v>0.99996240000000003</v>
      </c>
      <c r="P3220">
        <v>-6.4168619999999996E-2</v>
      </c>
      <c r="Q3220">
        <v>0.14422769999999999</v>
      </c>
      <c r="R3220">
        <v>0.9874617</v>
      </c>
      <c r="S3220">
        <v>-0.10847469999999999</v>
      </c>
      <c r="T3220">
        <v>-0.24277889999999999</v>
      </c>
      <c r="U3220">
        <v>3.0661619999999998</v>
      </c>
      <c r="V3220">
        <v>-6.3398070000000001E-2</v>
      </c>
      <c r="W3220">
        <v>0.15270410000000001</v>
      </c>
      <c r="X3220">
        <v>0.98623629999999995</v>
      </c>
      <c r="Y3220">
        <v>-3.437991E-2</v>
      </c>
      <c r="Z3220">
        <v>-7.8885120000000003E-2</v>
      </c>
      <c r="AA3220">
        <v>0.99629069999999997</v>
      </c>
      <c r="AB3220">
        <v>32</v>
      </c>
      <c r="AC3220">
        <v>-0.49530000000001401</v>
      </c>
      <c r="AD3220">
        <v>-1.109904620887</v>
      </c>
      <c r="AE3220">
        <v>13.6786899999999</v>
      </c>
      <c r="AF3220">
        <v>-0.48029137683091</v>
      </c>
      <c r="AG3220">
        <v>-1.109904620887</v>
      </c>
      <c r="AH3220">
        <v>13.5897577071378</v>
      </c>
      <c r="AI3220">
        <v>94.666205516540401</v>
      </c>
      <c r="AJ3220">
        <v>92.024114074447795</v>
      </c>
      <c r="AK3220">
        <v>13.6434629992842</v>
      </c>
      <c r="AL3220">
        <v>81.216333767793003</v>
      </c>
      <c r="AM3220">
        <v>93.678074699389398</v>
      </c>
      <c r="AN3220">
        <v>0.99999994843711104</v>
      </c>
    </row>
    <row r="3221" spans="1:40" x14ac:dyDescent="0.3">
      <c r="A3221" t="str">
        <f>"20200111150918769"</f>
        <v>20200111150918769</v>
      </c>
      <c r="B3221" t="str">
        <f>"1578726558767052"</f>
        <v>1578726558767052</v>
      </c>
      <c r="C3221" t="s">
        <v>40</v>
      </c>
      <c r="D3221">
        <v>5.1386919999999998</v>
      </c>
      <c r="E3221">
        <v>0.51021110000000003</v>
      </c>
      <c r="F3221" t="s">
        <v>43</v>
      </c>
      <c r="G3221">
        <v>-186.87270000000001</v>
      </c>
      <c r="H3221" s="1">
        <v>-4.3629829999999997E-6</v>
      </c>
      <c r="I3221">
        <v>28.509899999999998</v>
      </c>
      <c r="J3221">
        <v>-186.33160000000001</v>
      </c>
      <c r="K3221">
        <v>1.109888</v>
      </c>
      <c r="L3221">
        <v>15.73935</v>
      </c>
      <c r="M3221">
        <v>-1.151881E-3</v>
      </c>
      <c r="N3221">
        <v>0</v>
      </c>
      <c r="O3221">
        <v>0.99996220000000002</v>
      </c>
      <c r="P3221">
        <v>-6.4922270000000004E-2</v>
      </c>
      <c r="Q3221">
        <v>0.1439743</v>
      </c>
      <c r="R3221">
        <v>0.98744949999999998</v>
      </c>
      <c r="S3221">
        <v>-0.12687680000000001</v>
      </c>
      <c r="T3221">
        <v>-0.25998880000000002</v>
      </c>
      <c r="U3221">
        <v>3.0678100000000001</v>
      </c>
      <c r="V3221">
        <v>-6.3869519999999999E-2</v>
      </c>
      <c r="W3221">
        <v>0.152444</v>
      </c>
      <c r="X3221">
        <v>0.98624619999999996</v>
      </c>
      <c r="Y3221">
        <v>-4.0023820000000002E-2</v>
      </c>
      <c r="Z3221">
        <v>-8.4374950000000004E-2</v>
      </c>
      <c r="AA3221">
        <v>0.99562989999999996</v>
      </c>
      <c r="AB3221">
        <v>32</v>
      </c>
      <c r="AC3221">
        <v>-0.54110000000000003</v>
      </c>
      <c r="AD3221">
        <v>-1.109892362983</v>
      </c>
      <c r="AE3221">
        <v>12.770549999999901</v>
      </c>
      <c r="AF3221">
        <v>-0.52244974059527505</v>
      </c>
      <c r="AG3221">
        <v>-1.109892362983</v>
      </c>
      <c r="AH3221">
        <v>12.6755925840024</v>
      </c>
      <c r="AI3221">
        <v>94.999910925376</v>
      </c>
      <c r="AJ3221">
        <v>92.360223483309696</v>
      </c>
      <c r="AK3221">
        <v>12.7348129999805</v>
      </c>
      <c r="AL3221">
        <v>81.231413649268404</v>
      </c>
      <c r="AM3221">
        <v>93.705313128269196</v>
      </c>
      <c r="AN3221">
        <v>1.0000000278677299</v>
      </c>
    </row>
    <row r="3222" spans="1:40" x14ac:dyDescent="0.3">
      <c r="A3222" t="str">
        <f>"20200111150918792"</f>
        <v>20200111150918792</v>
      </c>
      <c r="B3222" t="str">
        <f>"1578726558787547"</f>
        <v>1578726558787547</v>
      </c>
      <c r="C3222" t="s">
        <v>40</v>
      </c>
      <c r="D3222">
        <v>5.9320079999999997</v>
      </c>
      <c r="E3222">
        <v>0.51493509999999998</v>
      </c>
      <c r="F3222" t="s">
        <v>43</v>
      </c>
      <c r="G3222">
        <v>-186.8544</v>
      </c>
      <c r="H3222" s="1">
        <v>-4.6230319999999997E-6</v>
      </c>
      <c r="I3222">
        <v>29.108519999999999</v>
      </c>
      <c r="J3222">
        <v>-186.3323</v>
      </c>
      <c r="K3222">
        <v>1.1098870000000001</v>
      </c>
      <c r="L3222">
        <v>16.064540000000001</v>
      </c>
      <c r="M3222">
        <v>-1.4365090000000001E-3</v>
      </c>
      <c r="N3222">
        <v>0</v>
      </c>
      <c r="O3222">
        <v>0.99996189999999996</v>
      </c>
      <c r="P3222">
        <v>-6.5733979999999997E-2</v>
      </c>
      <c r="Q3222">
        <v>0.14364589999999999</v>
      </c>
      <c r="R3222">
        <v>0.98744359999999998</v>
      </c>
      <c r="S3222">
        <v>-0.11994929999999999</v>
      </c>
      <c r="T3222">
        <v>-0.25465070000000001</v>
      </c>
      <c r="U3222">
        <v>3.067383</v>
      </c>
      <c r="V3222">
        <v>-6.4400520000000003E-2</v>
      </c>
      <c r="W3222">
        <v>0.15210940000000001</v>
      </c>
      <c r="X3222">
        <v>0.98626329999999995</v>
      </c>
      <c r="Y3222">
        <v>-3.7505650000000001E-2</v>
      </c>
      <c r="Z3222">
        <v>-8.2673650000000001E-2</v>
      </c>
      <c r="AA3222">
        <v>0.99587060000000005</v>
      </c>
      <c r="AB3222">
        <v>32</v>
      </c>
      <c r="AC3222">
        <v>-0.52209999999999401</v>
      </c>
      <c r="AD3222">
        <v>-1.109891623032</v>
      </c>
      <c r="AE3222">
        <v>13.043979999999999</v>
      </c>
      <c r="AF3222">
        <v>-0.49974856040284299</v>
      </c>
      <c r="AG3222">
        <v>-1.109891623032</v>
      </c>
      <c r="AH3222">
        <v>12.951100083572401</v>
      </c>
      <c r="AI3222">
        <v>94.894577478071994</v>
      </c>
      <c r="AJ3222">
        <v>92.209795634015904</v>
      </c>
      <c r="AK3222">
        <v>13.008174407395099</v>
      </c>
      <c r="AL3222">
        <v>81.250810756311296</v>
      </c>
      <c r="AM3222">
        <v>93.735966972957698</v>
      </c>
      <c r="AN3222">
        <v>0.99999999673576001</v>
      </c>
    </row>
    <row r="3223" spans="1:40" x14ac:dyDescent="0.3">
      <c r="A3223" t="str">
        <f>"20200111150918814"</f>
        <v>20200111150918814</v>
      </c>
      <c r="B3223" t="str">
        <f>"1578726558807067"</f>
        <v>1578726558807067</v>
      </c>
      <c r="C3223" t="s">
        <v>40</v>
      </c>
      <c r="D3223">
        <v>5.2547220000000001</v>
      </c>
      <c r="E3223">
        <v>0.51523240000000003</v>
      </c>
      <c r="F3223" t="s">
        <v>43</v>
      </c>
      <c r="G3223">
        <v>-186.69370000000001</v>
      </c>
      <c r="H3223" s="1">
        <v>-4.6649330000000003E-6</v>
      </c>
      <c r="I3223">
        <v>29.13973</v>
      </c>
      <c r="J3223">
        <v>-186.333</v>
      </c>
      <c r="K3223">
        <v>1.1098840000000001</v>
      </c>
      <c r="L3223">
        <v>16.389469999999999</v>
      </c>
      <c r="M3223">
        <v>-1.720697E-3</v>
      </c>
      <c r="N3223">
        <v>0</v>
      </c>
      <c r="O3223">
        <v>0.99996149999999995</v>
      </c>
      <c r="P3223">
        <v>-6.6436540000000002E-2</v>
      </c>
      <c r="Q3223">
        <v>0.143516899999999</v>
      </c>
      <c r="R3223">
        <v>0.98741540000000005</v>
      </c>
      <c r="S3223">
        <v>-8.4869379999999994E-2</v>
      </c>
      <c r="T3223">
        <v>-0.26063239999999999</v>
      </c>
      <c r="U3223">
        <v>3.0704039999999999</v>
      </c>
      <c r="V3223">
        <v>-6.4822790000000005E-2</v>
      </c>
      <c r="W3223">
        <v>0.1519751</v>
      </c>
      <c r="X3223">
        <v>0.98625640000000003</v>
      </c>
      <c r="Y3223">
        <v>-2.5811480000000001E-2</v>
      </c>
      <c r="Z3223">
        <v>-8.4550899999999901E-2</v>
      </c>
      <c r="AA3223">
        <v>0.99608479999999999</v>
      </c>
      <c r="AB3223">
        <v>32</v>
      </c>
      <c r="AC3223">
        <v>-0.36070000000000801</v>
      </c>
      <c r="AD3223">
        <v>-1.109888664933</v>
      </c>
      <c r="AE3223">
        <v>12.7502599999999</v>
      </c>
      <c r="AF3223">
        <v>-0.336213727828585</v>
      </c>
      <c r="AG3223">
        <v>-1.109888664933</v>
      </c>
      <c r="AH3223">
        <v>12.6550460189045</v>
      </c>
      <c r="AI3223">
        <v>95.0104423215423</v>
      </c>
      <c r="AJ3223">
        <v>91.521851219819496</v>
      </c>
      <c r="AK3223">
        <v>12.7080715397702</v>
      </c>
      <c r="AL3223">
        <v>81.258596612512704</v>
      </c>
      <c r="AM3223">
        <v>93.760419640339805</v>
      </c>
      <c r="AN3223">
        <v>1.00000005583217</v>
      </c>
    </row>
    <row r="3224" spans="1:40" x14ac:dyDescent="0.3">
      <c r="A3224" t="str">
        <f>"20200111150918836"</f>
        <v>20200111150918836</v>
      </c>
      <c r="B3224" t="str">
        <f>"1578726558827564"</f>
        <v>1578726558827564</v>
      </c>
      <c r="C3224" t="s">
        <v>40</v>
      </c>
      <c r="D3224">
        <v>5.2540239999999896</v>
      </c>
      <c r="E3224">
        <v>0.5157429</v>
      </c>
      <c r="F3224" t="s">
        <v>43</v>
      </c>
      <c r="G3224">
        <v>-186.69290000000001</v>
      </c>
      <c r="H3224" s="1">
        <v>-4.7934100000000004E-6</v>
      </c>
      <c r="I3224">
        <v>29.438890000000001</v>
      </c>
      <c r="J3224">
        <v>-186.3338</v>
      </c>
      <c r="K3224">
        <v>1.1098859999999999</v>
      </c>
      <c r="L3224">
        <v>16.71631</v>
      </c>
      <c r="M3224">
        <v>-2.0064480000000001E-3</v>
      </c>
      <c r="N3224">
        <v>0</v>
      </c>
      <c r="O3224">
        <v>0.99996099999999999</v>
      </c>
      <c r="P3224">
        <v>-6.6589969999999998E-2</v>
      </c>
      <c r="Q3224">
        <v>0.14337710000000001</v>
      </c>
      <c r="R3224">
        <v>0.98742529999999995</v>
      </c>
      <c r="S3224">
        <v>-8.4686280000000003E-2</v>
      </c>
      <c r="T3224">
        <v>-0.26115389999999999</v>
      </c>
      <c r="U3224">
        <v>3.0704959999999999</v>
      </c>
      <c r="V3224">
        <v>-6.4694429999999997E-2</v>
      </c>
      <c r="W3224">
        <v>0.15183089999999999</v>
      </c>
      <c r="X3224">
        <v>0.98628700000000002</v>
      </c>
      <c r="Y3224">
        <v>-2.546524E-2</v>
      </c>
      <c r="Z3224">
        <v>-8.4716739999999999E-2</v>
      </c>
      <c r="AA3224">
        <v>0.99607959999999995</v>
      </c>
      <c r="AB3224">
        <v>33</v>
      </c>
      <c r="AC3224">
        <v>-0.35910000000001202</v>
      </c>
      <c r="AD3224">
        <v>-1.10989079341</v>
      </c>
      <c r="AE3224">
        <v>12.722580000000001</v>
      </c>
      <c r="AF3224">
        <v>-0.331053677115828</v>
      </c>
      <c r="AG3224">
        <v>-1.10989079341</v>
      </c>
      <c r="AH3224">
        <v>12.627252404942</v>
      </c>
      <c r="AI3224">
        <v>95.021470109303493</v>
      </c>
      <c r="AJ3224">
        <v>91.501802116768005</v>
      </c>
      <c r="AK3224">
        <v>12.680258570255701</v>
      </c>
      <c r="AL3224">
        <v>81.266955341997104</v>
      </c>
      <c r="AM3224">
        <v>93.752878574605603</v>
      </c>
      <c r="AN3224">
        <v>1.0000000189184099</v>
      </c>
    </row>
    <row r="3225" spans="1:40" x14ac:dyDescent="0.3">
      <c r="A3225" t="str">
        <f>"20200111150918859"</f>
        <v>20200111150918859</v>
      </c>
      <c r="B3225" t="str">
        <f>"1578726558847094"</f>
        <v>1578726558847094</v>
      </c>
      <c r="C3225" t="s">
        <v>40</v>
      </c>
      <c r="D3225">
        <v>5.2098139999999997</v>
      </c>
      <c r="E3225">
        <v>0.51631269999999996</v>
      </c>
      <c r="F3225" t="s">
        <v>43</v>
      </c>
      <c r="G3225">
        <v>-186.68379999999999</v>
      </c>
      <c r="H3225" s="1">
        <v>-1.0077079999999999E-6</v>
      </c>
      <c r="I3225">
        <v>30.01641</v>
      </c>
      <c r="J3225">
        <v>-186.3347</v>
      </c>
      <c r="K3225">
        <v>1.109883</v>
      </c>
      <c r="L3225">
        <v>17.040559999999999</v>
      </c>
      <c r="M3225">
        <v>-2.289587E-3</v>
      </c>
      <c r="N3225">
        <v>0</v>
      </c>
      <c r="O3225">
        <v>0.99996039999999997</v>
      </c>
      <c r="P3225">
        <v>-6.6630800000000004E-2</v>
      </c>
      <c r="Q3225">
        <v>0.14363979999999901</v>
      </c>
      <c r="R3225">
        <v>0.98738440000000005</v>
      </c>
      <c r="S3225">
        <v>-8.0780030000000003E-2</v>
      </c>
      <c r="T3225">
        <v>-0.25618550000000001</v>
      </c>
      <c r="U3225">
        <v>3.0699459999999998</v>
      </c>
      <c r="V3225">
        <v>-6.4455730000000003E-2</v>
      </c>
      <c r="W3225">
        <v>0.15209010000000001</v>
      </c>
      <c r="X3225">
        <v>0.98626270000000005</v>
      </c>
      <c r="Y3225">
        <v>-2.3924069999999999E-2</v>
      </c>
      <c r="Z3225">
        <v>-8.3133949999999998E-2</v>
      </c>
      <c r="AA3225">
        <v>0.9962512</v>
      </c>
      <c r="AB3225">
        <v>33</v>
      </c>
      <c r="AC3225">
        <v>-0.34909999999999197</v>
      </c>
      <c r="AD3225">
        <v>-1.1098840077080001</v>
      </c>
      <c r="AE3225">
        <v>12.9758499999999</v>
      </c>
      <c r="AF3225">
        <v>-0.31707058556728901</v>
      </c>
      <c r="AG3225">
        <v>-1.1098840077080001</v>
      </c>
      <c r="AH3225">
        <v>12.8824334586256</v>
      </c>
      <c r="AI3225">
        <v>94.922665903360098</v>
      </c>
      <c r="AJ3225">
        <v>91.4099152446136</v>
      </c>
      <c r="AK3225">
        <v>12.934042990601</v>
      </c>
      <c r="AL3225">
        <v>81.251929844916205</v>
      </c>
      <c r="AM3225">
        <v>93.739162970776903</v>
      </c>
      <c r="AN3225">
        <v>1.0000000265295601</v>
      </c>
    </row>
    <row r="3226" spans="1:40" x14ac:dyDescent="0.3">
      <c r="A3226" t="str">
        <f>"20200111150918882"</f>
        <v>20200111150918882</v>
      </c>
      <c r="B3226" t="str">
        <f>"1578726558877340"</f>
        <v>1578726558877340</v>
      </c>
      <c r="C3226" t="s">
        <v>40</v>
      </c>
      <c r="D3226">
        <v>5.2814649999999999</v>
      </c>
      <c r="E3226">
        <v>0.51625540000000003</v>
      </c>
      <c r="F3226" t="s">
        <v>43</v>
      </c>
      <c r="G3226">
        <v>-186.66909999999999</v>
      </c>
      <c r="H3226" s="1">
        <v>-1.1865190000000001E-6</v>
      </c>
      <c r="I3226">
        <v>30.53032</v>
      </c>
      <c r="J3226">
        <v>-186.33580000000001</v>
      </c>
      <c r="K3226">
        <v>1.10989</v>
      </c>
      <c r="L3226">
        <v>17.36093</v>
      </c>
      <c r="M3226">
        <v>-2.569408E-3</v>
      </c>
      <c r="N3226">
        <v>0</v>
      </c>
      <c r="O3226">
        <v>0.99995979999999995</v>
      </c>
      <c r="P3226">
        <v>-6.688442E-2</v>
      </c>
      <c r="Q3226">
        <v>0.14354220000000001</v>
      </c>
      <c r="R3226">
        <v>0.98738150000000002</v>
      </c>
      <c r="S3226">
        <v>-7.6080320000000007E-2</v>
      </c>
      <c r="T3226">
        <v>-0.2525829</v>
      </c>
      <c r="U3226">
        <v>3.0699459999999998</v>
      </c>
      <c r="V3226">
        <v>-6.4433690000000002E-2</v>
      </c>
      <c r="W3226">
        <v>0.15199070000000001</v>
      </c>
      <c r="X3226">
        <v>0.98627940000000003</v>
      </c>
      <c r="Y3226">
        <v>-2.212252E-2</v>
      </c>
      <c r="Z3226">
        <v>-8.1976010000000002E-2</v>
      </c>
      <c r="AA3226">
        <v>0.99638870000000002</v>
      </c>
      <c r="AB3226">
        <v>33</v>
      </c>
      <c r="AC3226">
        <v>-0.333299999999979</v>
      </c>
      <c r="AD3226">
        <v>-1.109891186519</v>
      </c>
      <c r="AE3226">
        <v>13.16939</v>
      </c>
      <c r="AF3226">
        <v>-0.29734945380203298</v>
      </c>
      <c r="AG3226">
        <v>-1.109891186519</v>
      </c>
      <c r="AH3226">
        <v>13.0773764307408</v>
      </c>
      <c r="AI3226">
        <v>94.849882239216996</v>
      </c>
      <c r="AJ3226">
        <v>91.302549766518993</v>
      </c>
      <c r="AK3226">
        <v>13.127758736923999</v>
      </c>
      <c r="AL3226">
        <v>81.257691484616899</v>
      </c>
      <c r="AM3226">
        <v>93.737824914552405</v>
      </c>
      <c r="AN3226">
        <v>0.99999996407893199</v>
      </c>
    </row>
    <row r="3227" spans="1:40" x14ac:dyDescent="0.3">
      <c r="A3227" t="str">
        <f>"20200111150918902"</f>
        <v>20200111150918902</v>
      </c>
      <c r="B3227" t="str">
        <f>"1578726558897836"</f>
        <v>1578726558897836</v>
      </c>
      <c r="C3227" t="s">
        <v>40</v>
      </c>
      <c r="D3227">
        <v>5.272392</v>
      </c>
      <c r="E3227">
        <v>0.51621499999999998</v>
      </c>
      <c r="F3227" t="s">
        <v>41</v>
      </c>
      <c r="G3227">
        <v>-186.36089999999999</v>
      </c>
      <c r="H3227">
        <v>1.0273099999999999</v>
      </c>
      <c r="I3227">
        <v>18.36101</v>
      </c>
      <c r="J3227">
        <v>-186.33680000000001</v>
      </c>
      <c r="K3227">
        <v>1.1098870000000001</v>
      </c>
      <c r="L3227">
        <v>17.673459999999999</v>
      </c>
      <c r="M3227">
        <v>-2.8422370000000001E-3</v>
      </c>
      <c r="N3227">
        <v>0</v>
      </c>
      <c r="O3227">
        <v>0.99995900000000004</v>
      </c>
      <c r="P3227">
        <v>-6.7553820000000001E-2</v>
      </c>
      <c r="Q3227">
        <v>0.14347839999999901</v>
      </c>
      <c r="R3227">
        <v>0.98734520000000003</v>
      </c>
      <c r="S3227">
        <v>-7.7102660000000003E-2</v>
      </c>
      <c r="T3227">
        <v>-0.25349969999999999</v>
      </c>
      <c r="U3227">
        <v>3.0699770000000002</v>
      </c>
      <c r="V3227">
        <v>-6.4834100000000006E-2</v>
      </c>
      <c r="W3227">
        <v>0.15192559999999999</v>
      </c>
      <c r="X3227">
        <v>0.98626320000000001</v>
      </c>
      <c r="Y3227">
        <v>-2.2180490000000001E-2</v>
      </c>
      <c r="Z3227">
        <v>-8.2270239999999994E-2</v>
      </c>
      <c r="AA3227">
        <v>0.9963632</v>
      </c>
      <c r="AB3227">
        <v>33</v>
      </c>
      <c r="AC3227">
        <v>-2.4099999999975801E-2</v>
      </c>
      <c r="AD3227">
        <v>-8.2577000000000095E-2</v>
      </c>
      <c r="AE3227">
        <v>0.687549999999998</v>
      </c>
      <c r="AF3227">
        <v>-2.1831127284721901E-2</v>
      </c>
      <c r="AG3227">
        <v>-8.2577000000000095E-2</v>
      </c>
      <c r="AH3227">
        <v>0.67784987679467201</v>
      </c>
      <c r="AI3227">
        <v>96.942095535899796</v>
      </c>
      <c r="AJ3227">
        <v>91.8446551225897</v>
      </c>
      <c r="AK3227">
        <v>0.68321008080829204</v>
      </c>
      <c r="AL3227">
        <v>81.261465353141304</v>
      </c>
      <c r="AM3227">
        <v>93.761048002019095</v>
      </c>
      <c r="AN3227">
        <v>0.999999974066204</v>
      </c>
    </row>
    <row r="3228" spans="1:40" x14ac:dyDescent="0.3">
      <c r="A3228" t="str">
        <f>"20200111150918924"</f>
        <v>20200111150918924</v>
      </c>
      <c r="B3228" t="str">
        <f>"1578726558917356"</f>
        <v>1578726558917356</v>
      </c>
      <c r="C3228" t="s">
        <v>40</v>
      </c>
      <c r="D3228">
        <v>5.2494139999999998</v>
      </c>
      <c r="E3228">
        <v>0.51604090000000002</v>
      </c>
      <c r="F3228" t="s">
        <v>41</v>
      </c>
      <c r="G3228">
        <v>-186.3622</v>
      </c>
      <c r="H3228">
        <v>1.028351</v>
      </c>
      <c r="I3228">
        <v>18.65577</v>
      </c>
      <c r="J3228">
        <v>-186.3381</v>
      </c>
      <c r="K3228">
        <v>1.109888</v>
      </c>
      <c r="L3228">
        <v>18.005129999999902</v>
      </c>
      <c r="M3228">
        <v>-3.1315940000000001E-3</v>
      </c>
      <c r="N3228">
        <v>0</v>
      </c>
      <c r="O3228">
        <v>0.99995820000000002</v>
      </c>
      <c r="P3228">
        <v>-6.8079230000000004E-2</v>
      </c>
      <c r="Q3228">
        <v>0.14342179999999999</v>
      </c>
      <c r="R3228">
        <v>0.98731729999999995</v>
      </c>
      <c r="S3228">
        <v>-7.9589839999999995E-2</v>
      </c>
      <c r="T3228">
        <v>-0.25483830000000002</v>
      </c>
      <c r="U3228">
        <v>3.0700379999999998</v>
      </c>
      <c r="V3228">
        <v>-6.507404E-2</v>
      </c>
      <c r="W3228">
        <v>0.15186810000000001</v>
      </c>
      <c r="X3228">
        <v>0.98625629999999997</v>
      </c>
      <c r="Y3228">
        <v>-2.269645E-2</v>
      </c>
      <c r="Z3228">
        <v>-8.2698659999999993E-2</v>
      </c>
      <c r="AA3228">
        <v>0.99631610000000004</v>
      </c>
      <c r="AB3228">
        <v>33</v>
      </c>
      <c r="AC3228">
        <v>-2.4100000000004201E-2</v>
      </c>
      <c r="AD3228">
        <v>-8.1536999999999901E-2</v>
      </c>
      <c r="AE3228">
        <v>0.65064000000000199</v>
      </c>
      <c r="AF3228">
        <v>-2.1721603774311898E-2</v>
      </c>
      <c r="AG3228">
        <v>-8.1536999999999901E-2</v>
      </c>
      <c r="AH3228">
        <v>0.64066466208704298</v>
      </c>
      <c r="AI3228">
        <v>97.248885499353904</v>
      </c>
      <c r="AJ3228">
        <v>91.941857785790006</v>
      </c>
      <c r="AK3228">
        <v>0.64619758563974306</v>
      </c>
      <c r="AL3228">
        <v>81.264798941017006</v>
      </c>
      <c r="AM3228">
        <v>93.774953164815997</v>
      </c>
      <c r="AN3228">
        <v>1.00000001988461</v>
      </c>
    </row>
    <row r="3229" spans="1:40" x14ac:dyDescent="0.3">
      <c r="A3229" t="str">
        <f>"20200111150918949"</f>
        <v>20200111150918949</v>
      </c>
      <c r="B3229" t="str">
        <f>"1578726558937851"</f>
        <v>1578726558937851</v>
      </c>
      <c r="C3229" t="s">
        <v>40</v>
      </c>
      <c r="D3229">
        <v>5.745749</v>
      </c>
      <c r="E3229">
        <v>0.47137400000000002</v>
      </c>
      <c r="F3229" t="s">
        <v>41</v>
      </c>
      <c r="G3229">
        <v>-186.36340000000001</v>
      </c>
      <c r="H3229">
        <v>1.030924</v>
      </c>
      <c r="I3229">
        <v>18.952300000000001</v>
      </c>
      <c r="J3229">
        <v>-186.33949999999999</v>
      </c>
      <c r="K3229">
        <v>1.1098870000000001</v>
      </c>
      <c r="L3229">
        <v>18.365970000000001</v>
      </c>
      <c r="M3229">
        <v>-3.446424E-3</v>
      </c>
      <c r="N3229">
        <v>0</v>
      </c>
      <c r="O3229">
        <v>0.99995710000000004</v>
      </c>
      <c r="P3229">
        <v>-6.8687540000000005E-2</v>
      </c>
      <c r="Q3229">
        <v>0.14393139999999999</v>
      </c>
      <c r="R3229">
        <v>0.987201</v>
      </c>
      <c r="S3229">
        <v>-8.2382200000000003E-2</v>
      </c>
      <c r="T3229">
        <v>-0.25594899999999998</v>
      </c>
      <c r="U3229">
        <v>3.0700379999999998</v>
      </c>
      <c r="V3229">
        <v>-6.5372669999999994E-2</v>
      </c>
      <c r="W3229">
        <v>0.15237800000000001</v>
      </c>
      <c r="X3229">
        <v>0.98615790000000003</v>
      </c>
      <c r="Y3229">
        <v>-2.3286459999999998E-2</v>
      </c>
      <c r="Z3229">
        <v>-8.3054909999999996E-2</v>
      </c>
      <c r="AA3229">
        <v>0.99627290000000002</v>
      </c>
      <c r="AB3229">
        <v>33</v>
      </c>
      <c r="AC3229">
        <v>-2.3900000000026001E-2</v>
      </c>
      <c r="AD3229">
        <v>-7.8963000000000103E-2</v>
      </c>
      <c r="AE3229">
        <v>0.58633000000000002</v>
      </c>
      <c r="AF3229">
        <v>-2.14899274477676E-2</v>
      </c>
      <c r="AG3229">
        <v>-7.8963000000000103E-2</v>
      </c>
      <c r="AH3229">
        <v>0.57597973207967201</v>
      </c>
      <c r="AI3229">
        <v>97.800848325739395</v>
      </c>
      <c r="AJ3229">
        <v>92.136726722611698</v>
      </c>
      <c r="AK3229">
        <v>0.58176423413379497</v>
      </c>
      <c r="AL3229">
        <v>81.235239822413803</v>
      </c>
      <c r="AM3229">
        <v>93.792603583217996</v>
      </c>
      <c r="AN3229">
        <v>1.0000000222996599</v>
      </c>
    </row>
    <row r="3230" spans="1:40" x14ac:dyDescent="0.3">
      <c r="A3230" t="str">
        <f>"20200111150918970"</f>
        <v>20200111150918970</v>
      </c>
      <c r="B3230" t="str">
        <f>"1578726558967132"</f>
        <v>1578726558967132</v>
      </c>
      <c r="C3230" t="s">
        <v>40</v>
      </c>
      <c r="D3230">
        <v>5.2438580000000004</v>
      </c>
      <c r="E3230">
        <v>0.51447279999999995</v>
      </c>
      <c r="F3230" t="s">
        <v>110</v>
      </c>
      <c r="G3230">
        <v>-241.76570000000001</v>
      </c>
      <c r="H3230">
        <v>101.65730000000001</v>
      </c>
      <c r="I3230">
        <v>390.88350000000003</v>
      </c>
      <c r="J3230">
        <v>-186.3408</v>
      </c>
      <c r="K3230">
        <v>1.1098859999999999</v>
      </c>
      <c r="L3230">
        <v>18.673580000000001</v>
      </c>
      <c r="M3230">
        <v>-3.7146470000000002E-3</v>
      </c>
      <c r="N3230">
        <v>0</v>
      </c>
      <c r="O3230">
        <v>0.99995610000000001</v>
      </c>
      <c r="P3230">
        <v>-6.9171700000000003E-2</v>
      </c>
      <c r="Q3230">
        <v>0.143742799999999</v>
      </c>
      <c r="R3230">
        <v>0.98719469999999998</v>
      </c>
      <c r="S3230">
        <v>-0.43074040000000002</v>
      </c>
      <c r="T3230">
        <v>0.78139569999999903</v>
      </c>
      <c r="U3230">
        <v>2.8949889999999998</v>
      </c>
      <c r="V3230">
        <v>-6.5592289999999998E-2</v>
      </c>
      <c r="W3230">
        <v>0.15219089999999999</v>
      </c>
      <c r="X3230">
        <v>0.98617220000000005</v>
      </c>
      <c r="Y3230">
        <v>-0.13851079999999999</v>
      </c>
      <c r="Z3230">
        <v>0.25800620000000002</v>
      </c>
      <c r="AA3230">
        <v>0.95616290000000004</v>
      </c>
      <c r="AB3230">
        <v>33</v>
      </c>
      <c r="AC3230">
        <v>-55.424900000000001</v>
      </c>
      <c r="AD3230">
        <v>100.547414</v>
      </c>
      <c r="AE3230">
        <v>372.20992000000001</v>
      </c>
      <c r="AF3230">
        <v>-50.4408342107008</v>
      </c>
      <c r="AG3230">
        <v>100.547414</v>
      </c>
      <c r="AH3230">
        <v>347.59799772809703</v>
      </c>
      <c r="AI3230">
        <v>74.025427275837501</v>
      </c>
      <c r="AJ3230">
        <v>98.256703362282593</v>
      </c>
      <c r="AK3230">
        <v>365.34699703506601</v>
      </c>
      <c r="AL3230">
        <v>81.246086289597002</v>
      </c>
      <c r="AM3230">
        <v>93.805252475853607</v>
      </c>
      <c r="AN3230">
        <v>1.0000000133015401</v>
      </c>
    </row>
    <row r="3231" spans="1:40" x14ac:dyDescent="0.3">
      <c r="A3231" t="str">
        <f>"20200111150918992"</f>
        <v>20200111150918992</v>
      </c>
      <c r="B3231" t="str">
        <f>"1578726558987627"</f>
        <v>1578726558987627</v>
      </c>
      <c r="C3231" t="s">
        <v>40</v>
      </c>
      <c r="D3231">
        <v>5.2292589999999999</v>
      </c>
      <c r="E3231">
        <v>0.51577989999999996</v>
      </c>
      <c r="F3231" t="s">
        <v>41</v>
      </c>
      <c r="G3231">
        <v>-186.3689</v>
      </c>
      <c r="H3231">
        <v>1.0323800000000001</v>
      </c>
      <c r="I3231">
        <v>19.547930000000001</v>
      </c>
      <c r="J3231">
        <v>-186.34229999999999</v>
      </c>
      <c r="K3231">
        <v>1.109883</v>
      </c>
      <c r="L3231">
        <v>18.996860000000002</v>
      </c>
      <c r="M3231">
        <v>-3.9967300000000004E-3</v>
      </c>
      <c r="N3231">
        <v>0</v>
      </c>
      <c r="O3231">
        <v>0.99995500000000004</v>
      </c>
      <c r="P3231">
        <v>-7.0168510000000003E-2</v>
      </c>
      <c r="Q3231">
        <v>0.14360020000000001</v>
      </c>
      <c r="R3231">
        <v>0.9871451</v>
      </c>
      <c r="S3231">
        <v>-9.8724370000000006E-2</v>
      </c>
      <c r="T3231">
        <v>-0.27228609999999998</v>
      </c>
      <c r="U3231">
        <v>3.0716549999999998</v>
      </c>
      <c r="V3231">
        <v>-6.6310380000000002E-2</v>
      </c>
      <c r="W3231">
        <v>0.15205050000000001</v>
      </c>
      <c r="X3231">
        <v>0.98614590000000002</v>
      </c>
      <c r="Y3231">
        <v>-2.8003429999999999E-2</v>
      </c>
      <c r="Z3231">
        <v>-8.8257530000000001E-2</v>
      </c>
      <c r="AA3231">
        <v>0.99570400000000003</v>
      </c>
      <c r="AB3231">
        <v>33</v>
      </c>
      <c r="AC3231">
        <v>-2.66000000000019E-2</v>
      </c>
      <c r="AD3231">
        <v>-7.75030000000001E-2</v>
      </c>
      <c r="AE3231">
        <v>0.55106999999999495</v>
      </c>
      <c r="AF3231">
        <v>-2.39250927802785E-2</v>
      </c>
      <c r="AG3231">
        <v>-7.75030000000001E-2</v>
      </c>
      <c r="AH3231">
        <v>0.54050563475447</v>
      </c>
      <c r="AI3231">
        <v>98.152134293395505</v>
      </c>
      <c r="AJ3231">
        <v>92.534501987873298</v>
      </c>
      <c r="AK3231">
        <v>0.54655783433674898</v>
      </c>
      <c r="AL3231">
        <v>81.254225915090601</v>
      </c>
      <c r="AM3231">
        <v>93.846889425799702</v>
      </c>
      <c r="AN3231">
        <v>1.0000000785663901</v>
      </c>
    </row>
    <row r="3232" spans="1:40" x14ac:dyDescent="0.3">
      <c r="A3232" t="str">
        <f>"20200111150919025"</f>
        <v>20200111150919025</v>
      </c>
      <c r="B3232" t="str">
        <f>"1578726559017885"</f>
        <v>1578726559017885</v>
      </c>
      <c r="C3232" t="s">
        <v>40</v>
      </c>
      <c r="D3232">
        <v>5.1715159999999996</v>
      </c>
      <c r="E3232">
        <v>0.51713599999999904</v>
      </c>
      <c r="F3232" t="s">
        <v>43</v>
      </c>
      <c r="G3232">
        <v>-186.7689</v>
      </c>
      <c r="H3232" s="1">
        <v>-2.2467340000000001E-6</v>
      </c>
      <c r="I3232">
        <v>33.533949999999997</v>
      </c>
      <c r="J3232">
        <v>-186.34469999999999</v>
      </c>
      <c r="K3232">
        <v>1.109885</v>
      </c>
      <c r="L3232">
        <v>19.487950000000001</v>
      </c>
      <c r="M3232">
        <v>-4.4250779999999998E-3</v>
      </c>
      <c r="N3232">
        <v>0</v>
      </c>
      <c r="O3232">
        <v>0.99995319999999999</v>
      </c>
      <c r="P3232">
        <v>-6.9641040000000001E-2</v>
      </c>
      <c r="Q3232">
        <v>0.14288909999999999</v>
      </c>
      <c r="R3232">
        <v>0.98728559999999999</v>
      </c>
      <c r="S3232">
        <v>-8.9996339999999994E-2</v>
      </c>
      <c r="T3232">
        <v>-0.23414119999999999</v>
      </c>
      <c r="U3232">
        <v>3.0667420000000001</v>
      </c>
      <c r="V3232">
        <v>-6.5359630000000002E-2</v>
      </c>
      <c r="W3232">
        <v>0.15134589999999901</v>
      </c>
      <c r="X3232">
        <v>0.98631769999999996</v>
      </c>
      <c r="Y3232">
        <v>-2.4824599999999999E-2</v>
      </c>
      <c r="Z3232">
        <v>-7.609784E-2</v>
      </c>
      <c r="AA3232">
        <v>0.99679130000000005</v>
      </c>
      <c r="AB3232">
        <v>33</v>
      </c>
      <c r="AC3232">
        <v>-0.42420000000001301</v>
      </c>
      <c r="AD3232">
        <v>-1.109887246734</v>
      </c>
      <c r="AE3232">
        <v>14.0459999999999</v>
      </c>
      <c r="AF3232">
        <v>-0.35979444546091799</v>
      </c>
      <c r="AG3232">
        <v>-1.109887246734</v>
      </c>
      <c r="AH3232">
        <v>13.960650893000601</v>
      </c>
      <c r="AI3232">
        <v>94.544015147951399</v>
      </c>
      <c r="AJ3232">
        <v>91.476302295033904</v>
      </c>
      <c r="AK3232">
        <v>14.0093210078035</v>
      </c>
      <c r="AL3232">
        <v>81.295068813236995</v>
      </c>
      <c r="AM3232">
        <v>93.791236721888296</v>
      </c>
      <c r="AN3232">
        <v>1.00000003400691</v>
      </c>
    </row>
    <row r="3233" spans="1:40" x14ac:dyDescent="0.3">
      <c r="A3233" t="str">
        <f>"20200111150919048"</f>
        <v>20200111150919048</v>
      </c>
      <c r="B3233" t="str">
        <f>"1578726559037404"</f>
        <v>1578726559037404</v>
      </c>
      <c r="C3233" t="s">
        <v>40</v>
      </c>
      <c r="D3233">
        <v>5.1727160000000003</v>
      </c>
      <c r="E3233">
        <v>0.51741530000000002</v>
      </c>
      <c r="F3233" t="s">
        <v>41</v>
      </c>
      <c r="G3233">
        <v>-186.3691</v>
      </c>
      <c r="H3233">
        <v>1.034502</v>
      </c>
      <c r="I3233">
        <v>20.434729999999998</v>
      </c>
      <c r="J3233">
        <v>-186.34649999999999</v>
      </c>
      <c r="K3233">
        <v>1.1098889999999999</v>
      </c>
      <c r="L3233">
        <v>19.83212</v>
      </c>
      <c r="M3233">
        <v>-4.7252479999999996E-3</v>
      </c>
      <c r="N3233">
        <v>0</v>
      </c>
      <c r="O3233">
        <v>0.99995179999999995</v>
      </c>
      <c r="P3233">
        <v>-6.8775649999999994E-2</v>
      </c>
      <c r="Q3233">
        <v>0.14318249999999999</v>
      </c>
      <c r="R3233">
        <v>0.98730370000000001</v>
      </c>
      <c r="S3233">
        <v>-7.9406740000000003E-2</v>
      </c>
      <c r="T3233">
        <v>-0.2443089</v>
      </c>
      <c r="U3233">
        <v>3.06839</v>
      </c>
      <c r="V3233">
        <v>-6.4198229999999995E-2</v>
      </c>
      <c r="W3233">
        <v>0.15164420000000001</v>
      </c>
      <c r="X3233">
        <v>0.98634820000000001</v>
      </c>
      <c r="Y3233">
        <v>-2.1064599999999999E-2</v>
      </c>
      <c r="Z3233">
        <v>-7.9346710000000001E-2</v>
      </c>
      <c r="AA3233">
        <v>0.99662450000000002</v>
      </c>
      <c r="AB3233">
        <v>33</v>
      </c>
      <c r="AC3233">
        <v>-2.2600000000011201E-2</v>
      </c>
      <c r="AD3233">
        <v>-7.5386999999999801E-2</v>
      </c>
      <c r="AE3233">
        <v>0.60260999999999798</v>
      </c>
      <c r="AF3233">
        <v>-1.9448219238324502E-2</v>
      </c>
      <c r="AG3233">
        <v>-7.5386999999999801E-2</v>
      </c>
      <c r="AH3233">
        <v>0.59343571563475705</v>
      </c>
      <c r="AI3233">
        <v>97.235936956835204</v>
      </c>
      <c r="AJ3233">
        <v>91.8770393857817</v>
      </c>
      <c r="AK3233">
        <v>0.59852099511335299</v>
      </c>
      <c r="AL3233">
        <v>81.277778261971704</v>
      </c>
      <c r="AM3233">
        <v>93.723945252743405</v>
      </c>
      <c r="AN3233">
        <v>1.000000073886</v>
      </c>
    </row>
    <row r="3234" spans="1:40" x14ac:dyDescent="0.3">
      <c r="A3234" t="str">
        <f>"20200111150919070"</f>
        <v>20200111150919070</v>
      </c>
      <c r="B3234" t="str">
        <f>"1578726559067659"</f>
        <v>1578726559067659</v>
      </c>
      <c r="C3234" t="s">
        <v>40</v>
      </c>
      <c r="D3234">
        <v>5.0828499999999996</v>
      </c>
      <c r="E3234">
        <v>0.51736179999999998</v>
      </c>
      <c r="F3234" t="s">
        <v>41</v>
      </c>
      <c r="G3234">
        <v>-186.36869999999999</v>
      </c>
      <c r="H3234">
        <v>1.0363150000000001</v>
      </c>
      <c r="I3234">
        <v>20.737590000000001</v>
      </c>
      <c r="J3234">
        <v>-186.34829999999999</v>
      </c>
      <c r="K3234">
        <v>1.1098939999999999</v>
      </c>
      <c r="L3234">
        <v>20.156490000000002</v>
      </c>
      <c r="M3234">
        <v>-5.0078320000000003E-3</v>
      </c>
      <c r="N3234">
        <v>0</v>
      </c>
      <c r="O3234">
        <v>0.99995029999999996</v>
      </c>
      <c r="P3234">
        <v>-6.8403920000000007E-2</v>
      </c>
      <c r="Q3234">
        <v>0.14382690000000001</v>
      </c>
      <c r="R3234">
        <v>0.98723590000000006</v>
      </c>
      <c r="S3234">
        <v>-7.5347899999999995E-2</v>
      </c>
      <c r="T3234">
        <v>-0.249419</v>
      </c>
      <c r="U3234">
        <v>3.0694889999999999</v>
      </c>
      <c r="V3234">
        <v>-6.3548880000000002E-2</v>
      </c>
      <c r="W3234">
        <v>0.1522927</v>
      </c>
      <c r="X3234">
        <v>0.98629029999999995</v>
      </c>
      <c r="Y3234">
        <v>-1.9452589999999999E-2</v>
      </c>
      <c r="Z3234">
        <v>-8.0969299999999994E-2</v>
      </c>
      <c r="AA3234">
        <v>0.99652680000000005</v>
      </c>
      <c r="AB3234">
        <v>33</v>
      </c>
      <c r="AC3234">
        <v>-2.0399999999994999E-2</v>
      </c>
      <c r="AD3234">
        <v>-7.35790000000002E-2</v>
      </c>
      <c r="AE3234">
        <v>0.58110000000000195</v>
      </c>
      <c r="AF3234">
        <v>-1.72139390689252E-2</v>
      </c>
      <c r="AG3234">
        <v>-7.35790000000002E-2</v>
      </c>
      <c r="AH3234">
        <v>0.57203491502154202</v>
      </c>
      <c r="AI3234">
        <v>97.326245207610498</v>
      </c>
      <c r="AJ3234">
        <v>91.723650918315798</v>
      </c>
      <c r="AK3234">
        <v>0.57700444794037098</v>
      </c>
      <c r="AL3234">
        <v>81.240185033877196</v>
      </c>
      <c r="AM3234">
        <v>93.686598625885196</v>
      </c>
      <c r="AN3234">
        <v>1.0000000412483101</v>
      </c>
    </row>
    <row r="3235" spans="1:40" x14ac:dyDescent="0.3">
      <c r="A3235" t="str">
        <f>"20200111150919093"</f>
        <v>20200111150919093</v>
      </c>
      <c r="B3235" t="str">
        <f>"1578726559087181"</f>
        <v>1578726559087181</v>
      </c>
      <c r="C3235" t="s">
        <v>40</v>
      </c>
      <c r="D3235">
        <v>5.1535409999999997</v>
      </c>
      <c r="E3235">
        <v>0.51733600000000002</v>
      </c>
      <c r="F3235" t="s">
        <v>43</v>
      </c>
      <c r="G3235">
        <v>-186.67830000000001</v>
      </c>
      <c r="H3235" s="1">
        <v>-2.4528769999999998E-6</v>
      </c>
      <c r="I3235">
        <v>33.977029999999999</v>
      </c>
      <c r="J3235">
        <v>-186.3503</v>
      </c>
      <c r="K3235">
        <v>1.1098870000000001</v>
      </c>
      <c r="L3235">
        <v>20.490690000000001</v>
      </c>
      <c r="M3235">
        <v>-5.298624E-3</v>
      </c>
      <c r="N3235">
        <v>0</v>
      </c>
      <c r="O3235">
        <v>0.99994879999999997</v>
      </c>
      <c r="P3235">
        <v>-6.7762749999999997E-2</v>
      </c>
      <c r="Q3235">
        <v>0.14321919999999999</v>
      </c>
      <c r="R3235">
        <v>0.98736849999999998</v>
      </c>
      <c r="S3235">
        <v>-7.3303220000000002E-2</v>
      </c>
      <c r="T3235">
        <v>-0.2465135</v>
      </c>
      <c r="U3235">
        <v>3.0696110000000001</v>
      </c>
      <c r="V3235">
        <v>-6.2619279999999999E-2</v>
      </c>
      <c r="W3235">
        <v>0.15169179999999999</v>
      </c>
      <c r="X3235">
        <v>0.98644229999999999</v>
      </c>
      <c r="Y3235">
        <v>-1.8499270000000002E-2</v>
      </c>
      <c r="Z3235">
        <v>-8.0030190000000001E-2</v>
      </c>
      <c r="AA3235">
        <v>0.99662079999999997</v>
      </c>
      <c r="AB3235">
        <v>33</v>
      </c>
      <c r="AC3235">
        <v>-0.32800000000000201</v>
      </c>
      <c r="AD3235">
        <v>-1.109889452877</v>
      </c>
      <c r="AE3235">
        <v>13.486339999999901</v>
      </c>
      <c r="AF3235">
        <v>-0.254808933212257</v>
      </c>
      <c r="AG3235">
        <v>-1.109889452877</v>
      </c>
      <c r="AH3235">
        <v>13.397205105260101</v>
      </c>
      <c r="AI3235">
        <v>94.734993125561999</v>
      </c>
      <c r="AJ3235">
        <v>91.0896090863789</v>
      </c>
      <c r="AK3235">
        <v>13.445515491139</v>
      </c>
      <c r="AL3235">
        <v>81.275018359259306</v>
      </c>
      <c r="AM3235">
        <v>93.632257860675296</v>
      </c>
      <c r="AN3235">
        <v>0.99999999382212401</v>
      </c>
    </row>
    <row r="3236" spans="1:40" x14ac:dyDescent="0.3">
      <c r="A3236" t="str">
        <f>"20200111150919116"</f>
        <v>20200111150919116</v>
      </c>
      <c r="B3236" t="str">
        <f>"1578726559107675"</f>
        <v>1578726559107675</v>
      </c>
      <c r="C3236" t="s">
        <v>40</v>
      </c>
      <c r="D3236">
        <v>7.827299</v>
      </c>
      <c r="E3236">
        <v>0.51775230000000005</v>
      </c>
      <c r="F3236" t="s">
        <v>43</v>
      </c>
      <c r="G3236">
        <v>-186.66630000000001</v>
      </c>
      <c r="H3236" s="1">
        <v>-2.5009559999999999E-6</v>
      </c>
      <c r="I3236">
        <v>34.084109999999903</v>
      </c>
      <c r="J3236">
        <v>-186.35239999999999</v>
      </c>
      <c r="K3236">
        <v>1.1098840000000001</v>
      </c>
      <c r="L3236">
        <v>20.845949999999998</v>
      </c>
      <c r="M3236">
        <v>-5.6077760000000001E-3</v>
      </c>
      <c r="N3236">
        <v>0</v>
      </c>
      <c r="O3236">
        <v>0.99994709999999998</v>
      </c>
      <c r="P3236">
        <v>-6.7696880000000001E-2</v>
      </c>
      <c r="Q3236">
        <v>0.14229810000000001</v>
      </c>
      <c r="R3236">
        <v>0.9875062</v>
      </c>
      <c r="S3236">
        <v>-7.1365360000000003E-2</v>
      </c>
      <c r="T3236">
        <v>-0.25064829999999999</v>
      </c>
      <c r="U3236">
        <v>3.0698240000000001</v>
      </c>
      <c r="V3236">
        <v>-6.2247070000000002E-2</v>
      </c>
      <c r="W3236">
        <v>0.15077839999999901</v>
      </c>
      <c r="X3236">
        <v>0.98660590000000004</v>
      </c>
      <c r="Y3236">
        <v>-1.755721E-2</v>
      </c>
      <c r="Z3236">
        <v>-8.1359150000000005E-2</v>
      </c>
      <c r="AA3236">
        <v>0.99653020000000003</v>
      </c>
      <c r="AB3236">
        <v>33</v>
      </c>
      <c r="AC3236">
        <v>-0.313900000000018</v>
      </c>
      <c r="AD3236">
        <v>-1.1098865009559999</v>
      </c>
      <c r="AE3236">
        <v>13.238159999999899</v>
      </c>
      <c r="AF3236">
        <v>-0.237983787955381</v>
      </c>
      <c r="AG3236">
        <v>-1.1098865009559999</v>
      </c>
      <c r="AH3236">
        <v>13.147349612716299</v>
      </c>
      <c r="AI3236">
        <v>94.824626332952207</v>
      </c>
      <c r="AJ3236">
        <v>91.037013397265895</v>
      </c>
      <c r="AK3236">
        <v>13.196260309925901</v>
      </c>
      <c r="AL3236">
        <v>81.3279614511451</v>
      </c>
      <c r="AM3236">
        <v>93.610127798268906</v>
      </c>
      <c r="AN3236">
        <v>1.00000001277247</v>
      </c>
    </row>
    <row r="3237" spans="1:40" x14ac:dyDescent="0.3">
      <c r="A3237" t="str">
        <f>"20200111150919137"</f>
        <v>20200111150919137</v>
      </c>
      <c r="B3237" t="str">
        <f>"1578726559127196"</f>
        <v>1578726559127196</v>
      </c>
      <c r="C3237" t="s">
        <v>40</v>
      </c>
      <c r="D3237">
        <v>5.0501829999999996</v>
      </c>
      <c r="E3237">
        <v>0.45660040000000002</v>
      </c>
      <c r="F3237" t="s">
        <v>43</v>
      </c>
      <c r="G3237">
        <v>-186.66040000000001</v>
      </c>
      <c r="H3237" s="1">
        <v>-2.7476609999999999E-6</v>
      </c>
      <c r="I3237">
        <v>34.656770000000002</v>
      </c>
      <c r="J3237">
        <v>-186.3545</v>
      </c>
      <c r="K3237">
        <v>1.1098749999999999</v>
      </c>
      <c r="L3237">
        <v>21.17041</v>
      </c>
      <c r="M3237">
        <v>-5.8900089999999999E-3</v>
      </c>
      <c r="N3237">
        <v>0</v>
      </c>
      <c r="O3237">
        <v>0.99994539999999998</v>
      </c>
      <c r="P3237">
        <v>-6.8872610000000001E-2</v>
      </c>
      <c r="Q3237">
        <v>0.14227089999999901</v>
      </c>
      <c r="R3237">
        <v>0.9874288</v>
      </c>
      <c r="S3237">
        <v>-6.8435670000000004E-2</v>
      </c>
      <c r="T3237">
        <v>-0.24662100000000001</v>
      </c>
      <c r="U3237">
        <v>3.0688170000000001</v>
      </c>
      <c r="V3237">
        <v>-6.314488E-2</v>
      </c>
      <c r="W3237">
        <v>0.15075569999999999</v>
      </c>
      <c r="X3237">
        <v>0.98655230000000005</v>
      </c>
      <c r="Y3237">
        <v>-1.6334029999999999E-2</v>
      </c>
      <c r="Z3237">
        <v>-8.0087980000000003E-2</v>
      </c>
      <c r="AA3237">
        <v>0.99665400000000004</v>
      </c>
      <c r="AB3237">
        <v>33</v>
      </c>
      <c r="AC3237">
        <v>-0.305900000000008</v>
      </c>
      <c r="AD3237">
        <v>-1.109877747661</v>
      </c>
      <c r="AE3237">
        <v>13.486359999999999</v>
      </c>
      <c r="AF3237">
        <v>-0.22493432662801199</v>
      </c>
      <c r="AG3237">
        <v>-1.109877747661</v>
      </c>
      <c r="AH3237">
        <v>13.397239259662999</v>
      </c>
      <c r="AI3237">
        <v>94.7351195323224</v>
      </c>
      <c r="AJ3237">
        <v>90.961883008554906</v>
      </c>
      <c r="AK3237">
        <v>13.445015576290899</v>
      </c>
      <c r="AL3237">
        <v>81.3292769819966</v>
      </c>
      <c r="AM3237">
        <v>93.662255591818806</v>
      </c>
      <c r="AN3237">
        <v>0.99999999879399704</v>
      </c>
    </row>
    <row r="3238" spans="1:40" x14ac:dyDescent="0.3">
      <c r="A3238" t="str">
        <f>"20200111150919227"</f>
        <v>20200111150919227</v>
      </c>
      <c r="B3238" t="str">
        <f>"1578726559217964"</f>
        <v>1578726559217964</v>
      </c>
      <c r="C3238" t="s">
        <v>40</v>
      </c>
      <c r="D3238">
        <v>4.9615640000000001</v>
      </c>
      <c r="E3238">
        <v>0.46782430000000003</v>
      </c>
      <c r="F3238" t="s">
        <v>110</v>
      </c>
      <c r="G3238">
        <v>-257.23430000000002</v>
      </c>
      <c r="H3238">
        <v>128.02029999999999</v>
      </c>
      <c r="I3238">
        <v>391.75</v>
      </c>
      <c r="J3238">
        <v>-186.36420000000001</v>
      </c>
      <c r="K3238">
        <v>1.109885</v>
      </c>
      <c r="L3238">
        <v>22.517849999999999</v>
      </c>
      <c r="M3238">
        <v>-7.061154E-3</v>
      </c>
      <c r="N3238">
        <v>0</v>
      </c>
      <c r="O3238">
        <v>0.99993759999999998</v>
      </c>
      <c r="P3238">
        <v>-7.2585200000000002E-2</v>
      </c>
      <c r="Q3238">
        <v>0.1431027</v>
      </c>
      <c r="R3238">
        <v>0.98704250000000004</v>
      </c>
      <c r="S3238">
        <v>-0.54682919999999902</v>
      </c>
      <c r="T3238">
        <v>0.97909889999999999</v>
      </c>
      <c r="U3238">
        <v>2.858978</v>
      </c>
      <c r="V3238">
        <v>-6.5704979999999996E-2</v>
      </c>
      <c r="W3238">
        <v>0.15160889999999999</v>
      </c>
      <c r="X3238">
        <v>0.98625430000000003</v>
      </c>
      <c r="Y3238">
        <v>-0.17110909999999999</v>
      </c>
      <c r="Z3238">
        <v>0.31900640000000002</v>
      </c>
      <c r="AA3238">
        <v>0.93217839999999996</v>
      </c>
      <c r="AB3238">
        <v>34</v>
      </c>
      <c r="AC3238">
        <v>-70.870099999999994</v>
      </c>
      <c r="AD3238">
        <v>126.910415</v>
      </c>
      <c r="AE3238">
        <v>369.23214999999999</v>
      </c>
      <c r="AF3238">
        <v>-61.278805985412497</v>
      </c>
      <c r="AG3238">
        <v>126.910415</v>
      </c>
      <c r="AH3238">
        <v>331.90544657815298</v>
      </c>
      <c r="AI3238">
        <v>69.393024420292406</v>
      </c>
      <c r="AJ3238">
        <v>100.460569212563</v>
      </c>
      <c r="AK3238">
        <v>360.58642648706802</v>
      </c>
      <c r="AL3238">
        <v>81.279823580073597</v>
      </c>
      <c r="AM3238">
        <v>93.811454412291994</v>
      </c>
      <c r="AN3238">
        <v>0.99999997361224902</v>
      </c>
    </row>
    <row r="3239" spans="1:40" x14ac:dyDescent="0.3">
      <c r="A3239" t="str">
        <f>"20200111150919250"</f>
        <v>20200111150919250</v>
      </c>
      <c r="B3239" t="str">
        <f>"1578726559247243"</f>
        <v>1578726559247243</v>
      </c>
      <c r="C3239" t="s">
        <v>40</v>
      </c>
      <c r="D3239">
        <v>4.9170769999999999</v>
      </c>
      <c r="E3239">
        <v>0.50077260000000001</v>
      </c>
      <c r="F3239" t="s">
        <v>110</v>
      </c>
      <c r="G3239">
        <v>-246.80510000000001</v>
      </c>
      <c r="H3239">
        <v>126.4449</v>
      </c>
      <c r="I3239">
        <v>391.75</v>
      </c>
      <c r="J3239">
        <v>-186.36680000000001</v>
      </c>
      <c r="K3239">
        <v>1.1098889999999999</v>
      </c>
      <c r="L3239">
        <v>22.853909999999999</v>
      </c>
      <c r="M3239">
        <v>-7.352946E-3</v>
      </c>
      <c r="N3239">
        <v>0</v>
      </c>
      <c r="O3239">
        <v>0.99993540000000003</v>
      </c>
      <c r="P3239">
        <v>-7.3267209999999999E-2</v>
      </c>
      <c r="Q3239">
        <v>0.14319270000000001</v>
      </c>
      <c r="R3239">
        <v>0.9869791</v>
      </c>
      <c r="S3239">
        <v>-0.46881099999999998</v>
      </c>
      <c r="T3239">
        <v>0.97216239999999998</v>
      </c>
      <c r="U3239">
        <v>2.863953</v>
      </c>
      <c r="V3239">
        <v>-6.6099969999999994E-2</v>
      </c>
      <c r="W3239">
        <v>0.15170549999999999</v>
      </c>
      <c r="X3239">
        <v>0.98621309999999995</v>
      </c>
      <c r="Y3239">
        <v>-0.1459095</v>
      </c>
      <c r="Z3239">
        <v>0.31780849999999999</v>
      </c>
      <c r="AA3239">
        <v>0.93686080000000005</v>
      </c>
      <c r="AB3239">
        <v>34</v>
      </c>
      <c r="AC3239">
        <v>-60.438299999999998</v>
      </c>
      <c r="AD3239">
        <v>125.33501099999999</v>
      </c>
      <c r="AE3239">
        <v>368.89609000000002</v>
      </c>
      <c r="AF3239">
        <v>-51.890682202710501</v>
      </c>
      <c r="AG3239">
        <v>125.33501099999999</v>
      </c>
      <c r="AH3239">
        <v>332.00719060578501</v>
      </c>
      <c r="AI3239">
        <v>69.545546808611107</v>
      </c>
      <c r="AJ3239">
        <v>98.883111703652702</v>
      </c>
      <c r="AK3239">
        <v>358.65064128728199</v>
      </c>
      <c r="AL3239">
        <v>81.274224461339998</v>
      </c>
      <c r="AM3239">
        <v>93.834458791326199</v>
      </c>
      <c r="AN3239">
        <v>1.0000000216879299</v>
      </c>
    </row>
    <row r="3240" spans="1:40" x14ac:dyDescent="0.3">
      <c r="A3240" t="str">
        <f>"20200111150919271"</f>
        <v>20200111150919271</v>
      </c>
      <c r="B3240" t="str">
        <f>"1578726559267739"</f>
        <v>1578726559267739</v>
      </c>
      <c r="C3240" t="s">
        <v>40</v>
      </c>
      <c r="D3240">
        <v>4.8282189999999998</v>
      </c>
      <c r="E3240">
        <v>0.50138799999999994</v>
      </c>
      <c r="F3240" t="s">
        <v>43</v>
      </c>
      <c r="G3240">
        <v>-188.42580000000001</v>
      </c>
      <c r="H3240" s="1">
        <v>-1.0988989999999999E-6</v>
      </c>
      <c r="I3240">
        <v>51.543410000000002</v>
      </c>
      <c r="J3240">
        <v>-186.36959999999999</v>
      </c>
      <c r="K3240">
        <v>1.109888</v>
      </c>
      <c r="L3240">
        <v>23.189579999999999</v>
      </c>
      <c r="M3240">
        <v>-7.6442639999999996E-3</v>
      </c>
      <c r="N3240">
        <v>0</v>
      </c>
      <c r="O3240">
        <v>0.99993319999999997</v>
      </c>
      <c r="P3240">
        <v>-7.3126769999999994E-2</v>
      </c>
      <c r="Q3240">
        <v>0.1438943</v>
      </c>
      <c r="R3240">
        <v>0.98688750000000003</v>
      </c>
      <c r="S3240">
        <v>-0.2182007</v>
      </c>
      <c r="T3240">
        <v>-0.1176232</v>
      </c>
      <c r="U3240">
        <v>3.0404360000000001</v>
      </c>
      <c r="V3240">
        <v>-6.567278E-2</v>
      </c>
      <c r="W3240">
        <v>0.15241389999999999</v>
      </c>
      <c r="X3240">
        <v>0.98613240000000002</v>
      </c>
      <c r="Y3240">
        <v>-6.3901879999999994E-2</v>
      </c>
      <c r="Z3240">
        <v>-3.8566669999999997E-2</v>
      </c>
      <c r="AA3240">
        <v>0.99721070000000001</v>
      </c>
      <c r="AB3240">
        <v>34</v>
      </c>
      <c r="AC3240">
        <v>-2.0562000000000098</v>
      </c>
      <c r="AD3240">
        <v>-1.109889098899</v>
      </c>
      <c r="AE3240">
        <v>28.353829999999899</v>
      </c>
      <c r="AF3240">
        <v>-1.8365881808019699</v>
      </c>
      <c r="AG3240">
        <v>-1.109889098899</v>
      </c>
      <c r="AH3240">
        <v>28.325544864876399</v>
      </c>
      <c r="AI3240">
        <v>92.239194289447795</v>
      </c>
      <c r="AJ3240">
        <v>93.709784252707294</v>
      </c>
      <c r="AK3240">
        <v>28.4067140276704</v>
      </c>
      <c r="AL3240">
        <v>81.233158491191006</v>
      </c>
      <c r="AM3240">
        <v>93.810061569581194</v>
      </c>
      <c r="AN3240">
        <v>1.0000000106379401</v>
      </c>
    </row>
    <row r="3241" spans="1:40" x14ac:dyDescent="0.3">
      <c r="A3241" t="str">
        <f>"20200111150919294"</f>
        <v>20200111150919294</v>
      </c>
      <c r="B3241" t="str">
        <f>"1578726559287260"</f>
        <v>1578726559287260</v>
      </c>
      <c r="C3241" t="s">
        <v>40</v>
      </c>
      <c r="D3241">
        <v>4.8948349999999996</v>
      </c>
      <c r="E3241">
        <v>0.50244999999999995</v>
      </c>
      <c r="F3241" t="s">
        <v>43</v>
      </c>
      <c r="G3241">
        <v>-188.84360000000001</v>
      </c>
      <c r="H3241" s="1">
        <v>-3.959086E-6</v>
      </c>
      <c r="I3241">
        <v>58.38335</v>
      </c>
      <c r="J3241">
        <v>-186.3724</v>
      </c>
      <c r="K3241">
        <v>1.1098939999999999</v>
      </c>
      <c r="L3241">
        <v>23.520720000000001</v>
      </c>
      <c r="M3241">
        <v>-7.931581E-3</v>
      </c>
      <c r="N3241">
        <v>0</v>
      </c>
      <c r="O3241">
        <v>0.99993089999999996</v>
      </c>
      <c r="P3241">
        <v>-7.309119E-2</v>
      </c>
      <c r="Q3241">
        <v>0.1442639</v>
      </c>
      <c r="R3241">
        <v>0.98683609999999999</v>
      </c>
      <c r="S3241">
        <v>-0.213562</v>
      </c>
      <c r="T3241">
        <v>-9.5808030000000002E-2</v>
      </c>
      <c r="U3241">
        <v>3.0379939999999999</v>
      </c>
      <c r="V3241">
        <v>-6.5354819999999994E-2</v>
      </c>
      <c r="W3241">
        <v>0.15279039999999999</v>
      </c>
      <c r="X3241">
        <v>0.98609519999999995</v>
      </c>
      <c r="Y3241">
        <v>-6.2174750000000001E-2</v>
      </c>
      <c r="Z3241">
        <v>-3.1450190000000003E-2</v>
      </c>
      <c r="AA3241">
        <v>0.99756959999999995</v>
      </c>
      <c r="AB3241">
        <v>34</v>
      </c>
      <c r="AC3241">
        <v>-2.4712000000000098</v>
      </c>
      <c r="AD3241">
        <v>-1.1098979590860001</v>
      </c>
      <c r="AE3241">
        <v>34.862630000000003</v>
      </c>
      <c r="AF3241">
        <v>-2.1923850922836601</v>
      </c>
      <c r="AG3241">
        <v>-1.1098979590860001</v>
      </c>
      <c r="AH3241">
        <v>34.845992919917997</v>
      </c>
      <c r="AI3241">
        <v>91.820743391118896</v>
      </c>
      <c r="AJ3241">
        <v>93.600099974015706</v>
      </c>
      <c r="AK3241">
        <v>34.932529946275402</v>
      </c>
      <c r="AL3241">
        <v>81.211330453011897</v>
      </c>
      <c r="AM3241">
        <v>93.791811414752502</v>
      </c>
      <c r="AN3241">
        <v>0.99999995114621498</v>
      </c>
    </row>
    <row r="3242" spans="1:40" x14ac:dyDescent="0.3">
      <c r="A3242" t="str">
        <f>"20200111150919317"</f>
        <v>20200111150919317</v>
      </c>
      <c r="B3242" t="str">
        <f>"1578726559307756"</f>
        <v>1578726559307756</v>
      </c>
      <c r="C3242" t="s">
        <v>40</v>
      </c>
      <c r="D3242">
        <v>4.9209009999999997</v>
      </c>
      <c r="E3242">
        <v>0.50258190000000003</v>
      </c>
      <c r="F3242" t="s">
        <v>43</v>
      </c>
      <c r="G3242">
        <v>-189.9417</v>
      </c>
      <c r="H3242" s="1">
        <v>-2.8929179999999999E-6</v>
      </c>
      <c r="I3242">
        <v>76.352109999999996</v>
      </c>
      <c r="J3242">
        <v>-186.37549999999999</v>
      </c>
      <c r="K3242">
        <v>1.1098969999999999</v>
      </c>
      <c r="L3242">
        <v>23.877929999999999</v>
      </c>
      <c r="M3242">
        <v>-8.2415819999999904E-3</v>
      </c>
      <c r="N3242">
        <v>0</v>
      </c>
      <c r="O3242">
        <v>0.99992829999999999</v>
      </c>
      <c r="P3242">
        <v>-7.3550850000000001E-2</v>
      </c>
      <c r="Q3242">
        <v>0.1449318</v>
      </c>
      <c r="R3242">
        <v>0.98670409999999997</v>
      </c>
      <c r="S3242">
        <v>-0.20498659999999999</v>
      </c>
      <c r="T3242">
        <v>-6.3742279999999998E-2</v>
      </c>
      <c r="U3242">
        <v>3.0341490000000002</v>
      </c>
      <c r="V3242">
        <v>-6.5510090000000007E-2</v>
      </c>
      <c r="W3242">
        <v>0.1534652</v>
      </c>
      <c r="X3242">
        <v>0.98598019999999997</v>
      </c>
      <c r="Y3242">
        <v>-5.9165919999999997E-2</v>
      </c>
      <c r="Z3242">
        <v>-2.0960309999999999E-2</v>
      </c>
      <c r="AA3242">
        <v>0.99802809999999997</v>
      </c>
      <c r="AB3242">
        <v>34</v>
      </c>
      <c r="AC3242">
        <v>-3.5661999999999998</v>
      </c>
      <c r="AD3242">
        <v>-1.109899892918</v>
      </c>
      <c r="AE3242">
        <v>52.474179999999997</v>
      </c>
      <c r="AF3242">
        <v>-3.1321974570147399</v>
      </c>
      <c r="AG3242">
        <v>-1.109899892918</v>
      </c>
      <c r="AH3242">
        <v>52.478420111809797</v>
      </c>
      <c r="AI3242">
        <v>91.209453004459604</v>
      </c>
      <c r="AJ3242">
        <v>93.415671564839599</v>
      </c>
      <c r="AK3242">
        <v>52.5835251396636</v>
      </c>
      <c r="AL3242">
        <v>81.172206692206004</v>
      </c>
      <c r="AM3242">
        <v>93.801235634254297</v>
      </c>
      <c r="AN3242">
        <v>1.00000004714744</v>
      </c>
    </row>
    <row r="3243" spans="1:40" x14ac:dyDescent="0.3">
      <c r="A3243" t="str">
        <f>"20200111150919339"</f>
        <v>20200111150919339</v>
      </c>
      <c r="B3243" t="str">
        <f>"1578726559327275"</f>
        <v>1578726559327275</v>
      </c>
      <c r="C3243" t="s">
        <v>40</v>
      </c>
      <c r="D3243">
        <v>4.9272119999999999</v>
      </c>
      <c r="E3243">
        <v>0.50241170000000002</v>
      </c>
      <c r="F3243" t="s">
        <v>43</v>
      </c>
      <c r="G3243">
        <v>-189.4143</v>
      </c>
      <c r="H3243" s="1">
        <v>-4.0639299999999997E-6</v>
      </c>
      <c r="I3243">
        <v>68.863720000000001</v>
      </c>
      <c r="J3243">
        <v>-186.37860000000001</v>
      </c>
      <c r="K3243">
        <v>1.109899</v>
      </c>
      <c r="L3243">
        <v>24.21762</v>
      </c>
      <c r="M3243">
        <v>-8.5361669999999903E-3</v>
      </c>
      <c r="N3243">
        <v>0</v>
      </c>
      <c r="O3243">
        <v>0.99992570000000003</v>
      </c>
      <c r="P3243">
        <v>-7.3626259999999999E-2</v>
      </c>
      <c r="Q3243">
        <v>0.1449452</v>
      </c>
      <c r="R3243">
        <v>0.98669649999999998</v>
      </c>
      <c r="S3243">
        <v>-0.20509340000000001</v>
      </c>
      <c r="T3243">
        <v>-7.4908260000000004E-2</v>
      </c>
      <c r="U3243">
        <v>3.036133</v>
      </c>
      <c r="V3243">
        <v>-6.5294560000000001E-2</v>
      </c>
      <c r="W3243">
        <v>0.1534864</v>
      </c>
      <c r="X3243">
        <v>0.98599119999999996</v>
      </c>
      <c r="Y3243">
        <v>-5.8857310000000003E-2</v>
      </c>
      <c r="Z3243">
        <v>-2.4614E-2</v>
      </c>
      <c r="AA3243">
        <v>0.99796289999999999</v>
      </c>
      <c r="AB3243">
        <v>34</v>
      </c>
      <c r="AC3243">
        <v>-3.0356999999999901</v>
      </c>
      <c r="AD3243">
        <v>-1.1099030639299901</v>
      </c>
      <c r="AE3243">
        <v>44.646099999999997</v>
      </c>
      <c r="AF3243">
        <v>-2.6528364302391099</v>
      </c>
      <c r="AG3243">
        <v>-1.1099030639299901</v>
      </c>
      <c r="AH3243">
        <v>44.6429241937456</v>
      </c>
      <c r="AI3243">
        <v>91.421675499335905</v>
      </c>
      <c r="AJ3243">
        <v>93.400713661738905</v>
      </c>
      <c r="AK3243">
        <v>44.735445750606303</v>
      </c>
      <c r="AL3243">
        <v>81.170977488236204</v>
      </c>
      <c r="AM3243">
        <v>93.788723804068496</v>
      </c>
      <c r="AN3243">
        <v>1.0000000505139901</v>
      </c>
    </row>
    <row r="3244" spans="1:40" x14ac:dyDescent="0.3">
      <c r="A3244" t="str">
        <f>"20200111150919362"</f>
        <v>20200111150919362</v>
      </c>
      <c r="B3244" t="str">
        <f>"1578726559357533"</f>
        <v>1578726559357533</v>
      </c>
      <c r="C3244" t="s">
        <v>40</v>
      </c>
      <c r="D3244">
        <v>4.8999930000000003</v>
      </c>
      <c r="E3244">
        <v>0.50296660000000004</v>
      </c>
      <c r="F3244" t="s">
        <v>43</v>
      </c>
      <c r="G3244">
        <v>-189.6199</v>
      </c>
      <c r="H3244" s="1">
        <v>-1.019877E-6</v>
      </c>
      <c r="I3244">
        <v>71.852950000000007</v>
      </c>
      <c r="J3244">
        <v>-186.3818</v>
      </c>
      <c r="K3244">
        <v>1.1099000000000001</v>
      </c>
      <c r="L3244">
        <v>24.561160000000001</v>
      </c>
      <c r="M3244">
        <v>-8.8339219999999993E-3</v>
      </c>
      <c r="N3244">
        <v>0</v>
      </c>
      <c r="O3244">
        <v>0.99992309999999995</v>
      </c>
      <c r="P3244">
        <v>-7.3405730000000002E-2</v>
      </c>
      <c r="Q3244">
        <v>0.14474029999999999</v>
      </c>
      <c r="R3244">
        <v>0.98674300000000004</v>
      </c>
      <c r="S3244">
        <v>-0.206543</v>
      </c>
      <c r="T3244">
        <v>-7.0725319999999994E-2</v>
      </c>
      <c r="U3244">
        <v>3.035431</v>
      </c>
      <c r="V3244">
        <v>-6.4780309999999994E-2</v>
      </c>
      <c r="W3244">
        <v>0.15328989999999901</v>
      </c>
      <c r="X3244">
        <v>0.98605560000000003</v>
      </c>
      <c r="Y3244">
        <v>-5.9052210000000001E-2</v>
      </c>
      <c r="Z3244">
        <v>-2.324507E-2</v>
      </c>
      <c r="AA3244">
        <v>0.99798419999999999</v>
      </c>
      <c r="AB3244">
        <v>34</v>
      </c>
      <c r="AC3244">
        <v>-3.2381000000000002</v>
      </c>
      <c r="AD3244">
        <v>-1.1099010198770001</v>
      </c>
      <c r="AE3244">
        <v>47.291789999999999</v>
      </c>
      <c r="AF3244">
        <v>-2.8186405573283499</v>
      </c>
      <c r="AG3244">
        <v>-1.1099010198770001</v>
      </c>
      <c r="AH3244">
        <v>47.292623340955103</v>
      </c>
      <c r="AI3244">
        <v>91.342035702008502</v>
      </c>
      <c r="AJ3244">
        <v>93.410793964646999</v>
      </c>
      <c r="AK3244">
        <v>47.389543544275597</v>
      </c>
      <c r="AL3244">
        <v>81.182370170643296</v>
      </c>
      <c r="AM3244">
        <v>93.758725483259298</v>
      </c>
      <c r="AN3244">
        <v>0.99999996414853198</v>
      </c>
    </row>
    <row r="3245" spans="1:40" x14ac:dyDescent="0.3">
      <c r="A3245" t="str">
        <f>"20200111150919384"</f>
        <v>20200111150919384</v>
      </c>
      <c r="B3245" t="str">
        <f>"1578726559377052"</f>
        <v>1578726559377052</v>
      </c>
      <c r="C3245" t="s">
        <v>40</v>
      </c>
      <c r="D3245">
        <v>5.3380989999999997</v>
      </c>
      <c r="E3245">
        <v>0.50206479999999998</v>
      </c>
      <c r="F3245" t="s">
        <v>43</v>
      </c>
      <c r="G3245">
        <v>-189.50110000000001</v>
      </c>
      <c r="H3245" s="1">
        <v>-8.9932069999999897E-7</v>
      </c>
      <c r="I3245">
        <v>71.522809999999893</v>
      </c>
      <c r="J3245">
        <v>-186.38509999999999</v>
      </c>
      <c r="K3245">
        <v>1.1098969999999999</v>
      </c>
      <c r="L3245">
        <v>24.904599999999999</v>
      </c>
      <c r="M3245">
        <v>-9.1314440000000007E-3</v>
      </c>
      <c r="N3245">
        <v>0</v>
      </c>
      <c r="O3245">
        <v>0.99992040000000004</v>
      </c>
      <c r="P3245">
        <v>-7.4032249999999994E-2</v>
      </c>
      <c r="Q3245">
        <v>0.14431739999999901</v>
      </c>
      <c r="R3245">
        <v>0.98675820000000003</v>
      </c>
      <c r="S3245">
        <v>-0.20164489999999999</v>
      </c>
      <c r="T3245">
        <v>-7.174933E-2</v>
      </c>
      <c r="U3245">
        <v>3.035828</v>
      </c>
      <c r="V3245">
        <v>-6.5112740000000002E-2</v>
      </c>
      <c r="W3245">
        <v>0.15287519999999999</v>
      </c>
      <c r="X3245">
        <v>0.98609809999999998</v>
      </c>
      <c r="Y3245">
        <v>-5.7142779999999997E-2</v>
      </c>
      <c r="Z3245">
        <v>-2.358085E-2</v>
      </c>
      <c r="AA3245">
        <v>0.99808750000000002</v>
      </c>
      <c r="AB3245">
        <v>34</v>
      </c>
      <c r="AC3245">
        <v>-3.1160000000000099</v>
      </c>
      <c r="AD3245">
        <v>-1.1098978993206901</v>
      </c>
      <c r="AE3245">
        <v>46.618209999999898</v>
      </c>
      <c r="AF3245">
        <v>-2.6886451321202398</v>
      </c>
      <c r="AG3245">
        <v>-1.1098978993206901</v>
      </c>
      <c r="AH3245">
        <v>46.618413574215701</v>
      </c>
      <c r="AI3245">
        <v>91.361586773986502</v>
      </c>
      <c r="AJ3245">
        <v>93.300789266384996</v>
      </c>
      <c r="AK3245">
        <v>46.709069463756201</v>
      </c>
      <c r="AL3245">
        <v>81.2064142617523</v>
      </c>
      <c r="AM3245">
        <v>93.7777958809897</v>
      </c>
      <c r="AN3245">
        <v>0.99999997925447803</v>
      </c>
    </row>
    <row r="3246" spans="1:40" x14ac:dyDescent="0.3">
      <c r="A3246" t="str">
        <f>"20200111150919406"</f>
        <v>20200111150919406</v>
      </c>
      <c r="B3246" t="str">
        <f>"1578726559397547"</f>
        <v>1578726559397547</v>
      </c>
      <c r="C3246" t="s">
        <v>40</v>
      </c>
      <c r="D3246">
        <v>5.0114839999999896</v>
      </c>
      <c r="E3246">
        <v>0.51588480000000003</v>
      </c>
      <c r="F3246" t="s">
        <v>43</v>
      </c>
      <c r="G3246">
        <v>-188.58240000000001</v>
      </c>
      <c r="H3246" s="1">
        <v>-3.2243389999999998E-6</v>
      </c>
      <c r="I3246">
        <v>56.562640000000002</v>
      </c>
      <c r="J3246">
        <v>-186.38849999999999</v>
      </c>
      <c r="K3246">
        <v>1.109893</v>
      </c>
      <c r="L3246">
        <v>25.240300000000001</v>
      </c>
      <c r="M3246">
        <v>-9.4219860000000002E-3</v>
      </c>
      <c r="N3246">
        <v>0</v>
      </c>
      <c r="O3246">
        <v>0.99991759999999996</v>
      </c>
      <c r="P3246">
        <v>-7.448623E-2</v>
      </c>
      <c r="Q3246">
        <v>0.14405670000000001</v>
      </c>
      <c r="R3246">
        <v>0.98676209999999998</v>
      </c>
      <c r="S3246">
        <v>-0.21099850000000001</v>
      </c>
      <c r="T3246">
        <v>-0.1065798</v>
      </c>
      <c r="U3246">
        <v>3.040009</v>
      </c>
      <c r="V3246">
        <v>-6.5279889999999993E-2</v>
      </c>
      <c r="W3246">
        <v>0.15262220000000001</v>
      </c>
      <c r="X3246">
        <v>0.98612619999999895</v>
      </c>
      <c r="Y3246">
        <v>-5.9795519999999998E-2</v>
      </c>
      <c r="Z3246">
        <v>-3.4961840000000001E-2</v>
      </c>
      <c r="AA3246">
        <v>0.99759819999999999</v>
      </c>
      <c r="AB3246">
        <v>34</v>
      </c>
      <c r="AC3246">
        <v>-2.19390000000001</v>
      </c>
      <c r="AD3246">
        <v>-1.109896224339</v>
      </c>
      <c r="AE3246">
        <v>31.322340000000001</v>
      </c>
      <c r="AF3246">
        <v>-1.89630334112263</v>
      </c>
      <c r="AG3246">
        <v>-1.109896224339</v>
      </c>
      <c r="AH3246">
        <v>31.302509237953</v>
      </c>
      <c r="AI3246">
        <v>92.026978597472194</v>
      </c>
      <c r="AJ3246">
        <v>93.466736691736997</v>
      </c>
      <c r="AK3246">
        <v>31.379530279825499</v>
      </c>
      <c r="AL3246">
        <v>81.221081884739604</v>
      </c>
      <c r="AM3246">
        <v>93.7873580059765</v>
      </c>
      <c r="AN3246">
        <v>0.99999994114884405</v>
      </c>
    </row>
    <row r="3247" spans="1:40" x14ac:dyDescent="0.3">
      <c r="A3247" t="str">
        <f>"20200111150919428"</f>
        <v>20200111150919428</v>
      </c>
      <c r="B3247" t="str">
        <f>"1578726559417069"</f>
        <v>1578726559417069</v>
      </c>
      <c r="C3247" t="s">
        <v>40</v>
      </c>
      <c r="D3247">
        <v>4.9596530000000003</v>
      </c>
      <c r="E3247">
        <v>0.50541590000000003</v>
      </c>
      <c r="F3247" t="s">
        <v>48</v>
      </c>
      <c r="G3247">
        <v>-198.29220000000001</v>
      </c>
      <c r="H3247">
        <v>70.560450000000003</v>
      </c>
      <c r="I3247">
        <v>391.87</v>
      </c>
      <c r="J3247">
        <v>-186.392</v>
      </c>
      <c r="K3247">
        <v>1.109891</v>
      </c>
      <c r="L3247">
        <v>25.585360000000001</v>
      </c>
      <c r="M3247">
        <v>-9.720579E-3</v>
      </c>
      <c r="N3247">
        <v>0</v>
      </c>
      <c r="O3247">
        <v>0.99991459999999999</v>
      </c>
      <c r="P3247">
        <v>-7.4973650000000003E-2</v>
      </c>
      <c r="Q3247">
        <v>0.14374120000000001</v>
      </c>
      <c r="R3247">
        <v>0.98677119999999996</v>
      </c>
      <c r="S3247">
        <v>-9.5825199999999999E-2</v>
      </c>
      <c r="T3247">
        <v>0.55908000000000002</v>
      </c>
      <c r="U3247">
        <v>2.9513850000000001</v>
      </c>
      <c r="V3247">
        <v>-6.5472530000000001E-2</v>
      </c>
      <c r="W3247">
        <v>0.15231439999999999</v>
      </c>
      <c r="X3247">
        <v>0.98616110000000001</v>
      </c>
      <c r="Y3247">
        <v>-2.2166910000000001E-2</v>
      </c>
      <c r="Z3247">
        <v>0.1860367</v>
      </c>
      <c r="AA3247">
        <v>0.98229270000000002</v>
      </c>
      <c r="AB3247">
        <v>34</v>
      </c>
      <c r="AC3247">
        <v>-11.9002</v>
      </c>
      <c r="AD3247">
        <v>69.450558999999998</v>
      </c>
      <c r="AE3247">
        <v>366.284639999999</v>
      </c>
      <c r="AF3247">
        <v>-8.0499040793850796</v>
      </c>
      <c r="AG3247">
        <v>69.450558999999998</v>
      </c>
      <c r="AH3247">
        <v>353.68114019413201</v>
      </c>
      <c r="AI3247">
        <v>78.893277411967901</v>
      </c>
      <c r="AJ3247">
        <v>91.303846482583296</v>
      </c>
      <c r="AK3247">
        <v>360.52535282573501</v>
      </c>
      <c r="AL3247">
        <v>81.238926868543103</v>
      </c>
      <c r="AM3247">
        <v>93.798367737676102</v>
      </c>
      <c r="AN3247">
        <v>1.00000002189258</v>
      </c>
    </row>
    <row r="3248" spans="1:40" x14ac:dyDescent="0.3">
      <c r="A3248" t="str">
        <f>"20200111150919451"</f>
        <v>20200111150919451</v>
      </c>
      <c r="B3248" t="str">
        <f>"1578726559447324"</f>
        <v>1578726559447324</v>
      </c>
      <c r="C3248" t="s">
        <v>40</v>
      </c>
      <c r="D3248">
        <v>4.9613940000000003</v>
      </c>
      <c r="E3248">
        <v>0.46338279999999898</v>
      </c>
      <c r="F3248" t="s">
        <v>43</v>
      </c>
      <c r="G3248">
        <v>-187.49940000000001</v>
      </c>
      <c r="H3248" s="1">
        <v>-2.1201089999999999E-6</v>
      </c>
      <c r="I3248">
        <v>43.540849999999999</v>
      </c>
      <c r="J3248">
        <v>-186.3955</v>
      </c>
      <c r="K3248">
        <v>1.1098889999999999</v>
      </c>
      <c r="L3248">
        <v>25.922270000000001</v>
      </c>
      <c r="M3248">
        <v>-1.0012160000000001E-2</v>
      </c>
      <c r="N3248">
        <v>0</v>
      </c>
      <c r="O3248">
        <v>0.99991169999999996</v>
      </c>
      <c r="P3248">
        <v>-7.4997419999999995E-2</v>
      </c>
      <c r="Q3248">
        <v>0.1437089</v>
      </c>
      <c r="R3248">
        <v>0.98677409999999999</v>
      </c>
      <c r="S3248">
        <v>-0.18832399999999999</v>
      </c>
      <c r="T3248">
        <v>-0.18874189999999999</v>
      </c>
      <c r="U3248">
        <v>3.0534059999999998</v>
      </c>
      <c r="V3248">
        <v>-6.5208479999999999E-2</v>
      </c>
      <c r="W3248">
        <v>0.15229229999999899</v>
      </c>
      <c r="X3248">
        <v>0.986182</v>
      </c>
      <c r="Y3248">
        <v>-5.1446209999999999E-2</v>
      </c>
      <c r="Z3248">
        <v>-6.1592050000000002E-2</v>
      </c>
      <c r="AA3248">
        <v>0.99677470000000001</v>
      </c>
      <c r="AB3248">
        <v>34</v>
      </c>
      <c r="AC3248">
        <v>-1.1039000000000001</v>
      </c>
      <c r="AD3248">
        <v>-1.10989112010899</v>
      </c>
      <c r="AE3248">
        <v>17.618579999999898</v>
      </c>
      <c r="AF3248">
        <v>-0.92378624115216701</v>
      </c>
      <c r="AG3248">
        <v>-1.10989112010899</v>
      </c>
      <c r="AH3248">
        <v>17.5593391243792</v>
      </c>
      <c r="AI3248">
        <v>93.611759978871603</v>
      </c>
      <c r="AJ3248">
        <v>93.0115200754217</v>
      </c>
      <c r="AK3248">
        <v>17.618616001343401</v>
      </c>
      <c r="AL3248">
        <v>81.240207980462003</v>
      </c>
      <c r="AM3248">
        <v>93.783013593847599</v>
      </c>
      <c r="AN3248">
        <v>1.0000000138136</v>
      </c>
    </row>
    <row r="3249" spans="1:40" x14ac:dyDescent="0.3">
      <c r="A3249" t="str">
        <f>"20200111150919472"</f>
        <v>20200111150919472</v>
      </c>
      <c r="B3249" t="str">
        <f>"1578726559467820"</f>
        <v>1578726559467820</v>
      </c>
      <c r="C3249" t="s">
        <v>40</v>
      </c>
      <c r="D3249">
        <v>4.7629049999999999</v>
      </c>
      <c r="E3249">
        <v>0.46082099999999998</v>
      </c>
      <c r="F3249" t="s">
        <v>110</v>
      </c>
      <c r="G3249">
        <v>-251.5701</v>
      </c>
      <c r="H3249">
        <v>114.9761</v>
      </c>
      <c r="I3249">
        <v>391.75</v>
      </c>
      <c r="J3249">
        <v>-186.39920000000001</v>
      </c>
      <c r="K3249">
        <v>1.109891</v>
      </c>
      <c r="L3249">
        <v>26.257809999999999</v>
      </c>
      <c r="M3249">
        <v>-1.0302189999999999E-2</v>
      </c>
      <c r="N3249">
        <v>0</v>
      </c>
      <c r="O3249">
        <v>0.99990860000000004</v>
      </c>
      <c r="P3249">
        <v>-7.5134549999999994E-2</v>
      </c>
      <c r="Q3249">
        <v>0.14350950000000001</v>
      </c>
      <c r="R3249">
        <v>0.98679269999999997</v>
      </c>
      <c r="S3249">
        <v>-0.51152039999999999</v>
      </c>
      <c r="T3249">
        <v>0.89367489999999905</v>
      </c>
      <c r="U3249">
        <v>2.8711850000000001</v>
      </c>
      <c r="V3249">
        <v>-6.5059850000000002E-2</v>
      </c>
      <c r="W3249">
        <v>0.15210989999999999</v>
      </c>
      <c r="X3249">
        <v>0.98621990000000004</v>
      </c>
      <c r="Y3249">
        <v>-0.15753610000000001</v>
      </c>
      <c r="Z3249">
        <v>0.29321419999999998</v>
      </c>
      <c r="AA3249">
        <v>0.94297810000000004</v>
      </c>
      <c r="AB3249">
        <v>34</v>
      </c>
      <c r="AC3249">
        <v>-65.170899999999904</v>
      </c>
      <c r="AD3249">
        <v>113.866209</v>
      </c>
      <c r="AE3249">
        <v>365.49218999999999</v>
      </c>
      <c r="AF3249">
        <v>-56.122604817692398</v>
      </c>
      <c r="AG3249">
        <v>113.866209</v>
      </c>
      <c r="AH3249">
        <v>334.66323397955802</v>
      </c>
      <c r="AI3249">
        <v>71.450539501522201</v>
      </c>
      <c r="AJ3249">
        <v>99.519848164775595</v>
      </c>
      <c r="AK3249">
        <v>357.93119520546202</v>
      </c>
      <c r="AL3249">
        <v>81.2507813454326</v>
      </c>
      <c r="AM3249">
        <v>93.7742712758198</v>
      </c>
      <c r="AN3249">
        <v>0.99999994845801998</v>
      </c>
    </row>
    <row r="3250" spans="1:40" x14ac:dyDescent="0.3">
      <c r="A3250" t="str">
        <f>"20200111150919495"</f>
        <v>20200111150919495</v>
      </c>
      <c r="B3250" t="str">
        <f>"1578726559487340"</f>
        <v>1578726559487340</v>
      </c>
      <c r="C3250" t="s">
        <v>40</v>
      </c>
      <c r="D3250">
        <v>5.0982589999999997</v>
      </c>
      <c r="E3250">
        <v>0.44258550000000002</v>
      </c>
      <c r="F3250" t="s">
        <v>110</v>
      </c>
      <c r="G3250">
        <v>-253.7818</v>
      </c>
      <c r="H3250">
        <v>89.607709999999997</v>
      </c>
      <c r="I3250">
        <v>391.75</v>
      </c>
      <c r="J3250">
        <v>-186.40299999999999</v>
      </c>
      <c r="K3250">
        <v>1.1098950000000001</v>
      </c>
      <c r="L3250">
        <v>26.60162</v>
      </c>
      <c r="M3250">
        <v>-1.059939E-2</v>
      </c>
      <c r="N3250">
        <v>0</v>
      </c>
      <c r="O3250">
        <v>0.9999053</v>
      </c>
      <c r="P3250">
        <v>-7.5234640000000005E-2</v>
      </c>
      <c r="Q3250">
        <v>0.14385680000000001</v>
      </c>
      <c r="R3250">
        <v>0.98673449999999996</v>
      </c>
      <c r="S3250">
        <v>-0.53417969999999904</v>
      </c>
      <c r="T3250">
        <v>0.70157179999999997</v>
      </c>
      <c r="U3250">
        <v>2.8974609999999998</v>
      </c>
      <c r="V3250">
        <v>-6.4867530000000007E-2</v>
      </c>
      <c r="W3250">
        <v>0.152479799999999</v>
      </c>
      <c r="X3250">
        <v>0.98617549999999998</v>
      </c>
      <c r="Y3250">
        <v>-0.16593350000000001</v>
      </c>
      <c r="Z3250">
        <v>0.23183909999999999</v>
      </c>
      <c r="AA3250">
        <v>0.95849709999999999</v>
      </c>
      <c r="AB3250">
        <v>34</v>
      </c>
      <c r="AC3250">
        <v>-67.378799999999998</v>
      </c>
      <c r="AD3250">
        <v>88.497815000000003</v>
      </c>
      <c r="AE3250">
        <v>365.14837999999997</v>
      </c>
      <c r="AF3250">
        <v>-60.091054595167897</v>
      </c>
      <c r="AG3250">
        <v>88.497815000000003</v>
      </c>
      <c r="AH3250">
        <v>346.17751977898803</v>
      </c>
      <c r="AI3250">
        <v>75.862620042289393</v>
      </c>
      <c r="AJ3250">
        <v>99.847534879384796</v>
      </c>
      <c r="AK3250">
        <v>362.32812932818899</v>
      </c>
      <c r="AL3250">
        <v>81.229337962428403</v>
      </c>
      <c r="AM3250">
        <v>93.763315395366803</v>
      </c>
      <c r="AN3250">
        <v>1.0000000013282899</v>
      </c>
    </row>
    <row r="3251" spans="1:40" x14ac:dyDescent="0.3">
      <c r="A3251" t="str">
        <f>"20200111150919518"</f>
        <v>20200111150919518</v>
      </c>
      <c r="B3251" t="str">
        <f>"1578726559507836"</f>
        <v>1578726559507836</v>
      </c>
      <c r="C3251" t="s">
        <v>40</v>
      </c>
      <c r="D3251">
        <v>5.2410769999999998</v>
      </c>
      <c r="E3251">
        <v>0.44029299999999999</v>
      </c>
      <c r="F3251" t="s">
        <v>43</v>
      </c>
      <c r="G3251">
        <v>-189.1892</v>
      </c>
      <c r="H3251" s="1">
        <v>-4.0948780000000002E-6</v>
      </c>
      <c r="I3251">
        <v>38.842779999999998</v>
      </c>
      <c r="J3251">
        <v>-186.40710000000001</v>
      </c>
      <c r="K3251">
        <v>1.1099019999999999</v>
      </c>
      <c r="L3251">
        <v>26.96048</v>
      </c>
      <c r="M3251">
        <v>-1.0909479999999999E-2</v>
      </c>
      <c r="N3251">
        <v>0</v>
      </c>
      <c r="O3251">
        <v>0.9999017</v>
      </c>
      <c r="P3251">
        <v>-7.5817339999999997E-2</v>
      </c>
      <c r="Q3251">
        <v>0.14423420000000001</v>
      </c>
      <c r="R3251">
        <v>0.98663480000000003</v>
      </c>
      <c r="S3251">
        <v>-0.68916319999999998</v>
      </c>
      <c r="T3251">
        <v>-0.27452910000000003</v>
      </c>
      <c r="U3251">
        <v>3.0278019999999999</v>
      </c>
      <c r="V3251">
        <v>-6.5145560000000005E-2</v>
      </c>
      <c r="W3251">
        <v>0.1528832</v>
      </c>
      <c r="X3251">
        <v>0.98609469999999999</v>
      </c>
      <c r="Y3251">
        <v>-0.21042060000000001</v>
      </c>
      <c r="Z3251">
        <v>-8.8162000000000004E-2</v>
      </c>
      <c r="AA3251">
        <v>0.97362760000000004</v>
      </c>
      <c r="AB3251">
        <v>34</v>
      </c>
      <c r="AC3251">
        <v>-2.7820999999999798</v>
      </c>
      <c r="AD3251">
        <v>-1.109906094878</v>
      </c>
      <c r="AE3251">
        <v>11.882299999999899</v>
      </c>
      <c r="AF3251">
        <v>-2.6305407362334798</v>
      </c>
      <c r="AG3251">
        <v>-1.109906094878</v>
      </c>
      <c r="AH3251">
        <v>11.81422201142</v>
      </c>
      <c r="AI3251">
        <v>95.239425557951506</v>
      </c>
      <c r="AJ3251">
        <v>102.55264354593299</v>
      </c>
      <c r="AK3251">
        <v>12.1543193079477</v>
      </c>
      <c r="AL3251">
        <v>81.205950512798395</v>
      </c>
      <c r="AM3251">
        <v>93.779707550714804</v>
      </c>
      <c r="AN3251">
        <v>0.99999998709902105</v>
      </c>
    </row>
    <row r="3252" spans="1:40" x14ac:dyDescent="0.3">
      <c r="A3252" t="str">
        <f>"20200111150919541"</f>
        <v>20200111150919541</v>
      </c>
      <c r="B3252" t="str">
        <f>"1578726559537115"</f>
        <v>1578726559537115</v>
      </c>
      <c r="C3252" t="s">
        <v>40</v>
      </c>
      <c r="D3252">
        <v>5.1735629999999997</v>
      </c>
      <c r="E3252">
        <v>0.43993290000000002</v>
      </c>
      <c r="F3252" t="s">
        <v>43</v>
      </c>
      <c r="G3252">
        <v>-189.35749999999999</v>
      </c>
      <c r="H3252" s="1">
        <v>-4.3687500000000003E-6</v>
      </c>
      <c r="I3252">
        <v>39.550789999999999</v>
      </c>
      <c r="J3252">
        <v>-186.41130000000001</v>
      </c>
      <c r="K3252">
        <v>1.1099049999999999</v>
      </c>
      <c r="L3252">
        <v>27.317810000000001</v>
      </c>
      <c r="M3252">
        <v>-1.121805E-2</v>
      </c>
      <c r="N3252">
        <v>0</v>
      </c>
      <c r="O3252">
        <v>0.99989810000000001</v>
      </c>
      <c r="P3252">
        <v>-7.6369229999999996E-2</v>
      </c>
      <c r="Q3252">
        <v>0.14430860000000001</v>
      </c>
      <c r="R3252">
        <v>0.98658140000000005</v>
      </c>
      <c r="S3252">
        <v>-0.70892330000000003</v>
      </c>
      <c r="T3252">
        <v>-0.26668360000000002</v>
      </c>
      <c r="U3252">
        <v>3.0251459999999999</v>
      </c>
      <c r="V3252">
        <v>-6.5393279999999998E-2</v>
      </c>
      <c r="W3252">
        <v>0.15298310000000001</v>
      </c>
      <c r="X3252">
        <v>0.98606280000000002</v>
      </c>
      <c r="Y3252">
        <v>-0.216388</v>
      </c>
      <c r="Z3252">
        <v>-8.5615810000000001E-2</v>
      </c>
      <c r="AA3252">
        <v>0.97254620000000003</v>
      </c>
      <c r="AB3252">
        <v>35</v>
      </c>
      <c r="AC3252">
        <v>-2.94619999999997</v>
      </c>
      <c r="AD3252">
        <v>-1.1099093687499999</v>
      </c>
      <c r="AE3252">
        <v>12.23298</v>
      </c>
      <c r="AF3252">
        <v>-2.7870933108023501</v>
      </c>
      <c r="AG3252">
        <v>-1.1099093687499999</v>
      </c>
      <c r="AH3252">
        <v>12.1705656128402</v>
      </c>
      <c r="AI3252">
        <v>95.079958506619505</v>
      </c>
      <c r="AJ3252">
        <v>102.898486653443</v>
      </c>
      <c r="AK3252">
        <v>12.534849630785599</v>
      </c>
      <c r="AL3252">
        <v>81.200158447644895</v>
      </c>
      <c r="AM3252">
        <v>93.794160604461496</v>
      </c>
      <c r="AN3252">
        <v>0.99999997774930305</v>
      </c>
    </row>
    <row r="3253" spans="1:40" x14ac:dyDescent="0.3">
      <c r="A3253" t="str">
        <f>"20200111150919565"</f>
        <v>20200111150919565</v>
      </c>
      <c r="B3253" t="str">
        <f>"1578726559557612"</f>
        <v>1578726559557612</v>
      </c>
      <c r="C3253" t="s">
        <v>40</v>
      </c>
      <c r="D3253">
        <v>5.1640329999999999</v>
      </c>
      <c r="E3253">
        <v>0.4396137</v>
      </c>
      <c r="F3253" t="s">
        <v>43</v>
      </c>
      <c r="G3253">
        <v>-189.40430000000001</v>
      </c>
      <c r="H3253" s="1">
        <v>-2.7854110000000002E-7</v>
      </c>
      <c r="I3253">
        <v>40.000790000000002</v>
      </c>
      <c r="J3253">
        <v>-186.41589999999999</v>
      </c>
      <c r="K3253">
        <v>1.109912</v>
      </c>
      <c r="L3253">
        <v>27.69867</v>
      </c>
      <c r="M3253">
        <v>-1.1546560000000001E-2</v>
      </c>
      <c r="N3253">
        <v>0</v>
      </c>
      <c r="O3253">
        <v>0.99989410000000001</v>
      </c>
      <c r="P3253">
        <v>-7.7199119999999996E-2</v>
      </c>
      <c r="Q3253">
        <v>0.14469279999999901</v>
      </c>
      <c r="R3253">
        <v>0.98646049999999996</v>
      </c>
      <c r="S3253">
        <v>-0.71368409999999904</v>
      </c>
      <c r="T3253">
        <v>-0.26465709999999998</v>
      </c>
      <c r="U3253">
        <v>3.0242610000000001</v>
      </c>
      <c r="V3253">
        <v>-6.5901070000000006E-2</v>
      </c>
      <c r="W3253">
        <v>0.15339259999999999</v>
      </c>
      <c r="X3253">
        <v>0.98596539999999999</v>
      </c>
      <c r="Y3253">
        <v>-0.2175938</v>
      </c>
      <c r="Z3253">
        <v>-8.496708E-2</v>
      </c>
      <c r="AA3253">
        <v>0.97233409999999998</v>
      </c>
      <c r="AB3253">
        <v>35</v>
      </c>
      <c r="AC3253">
        <v>-2.9884000000000102</v>
      </c>
      <c r="AD3253">
        <v>-1.1099122785411</v>
      </c>
      <c r="AE3253">
        <v>12.30212</v>
      </c>
      <c r="AF3253">
        <v>-2.8244385220914801</v>
      </c>
      <c r="AG3253">
        <v>-1.1099122785411</v>
      </c>
      <c r="AH3253">
        <v>12.241713344871901</v>
      </c>
      <c r="AI3253">
        <v>95.048714431671499</v>
      </c>
      <c r="AJ3253">
        <v>102.992073845389</v>
      </c>
      <c r="AK3253">
        <v>12.6122521323174</v>
      </c>
      <c r="AL3253">
        <v>81.176415836082299</v>
      </c>
      <c r="AM3253">
        <v>93.823912445863698</v>
      </c>
      <c r="AN3253">
        <v>1.0000000053795299</v>
      </c>
    </row>
    <row r="3254" spans="1:40" x14ac:dyDescent="0.3">
      <c r="A3254" t="str">
        <f>"20200111150919585"</f>
        <v>20200111150919585</v>
      </c>
      <c r="B3254" t="str">
        <f>"1578726559577132"</f>
        <v>1578726559577132</v>
      </c>
      <c r="C3254" t="s">
        <v>40</v>
      </c>
      <c r="D3254">
        <v>5.1851459999999996</v>
      </c>
      <c r="E3254">
        <v>0.43936120000000001</v>
      </c>
      <c r="F3254" t="s">
        <v>43</v>
      </c>
      <c r="G3254">
        <v>-189.41579999999999</v>
      </c>
      <c r="H3254" s="1">
        <v>-3.979241E-7</v>
      </c>
      <c r="I3254">
        <v>40.31879</v>
      </c>
      <c r="J3254">
        <v>-186.41970000000001</v>
      </c>
      <c r="K3254">
        <v>1.109912</v>
      </c>
      <c r="L3254">
        <v>28.00854</v>
      </c>
      <c r="M3254">
        <v>-1.181397E-2</v>
      </c>
      <c r="N3254">
        <v>0</v>
      </c>
      <c r="O3254">
        <v>0.99989070000000002</v>
      </c>
      <c r="P3254">
        <v>-7.788987E-2</v>
      </c>
      <c r="Q3254">
        <v>0.1444966</v>
      </c>
      <c r="R3254">
        <v>0.9864349</v>
      </c>
      <c r="S3254">
        <v>-0.71882630000000003</v>
      </c>
      <c r="T3254">
        <v>-0.26594780000000001</v>
      </c>
      <c r="U3254">
        <v>3.0239259999999999</v>
      </c>
      <c r="V3254">
        <v>-6.6328369999999998E-2</v>
      </c>
      <c r="W3254">
        <v>0.15321779999999999</v>
      </c>
      <c r="X3254">
        <v>0.9859639</v>
      </c>
      <c r="Y3254">
        <v>-0.21891469999999999</v>
      </c>
      <c r="Z3254">
        <v>-8.535798E-2</v>
      </c>
      <c r="AA3254">
        <v>0.97200330000000001</v>
      </c>
      <c r="AB3254">
        <v>35</v>
      </c>
      <c r="AC3254">
        <v>-2.9960999999999798</v>
      </c>
      <c r="AD3254">
        <v>-1.1099123979240999</v>
      </c>
      <c r="AE3254">
        <v>12.3102499999999</v>
      </c>
      <c r="AF3254">
        <v>-2.8287429741072199</v>
      </c>
      <c r="AG3254">
        <v>-1.1099123979240999</v>
      </c>
      <c r="AH3254">
        <v>12.250769273144</v>
      </c>
      <c r="AI3254">
        <v>95.044803305152897</v>
      </c>
      <c r="AJ3254">
        <v>103.001909434173</v>
      </c>
      <c r="AK3254">
        <v>12.6220061847725</v>
      </c>
      <c r="AL3254">
        <v>81.186550716697795</v>
      </c>
      <c r="AM3254">
        <v>93.848638110182904</v>
      </c>
      <c r="AN3254">
        <v>0.99999997950345298</v>
      </c>
    </row>
    <row r="3255" spans="1:40" x14ac:dyDescent="0.3">
      <c r="A3255" t="str">
        <f>"20200111150919606"</f>
        <v>20200111150919606</v>
      </c>
      <c r="B3255" t="str">
        <f>"1578726559597628"</f>
        <v>1578726559597628</v>
      </c>
      <c r="C3255" t="s">
        <v>40</v>
      </c>
      <c r="D3255">
        <v>5.1035250000000003</v>
      </c>
      <c r="E3255">
        <v>0.43944749999999999</v>
      </c>
      <c r="F3255" t="s">
        <v>43</v>
      </c>
      <c r="G3255">
        <v>-189.39259999999999</v>
      </c>
      <c r="H3255" s="1">
        <v>-4.5400639999999999E-7</v>
      </c>
      <c r="I3255">
        <v>40.439900000000002</v>
      </c>
      <c r="J3255">
        <v>-186.4239</v>
      </c>
      <c r="K3255">
        <v>1.1099139999999901</v>
      </c>
      <c r="L3255">
        <v>28.338290000000001</v>
      </c>
      <c r="M3255">
        <v>-1.209856E-2</v>
      </c>
      <c r="N3255">
        <v>0</v>
      </c>
      <c r="O3255">
        <v>0.99988710000000003</v>
      </c>
      <c r="P3255">
        <v>-7.8346379999999993E-2</v>
      </c>
      <c r="Q3255">
        <v>0.14418979999999901</v>
      </c>
      <c r="R3255">
        <v>0.98644370000000003</v>
      </c>
      <c r="S3255">
        <v>-0.72309880000000004</v>
      </c>
      <c r="T3255">
        <v>-0.26996710000000002</v>
      </c>
      <c r="U3255">
        <v>3.0237120000000002</v>
      </c>
      <c r="V3255">
        <v>-6.6503359999999997E-2</v>
      </c>
      <c r="W3255">
        <v>0.1529374</v>
      </c>
      <c r="X3255">
        <v>0.98599570000000003</v>
      </c>
      <c r="Y3255">
        <v>-0.2199266</v>
      </c>
      <c r="Z3255">
        <v>-8.6619749999999995E-2</v>
      </c>
      <c r="AA3255">
        <v>0.97166319999999995</v>
      </c>
      <c r="AB3255">
        <v>35</v>
      </c>
      <c r="AC3255">
        <v>-2.9686999999999801</v>
      </c>
      <c r="AD3255">
        <v>-1.1099144540064001</v>
      </c>
      <c r="AE3255">
        <v>12.101610000000001</v>
      </c>
      <c r="AF3255">
        <v>-2.7998497401657998</v>
      </c>
      <c r="AG3255">
        <v>-1.1099144540064001</v>
      </c>
      <c r="AH3255">
        <v>12.041103841123499</v>
      </c>
      <c r="AI3255">
        <v>95.130370719078797</v>
      </c>
      <c r="AJ3255">
        <v>103.090055917326</v>
      </c>
      <c r="AK3255">
        <v>12.412060682071999</v>
      </c>
      <c r="AL3255">
        <v>81.202808532636496</v>
      </c>
      <c r="AM3255">
        <v>93.858637021520295</v>
      </c>
      <c r="AN3255">
        <v>1.00000003281426</v>
      </c>
    </row>
    <row r="3256" spans="1:40" x14ac:dyDescent="0.3">
      <c r="A3256" t="str">
        <f>"20200111150919629"</f>
        <v>20200111150919629</v>
      </c>
      <c r="B3256" t="str">
        <f>"1578726559617150"</f>
        <v>1578726559617150</v>
      </c>
      <c r="C3256" t="s">
        <v>40</v>
      </c>
      <c r="D3256">
        <v>5.1659569999999997</v>
      </c>
      <c r="E3256">
        <v>0.43968800000000002</v>
      </c>
      <c r="F3256" t="s">
        <v>43</v>
      </c>
      <c r="G3256">
        <v>-189.3682</v>
      </c>
      <c r="H3256" s="1">
        <v>-5.4313829999999995E-7</v>
      </c>
      <c r="I3256">
        <v>40.637610000000002</v>
      </c>
      <c r="J3256">
        <v>-186.42840000000001</v>
      </c>
      <c r="K3256">
        <v>1.10991</v>
      </c>
      <c r="L3256">
        <v>28.687529999999999</v>
      </c>
      <c r="M3256">
        <v>-1.2399779999999999E-2</v>
      </c>
      <c r="N3256">
        <v>0</v>
      </c>
      <c r="O3256">
        <v>0.99988319999999997</v>
      </c>
      <c r="P3256">
        <v>-7.936472E-2</v>
      </c>
      <c r="Q3256">
        <v>0.14376929999999999</v>
      </c>
      <c r="R3256">
        <v>0.98642370000000001</v>
      </c>
      <c r="S3256">
        <v>-0.72383120000000001</v>
      </c>
      <c r="T3256">
        <v>-0.27285740000000003</v>
      </c>
      <c r="U3256">
        <v>3.0236209999999999</v>
      </c>
      <c r="V3256">
        <v>-6.7224930000000002E-2</v>
      </c>
      <c r="W3256">
        <v>0.15254579999999901</v>
      </c>
      <c r="X3256">
        <v>0.98600739999999998</v>
      </c>
      <c r="Y3256">
        <v>-0.21984329999999999</v>
      </c>
      <c r="Z3256">
        <v>-8.7540359999999998E-2</v>
      </c>
      <c r="AA3256">
        <v>0.97159949999999995</v>
      </c>
      <c r="AB3256">
        <v>35</v>
      </c>
      <c r="AC3256">
        <v>-2.9397999999999902</v>
      </c>
      <c r="AD3256">
        <v>-1.1099105431382901</v>
      </c>
      <c r="AE3256">
        <v>11.9500799999999</v>
      </c>
      <c r="AF3256">
        <v>-2.7688671256747699</v>
      </c>
      <c r="AG3256">
        <v>-1.1099105431382901</v>
      </c>
      <c r="AH3256">
        <v>11.8889085691131</v>
      </c>
      <c r="AI3256">
        <v>95.195248727524103</v>
      </c>
      <c r="AJ3256">
        <v>103.11020102280099</v>
      </c>
      <c r="AK3256">
        <v>12.2574333992946</v>
      </c>
      <c r="AL3256">
        <v>81.225511690288798</v>
      </c>
      <c r="AM3256">
        <v>93.900329056125003</v>
      </c>
      <c r="AN3256">
        <v>1.0000000025829501</v>
      </c>
    </row>
    <row r="3257" spans="1:40" x14ac:dyDescent="0.3">
      <c r="A3257" t="str">
        <f>"20200111150919653"</f>
        <v>20200111150919653</v>
      </c>
      <c r="B3257" t="str">
        <f>"1578726559647404"</f>
        <v>1578726559647404</v>
      </c>
      <c r="C3257" t="s">
        <v>40</v>
      </c>
      <c r="D3257">
        <v>5.1919769999999996</v>
      </c>
      <c r="E3257">
        <v>0.44020039999999999</v>
      </c>
      <c r="F3257" t="s">
        <v>43</v>
      </c>
      <c r="G3257">
        <v>-189.32839999999999</v>
      </c>
      <c r="H3257" s="1">
        <v>-6.1639159999999996E-7</v>
      </c>
      <c r="I3257">
        <v>40.791899999999998</v>
      </c>
      <c r="J3257">
        <v>-186.4332</v>
      </c>
      <c r="K3257">
        <v>1.1099129999999999</v>
      </c>
      <c r="L3257">
        <v>29.05228</v>
      </c>
      <c r="M3257">
        <v>-1.2714080000000001E-2</v>
      </c>
      <c r="N3257">
        <v>0</v>
      </c>
      <c r="O3257">
        <v>0.99987890000000001</v>
      </c>
      <c r="P3257">
        <v>-7.9547220000000002E-2</v>
      </c>
      <c r="Q3257">
        <v>0.14335519999999999</v>
      </c>
      <c r="R3257">
        <v>0.98646920000000005</v>
      </c>
      <c r="S3257">
        <v>-0.72436519999999904</v>
      </c>
      <c r="T3257">
        <v>-0.27723140000000002</v>
      </c>
      <c r="U3257">
        <v>3.0234070000000002</v>
      </c>
      <c r="V3257">
        <v>-6.7096840000000005E-2</v>
      </c>
      <c r="W3257">
        <v>0.152161299999999</v>
      </c>
      <c r="X3257">
        <v>0.98607549999999999</v>
      </c>
      <c r="Y3257">
        <v>-0.21968579999999999</v>
      </c>
      <c r="Z3257">
        <v>-8.8937730000000007E-2</v>
      </c>
      <c r="AA3257">
        <v>0.97150820000000004</v>
      </c>
      <c r="AB3257">
        <v>35</v>
      </c>
      <c r="AC3257">
        <v>-2.89519999999998</v>
      </c>
      <c r="AD3257">
        <v>-1.1099136163915999</v>
      </c>
      <c r="AE3257">
        <v>11.73962</v>
      </c>
      <c r="AF3257">
        <v>-2.7227591545686298</v>
      </c>
      <c r="AG3257">
        <v>-1.1099136163915999</v>
      </c>
      <c r="AH3257">
        <v>11.677089592989599</v>
      </c>
      <c r="AI3257">
        <v>95.288652968996004</v>
      </c>
      <c r="AJ3257">
        <v>103.125203530048</v>
      </c>
      <c r="AK3257">
        <v>12.041584074047099</v>
      </c>
      <c r="AL3257">
        <v>81.247801842515898</v>
      </c>
      <c r="AM3257">
        <v>93.892652238772996</v>
      </c>
      <c r="AN3257">
        <v>0.99999996942796199</v>
      </c>
    </row>
    <row r="3258" spans="1:40" x14ac:dyDescent="0.3">
      <c r="A3258" t="str">
        <f>"20200111150919674"</f>
        <v>20200111150919674</v>
      </c>
      <c r="B3258" t="str">
        <f>"1578726559667899"</f>
        <v>1578726559667899</v>
      </c>
      <c r="C3258" t="s">
        <v>40</v>
      </c>
      <c r="D3258">
        <v>5.1694889999999996</v>
      </c>
      <c r="E3258">
        <v>0.44027490000000002</v>
      </c>
      <c r="F3258" t="s">
        <v>43</v>
      </c>
      <c r="G3258">
        <v>-189.20650000000001</v>
      </c>
      <c r="H3258" s="1">
        <v>-5.920474E-7</v>
      </c>
      <c r="I3258">
        <v>40.684750000000001</v>
      </c>
      <c r="J3258">
        <v>-186.43780000000001</v>
      </c>
      <c r="K3258">
        <v>1.10992</v>
      </c>
      <c r="L3258">
        <v>29.397670000000002</v>
      </c>
      <c r="M3258">
        <v>-1.3011379999999999E-2</v>
      </c>
      <c r="N3258">
        <v>0</v>
      </c>
      <c r="O3258">
        <v>0.99987490000000001</v>
      </c>
      <c r="P3258">
        <v>-7.8269699999999998E-2</v>
      </c>
      <c r="Q3258">
        <v>0.14341089999999901</v>
      </c>
      <c r="R3258">
        <v>0.98656330000000003</v>
      </c>
      <c r="S3258">
        <v>-0.72117609999999999</v>
      </c>
      <c r="T3258">
        <v>-0.2886242</v>
      </c>
      <c r="U3258">
        <v>3.0249329999999999</v>
      </c>
      <c r="V3258">
        <v>-6.5524959999999993E-2</v>
      </c>
      <c r="W3258">
        <v>0.15224509999999999</v>
      </c>
      <c r="X3258">
        <v>0.9861683</v>
      </c>
      <c r="Y3258">
        <v>-0.2182394</v>
      </c>
      <c r="Z3258">
        <v>-9.2541890000000002E-2</v>
      </c>
      <c r="AA3258">
        <v>0.97149759999999996</v>
      </c>
      <c r="AB3258">
        <v>35</v>
      </c>
      <c r="AC3258">
        <v>-2.7686999999999902</v>
      </c>
      <c r="AD3258">
        <v>-1.10992059204739</v>
      </c>
      <c r="AE3258">
        <v>11.28708</v>
      </c>
      <c r="AF3258">
        <v>-2.5979035829064001</v>
      </c>
      <c r="AG3258">
        <v>-1.10992059204739</v>
      </c>
      <c r="AH3258">
        <v>11.219814085652301</v>
      </c>
      <c r="AI3258">
        <v>95.504894249618701</v>
      </c>
      <c r="AJ3258">
        <v>103.036867384437</v>
      </c>
      <c r="AK3258">
        <v>11.5700153354838</v>
      </c>
      <c r="AL3258">
        <v>81.242944156483603</v>
      </c>
      <c r="AM3258">
        <v>93.801372859811494</v>
      </c>
      <c r="AN3258">
        <v>1.00000000339095</v>
      </c>
    </row>
    <row r="3259" spans="1:40" x14ac:dyDescent="0.3">
      <c r="A3259" t="str">
        <f>"20200111150919696"</f>
        <v>20200111150919696</v>
      </c>
      <c r="B3259" t="str">
        <f>"1578726559687419"</f>
        <v>1578726559687419</v>
      </c>
      <c r="C3259" t="s">
        <v>40</v>
      </c>
      <c r="D3259">
        <v>5.182347</v>
      </c>
      <c r="E3259">
        <v>0.44050250000000002</v>
      </c>
      <c r="F3259" t="s">
        <v>43</v>
      </c>
      <c r="G3259">
        <v>-189.2105</v>
      </c>
      <c r="H3259" s="1">
        <v>-7.5641409999999998E-7</v>
      </c>
      <c r="I3259">
        <v>41.069540000000003</v>
      </c>
      <c r="J3259">
        <v>-186.44239999999999</v>
      </c>
      <c r="K3259">
        <v>1.1099270000000001</v>
      </c>
      <c r="L3259">
        <v>29.73199</v>
      </c>
      <c r="M3259">
        <v>-1.329925E-2</v>
      </c>
      <c r="N3259">
        <v>0</v>
      </c>
      <c r="O3259">
        <v>0.99987079999999995</v>
      </c>
      <c r="P3259">
        <v>-7.7408249999999998E-2</v>
      </c>
      <c r="Q3259">
        <v>0.14365899999999901</v>
      </c>
      <c r="R3259">
        <v>0.98659520000000001</v>
      </c>
      <c r="S3259">
        <v>-0.71875</v>
      </c>
      <c r="T3259">
        <v>-0.28772160000000002</v>
      </c>
      <c r="U3259">
        <v>3.025665</v>
      </c>
      <c r="V3259">
        <v>-6.4378980000000002E-2</v>
      </c>
      <c r="W3259">
        <v>0.15252079999999901</v>
      </c>
      <c r="X3259">
        <v>0.9862012</v>
      </c>
      <c r="Y3259">
        <v>-0.21717439999999999</v>
      </c>
      <c r="Z3259">
        <v>-9.225245E-2</v>
      </c>
      <c r="AA3259">
        <v>0.97176370000000001</v>
      </c>
      <c r="AB3259">
        <v>35</v>
      </c>
      <c r="AC3259">
        <v>-2.7681</v>
      </c>
      <c r="AD3259">
        <v>-1.1099277564140999</v>
      </c>
      <c r="AE3259">
        <v>11.33755</v>
      </c>
      <c r="AF3259">
        <v>-2.5936091341601699</v>
      </c>
      <c r="AG3259">
        <v>-1.1099277564140999</v>
      </c>
      <c r="AH3259">
        <v>11.2714133881209</v>
      </c>
      <c r="AI3259">
        <v>95.481602588491299</v>
      </c>
      <c r="AJ3259">
        <v>102.95848086582301</v>
      </c>
      <c r="AK3259">
        <v>11.619100986357299</v>
      </c>
      <c r="AL3259">
        <v>81.226961262218097</v>
      </c>
      <c r="AM3259">
        <v>93.734955449193293</v>
      </c>
      <c r="AN3259">
        <v>1.0000000271899501</v>
      </c>
    </row>
    <row r="3260" spans="1:40" x14ac:dyDescent="0.3">
      <c r="A3260" t="str">
        <f>"20200111150919719"</f>
        <v>20200111150919719</v>
      </c>
      <c r="B3260" t="str">
        <f>"1578726559707916"</f>
        <v>1578726559707916</v>
      </c>
      <c r="C3260" t="s">
        <v>40</v>
      </c>
      <c r="D3260">
        <v>5.1890179999999999</v>
      </c>
      <c r="E3260">
        <v>0.44059700000000002</v>
      </c>
      <c r="F3260" t="s">
        <v>43</v>
      </c>
      <c r="G3260">
        <v>-189.17740000000001</v>
      </c>
      <c r="H3260" s="1">
        <v>-8.7382730000000004E-7</v>
      </c>
      <c r="I3260">
        <v>41.329549999999998</v>
      </c>
      <c r="J3260">
        <v>-186.44759999999999</v>
      </c>
      <c r="K3260">
        <v>1.1099289999999999</v>
      </c>
      <c r="L3260">
        <v>30.096309999999999</v>
      </c>
      <c r="M3260">
        <v>-1.3612869999999999E-2</v>
      </c>
      <c r="N3260">
        <v>0</v>
      </c>
      <c r="O3260">
        <v>0.99986640000000004</v>
      </c>
      <c r="P3260">
        <v>-7.7293440000000005E-2</v>
      </c>
      <c r="Q3260">
        <v>0.14367569999999999</v>
      </c>
      <c r="R3260">
        <v>0.98660179999999997</v>
      </c>
      <c r="S3260">
        <v>-0.71382139999999905</v>
      </c>
      <c r="T3260">
        <v>-0.28968949999999999</v>
      </c>
      <c r="U3260">
        <v>3.0269469999999998</v>
      </c>
      <c r="V3260">
        <v>-6.3954789999999997E-2</v>
      </c>
      <c r="W3260">
        <v>0.15256929999999999</v>
      </c>
      <c r="X3260">
        <v>0.98622129999999997</v>
      </c>
      <c r="Y3260">
        <v>-0.2152636</v>
      </c>
      <c r="Z3260">
        <v>-9.2876260000000002E-2</v>
      </c>
      <c r="AA3260">
        <v>0.97212940000000003</v>
      </c>
      <c r="AB3260">
        <v>35</v>
      </c>
      <c r="AC3260">
        <v>-2.7298000000000102</v>
      </c>
      <c r="AD3260">
        <v>-1.1099298738273</v>
      </c>
      <c r="AE3260">
        <v>11.23324</v>
      </c>
      <c r="AF3260">
        <v>-2.5530883603411798</v>
      </c>
      <c r="AG3260">
        <v>-1.1099298738273</v>
      </c>
      <c r="AH3260">
        <v>11.166422719364901</v>
      </c>
      <c r="AI3260">
        <v>95.534590635892897</v>
      </c>
      <c r="AJ3260">
        <v>102.87872294861</v>
      </c>
      <c r="AK3260">
        <v>11.508223183796501</v>
      </c>
      <c r="AL3260">
        <v>81.224149530304103</v>
      </c>
      <c r="AM3260">
        <v>93.710339570196794</v>
      </c>
      <c r="AN3260">
        <v>1.00000002952006</v>
      </c>
    </row>
    <row r="3261" spans="1:40" x14ac:dyDescent="0.3">
      <c r="A3261" t="str">
        <f>"20200111150919744"</f>
        <v>20200111150919744</v>
      </c>
      <c r="B3261" t="str">
        <f>"1578726559737196"</f>
        <v>1578726559737196</v>
      </c>
      <c r="C3261" t="s">
        <v>40</v>
      </c>
      <c r="D3261">
        <v>5.1528580000000002</v>
      </c>
      <c r="E3261">
        <v>0.44064370000000003</v>
      </c>
      <c r="F3261" t="s">
        <v>43</v>
      </c>
      <c r="G3261">
        <v>-189.1369</v>
      </c>
      <c r="H3261" s="1">
        <v>-9.7014899999999991E-7</v>
      </c>
      <c r="I3261">
        <v>41.537329999999997</v>
      </c>
      <c r="J3261">
        <v>-186.45310000000001</v>
      </c>
      <c r="K3261">
        <v>1.109926</v>
      </c>
      <c r="L3261">
        <v>30.475159999999999</v>
      </c>
      <c r="M3261">
        <v>-1.393895E-2</v>
      </c>
      <c r="N3261">
        <v>0</v>
      </c>
      <c r="O3261">
        <v>0.99986149999999996</v>
      </c>
      <c r="P3261">
        <v>-7.6818280000000003E-2</v>
      </c>
      <c r="Q3261">
        <v>0.14313890000000001</v>
      </c>
      <c r="R3261">
        <v>0.98671690000000001</v>
      </c>
      <c r="S3261">
        <v>-0.71170040000000001</v>
      </c>
      <c r="T3261">
        <v>-0.29373369999999999</v>
      </c>
      <c r="U3261">
        <v>3.027771</v>
      </c>
      <c r="V3261">
        <v>-6.3156039999999997E-2</v>
      </c>
      <c r="W3261">
        <v>0.15206649999999999</v>
      </c>
      <c r="X3261">
        <v>0.98635039999999996</v>
      </c>
      <c r="Y3261">
        <v>-0.2142133</v>
      </c>
      <c r="Z3261">
        <v>-9.4154189999999999E-2</v>
      </c>
      <c r="AA3261">
        <v>0.97223850000000001</v>
      </c>
      <c r="AB3261">
        <v>35</v>
      </c>
      <c r="AC3261">
        <v>-2.68379999999999</v>
      </c>
      <c r="AD3261">
        <v>-1.109926970149</v>
      </c>
      <c r="AE3261">
        <v>11.062169999999901</v>
      </c>
      <c r="AF3261">
        <v>-2.5055164531374801</v>
      </c>
      <c r="AG3261">
        <v>-1.109926970149</v>
      </c>
      <c r="AH3261">
        <v>10.993980039322301</v>
      </c>
      <c r="AI3261">
        <v>95.621733214075405</v>
      </c>
      <c r="AJ3261">
        <v>102.838378820682</v>
      </c>
      <c r="AK3261">
        <v>11.3303639694859</v>
      </c>
      <c r="AL3261">
        <v>81.253297781111598</v>
      </c>
      <c r="AM3261">
        <v>93.663648815802404</v>
      </c>
      <c r="AN3261">
        <v>1.0000000086954399</v>
      </c>
    </row>
    <row r="3262" spans="1:40" x14ac:dyDescent="0.3">
      <c r="A3262" t="str">
        <f>"20200111150919764"</f>
        <v>20200111150919764</v>
      </c>
      <c r="B3262" t="str">
        <f>"1578726559757694"</f>
        <v>1578726559757694</v>
      </c>
      <c r="C3262" t="s">
        <v>40</v>
      </c>
      <c r="D3262">
        <v>5.1717849999999999</v>
      </c>
      <c r="E3262">
        <v>0.44078279999999997</v>
      </c>
      <c r="F3262" t="s">
        <v>43</v>
      </c>
      <c r="G3262">
        <v>-189.13149999999999</v>
      </c>
      <c r="H3262" s="1">
        <v>-1.124944E-6</v>
      </c>
      <c r="I3262">
        <v>41.89593</v>
      </c>
      <c r="J3262">
        <v>-186.45769999999999</v>
      </c>
      <c r="K3262">
        <v>1.109923</v>
      </c>
      <c r="L3262">
        <v>30.788910000000001</v>
      </c>
      <c r="M3262">
        <v>-1.420892E-2</v>
      </c>
      <c r="N3262">
        <v>0</v>
      </c>
      <c r="O3262">
        <v>0.99985749999999995</v>
      </c>
      <c r="P3262">
        <v>-7.6987979999999998E-2</v>
      </c>
      <c r="Q3262">
        <v>0.1432686</v>
      </c>
      <c r="R3262">
        <v>0.98668489999999998</v>
      </c>
      <c r="S3262">
        <v>-0.71008300000000002</v>
      </c>
      <c r="T3262">
        <v>-0.294253599999999</v>
      </c>
      <c r="U3262">
        <v>3.027771</v>
      </c>
      <c r="V3262">
        <v>-6.3059980000000002E-2</v>
      </c>
      <c r="W3262">
        <v>0.15222160000000001</v>
      </c>
      <c r="X3262">
        <v>0.9863326</v>
      </c>
      <c r="Y3262">
        <v>-0.21345349999999999</v>
      </c>
      <c r="Z3262">
        <v>-9.4332349999999995E-2</v>
      </c>
      <c r="AA3262">
        <v>0.97238829999999998</v>
      </c>
      <c r="AB3262">
        <v>35</v>
      </c>
      <c r="AC3262">
        <v>-2.6738</v>
      </c>
      <c r="AD3262">
        <v>-1.1099241249439999</v>
      </c>
      <c r="AE3262">
        <v>11.10702</v>
      </c>
      <c r="AF3262">
        <v>-2.49218104925392</v>
      </c>
      <c r="AG3262">
        <v>-1.1099241249439999</v>
      </c>
      <c r="AH3262">
        <v>11.039688441834899</v>
      </c>
      <c r="AI3262">
        <v>95.601173677903901</v>
      </c>
      <c r="AJ3262">
        <v>102.721136810084</v>
      </c>
      <c r="AK3262">
        <v>11.371790485151299</v>
      </c>
      <c r="AL3262">
        <v>81.244306342972905</v>
      </c>
      <c r="AM3262">
        <v>93.658157404746703</v>
      </c>
      <c r="AN3262">
        <v>0.99999998720345995</v>
      </c>
    </row>
    <row r="3263" spans="1:40" x14ac:dyDescent="0.3">
      <c r="A3263" t="str">
        <f>"20200111150919785"</f>
        <v>20200111150919785</v>
      </c>
      <c r="B3263" t="str">
        <f>"1578726559777212"</f>
        <v>1578726559777212</v>
      </c>
      <c r="C3263" t="s">
        <v>40</v>
      </c>
      <c r="D3263">
        <v>5.1011569999999997</v>
      </c>
      <c r="E3263">
        <v>0.44083519999999998</v>
      </c>
      <c r="F3263" t="s">
        <v>43</v>
      </c>
      <c r="G3263">
        <v>-189.14070000000001</v>
      </c>
      <c r="H3263" s="1">
        <v>-1.2682049999999999E-6</v>
      </c>
      <c r="I3263">
        <v>42.233669999999996</v>
      </c>
      <c r="J3263">
        <v>-186.46299999999999</v>
      </c>
      <c r="K3263">
        <v>1.1099250000000001</v>
      </c>
      <c r="L3263">
        <v>31.144380000000002</v>
      </c>
      <c r="M3263">
        <v>-1.45147E-2</v>
      </c>
      <c r="N3263">
        <v>0</v>
      </c>
      <c r="O3263">
        <v>0.99985290000000004</v>
      </c>
      <c r="P3263">
        <v>-7.8877909999999996E-2</v>
      </c>
      <c r="Q3263">
        <v>0.14342009999999999</v>
      </c>
      <c r="R3263">
        <v>0.98651359999999999</v>
      </c>
      <c r="S3263">
        <v>-0.70979309999999995</v>
      </c>
      <c r="T3263">
        <v>-0.29363329999999999</v>
      </c>
      <c r="U3263">
        <v>3.0277400000000001</v>
      </c>
      <c r="V3263">
        <v>-6.4650159999999998E-2</v>
      </c>
      <c r="W3263">
        <v>0.152397799999999</v>
      </c>
      <c r="X3263">
        <v>0.98620240000000003</v>
      </c>
      <c r="Y3263">
        <v>-0.21307290000000001</v>
      </c>
      <c r="Z3263">
        <v>-9.4140570000000007E-2</v>
      </c>
      <c r="AA3263">
        <v>0.97249039999999998</v>
      </c>
      <c r="AB3263">
        <v>35</v>
      </c>
      <c r="AC3263">
        <v>-2.67770000000001</v>
      </c>
      <c r="AD3263">
        <v>-1.109926268205</v>
      </c>
      <c r="AE3263">
        <v>11.08929</v>
      </c>
      <c r="AF3263">
        <v>-2.4928559302359301</v>
      </c>
      <c r="AG3263">
        <v>-1.109926268205</v>
      </c>
      <c r="AH3263">
        <v>11.022648276590401</v>
      </c>
      <c r="AI3263">
        <v>95.609296702637906</v>
      </c>
      <c r="AJ3263">
        <v>102.743498713317</v>
      </c>
      <c r="AK3263">
        <v>11.355397044541601</v>
      </c>
      <c r="AL3263">
        <v>81.234091349346599</v>
      </c>
      <c r="AM3263">
        <v>93.750638631794203</v>
      </c>
      <c r="AN3263">
        <v>0.99999995319931101</v>
      </c>
    </row>
    <row r="3264" spans="1:40" x14ac:dyDescent="0.3">
      <c r="A3264" t="str">
        <f>"20200111150919807"</f>
        <v>20200111150919807</v>
      </c>
      <c r="B3264" t="str">
        <f>"1578726559797708"</f>
        <v>1578726559797708</v>
      </c>
      <c r="C3264" t="s">
        <v>40</v>
      </c>
      <c r="D3264">
        <v>5.1912229999999999</v>
      </c>
      <c r="E3264">
        <v>0.46682309999999999</v>
      </c>
      <c r="F3264" t="s">
        <v>43</v>
      </c>
      <c r="G3264">
        <v>-189.16640000000001</v>
      </c>
      <c r="H3264" s="1">
        <v>-1.4155099999999999E-6</v>
      </c>
      <c r="I3264">
        <v>42.587670000000003</v>
      </c>
      <c r="J3264">
        <v>-186.4684</v>
      </c>
      <c r="K3264">
        <v>1.109931</v>
      </c>
      <c r="L3264">
        <v>31.492249999999999</v>
      </c>
      <c r="M3264">
        <v>-1.481379E-2</v>
      </c>
      <c r="N3264">
        <v>0</v>
      </c>
      <c r="O3264">
        <v>0.99984819999999996</v>
      </c>
      <c r="P3264">
        <v>-8.047435E-2</v>
      </c>
      <c r="Q3264">
        <v>0.14355399999999999</v>
      </c>
      <c r="R3264">
        <v>0.98636509999999999</v>
      </c>
      <c r="S3264">
        <v>-0.71498109999999904</v>
      </c>
      <c r="T3264">
        <v>-0.29355310000000001</v>
      </c>
      <c r="U3264">
        <v>3.0265200000000001</v>
      </c>
      <c r="V3264">
        <v>-6.5953940000000003E-2</v>
      </c>
      <c r="W3264">
        <v>0.15255379999999999</v>
      </c>
      <c r="X3264">
        <v>0.98609199999999997</v>
      </c>
      <c r="Y3264">
        <v>-0.21444759999999999</v>
      </c>
      <c r="Z3264">
        <v>-9.4118679999999996E-2</v>
      </c>
      <c r="AA3264">
        <v>0.97219029999999995</v>
      </c>
      <c r="AB3264">
        <v>35</v>
      </c>
      <c r="AC3264">
        <v>-2.698</v>
      </c>
      <c r="AD3264">
        <v>-1.1099324155099899</v>
      </c>
      <c r="AE3264">
        <v>11.095420000000001</v>
      </c>
      <c r="AF3264">
        <v>-2.50961996571385</v>
      </c>
      <c r="AG3264">
        <v>-1.1099324155099899</v>
      </c>
      <c r="AH3264">
        <v>11.0299565573092</v>
      </c>
      <c r="AI3264">
        <v>95.6039885384413</v>
      </c>
      <c r="AJ3264">
        <v>102.818153270477</v>
      </c>
      <c r="AK3264">
        <v>11.366181592577</v>
      </c>
      <c r="AL3264">
        <v>81.225047946088097</v>
      </c>
      <c r="AM3264">
        <v>93.826481249205301</v>
      </c>
      <c r="AN3264">
        <v>1.00000000827998</v>
      </c>
    </row>
    <row r="3265" spans="1:40" x14ac:dyDescent="0.3">
      <c r="A3265" t="str">
        <f>"20200111150919830"</f>
        <v>20200111150919830</v>
      </c>
      <c r="B3265" t="str">
        <f>"1578726559827964"</f>
        <v>1578726559827964</v>
      </c>
      <c r="C3265" t="s">
        <v>40</v>
      </c>
      <c r="D3265">
        <v>4.9137750000000002</v>
      </c>
      <c r="E3265">
        <v>0.50807849999999999</v>
      </c>
      <c r="F3265" t="s">
        <v>110</v>
      </c>
      <c r="G3265">
        <v>-249.0975</v>
      </c>
      <c r="H3265">
        <v>104.0872</v>
      </c>
      <c r="I3265">
        <v>391.75</v>
      </c>
      <c r="J3265">
        <v>-186.47399999999999</v>
      </c>
      <c r="K3265">
        <v>1.109936</v>
      </c>
      <c r="L3265">
        <v>31.849430000000002</v>
      </c>
      <c r="M3265">
        <v>-1.512079E-2</v>
      </c>
      <c r="N3265">
        <v>0</v>
      </c>
      <c r="O3265">
        <v>0.9998435</v>
      </c>
      <c r="P3265">
        <v>-8.1726279999999998E-2</v>
      </c>
      <c r="Q3265">
        <v>0.1436182</v>
      </c>
      <c r="R3265">
        <v>0.98625280000000004</v>
      </c>
      <c r="S3265">
        <v>-0.5008087</v>
      </c>
      <c r="T3265">
        <v>0.82344839999999997</v>
      </c>
      <c r="U3265">
        <v>2.8807680000000002</v>
      </c>
      <c r="V3265">
        <v>-6.6904229999999995E-2</v>
      </c>
      <c r="W3265">
        <v>0.15264049999999901</v>
      </c>
      <c r="X3265">
        <v>0.98601450000000002</v>
      </c>
      <c r="Y3265">
        <v>-0.14993519999999999</v>
      </c>
      <c r="Z3265">
        <v>0.2713605</v>
      </c>
      <c r="AA3265">
        <v>0.95072760000000001</v>
      </c>
      <c r="AB3265">
        <v>35</v>
      </c>
      <c r="AC3265">
        <v>-62.6234999999999</v>
      </c>
      <c r="AD3265">
        <v>102.97726400000001</v>
      </c>
      <c r="AE3265">
        <v>359.90057000000002</v>
      </c>
      <c r="AF3265">
        <v>-52.965355443624397</v>
      </c>
      <c r="AG3265">
        <v>102.97726400000001</v>
      </c>
      <c r="AH3265">
        <v>334.246243811037</v>
      </c>
      <c r="AI3265">
        <v>73.075451354991699</v>
      </c>
      <c r="AJ3265">
        <v>99.004339582689497</v>
      </c>
      <c r="AK3265">
        <v>353.73746943175598</v>
      </c>
      <c r="AL3265">
        <v>81.220020985926496</v>
      </c>
      <c r="AM3265">
        <v>93.881751489334803</v>
      </c>
      <c r="AN3265">
        <v>0.99999994622119504</v>
      </c>
    </row>
    <row r="3266" spans="1:40" x14ac:dyDescent="0.3">
      <c r="A3266" t="str">
        <f>"20200111150919874"</f>
        <v>20200111150919874</v>
      </c>
      <c r="B3266" t="str">
        <f>"1578726559867980"</f>
        <v>1578726559867980</v>
      </c>
      <c r="C3266" t="s">
        <v>40</v>
      </c>
      <c r="D3266">
        <v>5.0648720000000003</v>
      </c>
      <c r="E3266">
        <v>0.50648549999999903</v>
      </c>
      <c r="F3266" t="s">
        <v>43</v>
      </c>
      <c r="G3266">
        <v>-188.34739999999999</v>
      </c>
      <c r="H3266" s="1">
        <v>-1.4550959999999999E-6</v>
      </c>
      <c r="I3266">
        <v>62.341329999999999</v>
      </c>
      <c r="J3266">
        <v>-186.48500000000001</v>
      </c>
      <c r="K3266">
        <v>1.109937</v>
      </c>
      <c r="L3266">
        <v>32.538640000000001</v>
      </c>
      <c r="M3266">
        <v>-1.571324E-2</v>
      </c>
      <c r="N3266">
        <v>0</v>
      </c>
      <c r="O3266">
        <v>0.99983390000000005</v>
      </c>
      <c r="P3266">
        <v>-8.2726149999999998E-2</v>
      </c>
      <c r="Q3266">
        <v>0.1438208</v>
      </c>
      <c r="R3266">
        <v>0.98614000000000002</v>
      </c>
      <c r="S3266">
        <v>-0.1869354</v>
      </c>
      <c r="T3266">
        <v>-0.1107484</v>
      </c>
      <c r="U3266">
        <v>3.0424500000000001</v>
      </c>
      <c r="V3266">
        <v>-6.7321069999999997E-2</v>
      </c>
      <c r="W3266">
        <v>0.1528813</v>
      </c>
      <c r="X3266">
        <v>0.98594890000000002</v>
      </c>
      <c r="Y3266">
        <v>-4.5594389999999999E-2</v>
      </c>
      <c r="Z3266">
        <v>-3.6317130000000003E-2</v>
      </c>
      <c r="AA3266">
        <v>0.99829970000000001</v>
      </c>
      <c r="AB3266">
        <v>35</v>
      </c>
      <c r="AC3266">
        <v>-1.8623999999999801</v>
      </c>
      <c r="AD3266">
        <v>-1.1099384550960001</v>
      </c>
      <c r="AE3266">
        <v>29.802689999999998</v>
      </c>
      <c r="AF3266">
        <v>-1.39193011729473</v>
      </c>
      <c r="AG3266">
        <v>-1.1099384550960001</v>
      </c>
      <c r="AH3266">
        <v>29.787120803916999</v>
      </c>
      <c r="AI3266">
        <v>92.131664770243503</v>
      </c>
      <c r="AJ3266">
        <v>92.675443132220494</v>
      </c>
      <c r="AK3266">
        <v>29.8402747744165</v>
      </c>
      <c r="AL3266">
        <v>81.206061013511899</v>
      </c>
      <c r="AM3266">
        <v>93.906120791590297</v>
      </c>
      <c r="AN3266">
        <v>1.0000000258834201</v>
      </c>
    </row>
    <row r="3267" spans="1:40" x14ac:dyDescent="0.3">
      <c r="A3267" t="str">
        <f>"20200111150919898"</f>
        <v>20200111150919898</v>
      </c>
      <c r="B3267" t="str">
        <f>"1578726559887500"</f>
        <v>1578726559887500</v>
      </c>
      <c r="C3267" t="s">
        <v>40</v>
      </c>
      <c r="D3267">
        <v>5.0267819999999999</v>
      </c>
      <c r="E3267">
        <v>0.50744129999999998</v>
      </c>
      <c r="F3267" t="s">
        <v>43</v>
      </c>
      <c r="G3267">
        <v>-188.19739999999999</v>
      </c>
      <c r="H3267" s="1">
        <v>-4.0392100000000001E-6</v>
      </c>
      <c r="I3267">
        <v>58.302909999999997</v>
      </c>
      <c r="J3267">
        <v>-186.4913</v>
      </c>
      <c r="K3267">
        <v>1.109945</v>
      </c>
      <c r="L3267">
        <v>32.917999999999999</v>
      </c>
      <c r="M3267">
        <v>-1.6039049999999999E-2</v>
      </c>
      <c r="N3267">
        <v>0</v>
      </c>
      <c r="O3267">
        <v>0.99982859999999996</v>
      </c>
      <c r="P3267">
        <v>-8.3287490000000006E-2</v>
      </c>
      <c r="Q3267">
        <v>0.14429239999999999</v>
      </c>
      <c r="R3267">
        <v>0.98602380000000001</v>
      </c>
      <c r="S3267">
        <v>-0.2023315</v>
      </c>
      <c r="T3267">
        <v>-0.13115079999999901</v>
      </c>
      <c r="U3267">
        <v>3.0443120000000001</v>
      </c>
      <c r="V3267">
        <v>-6.7563129999999999E-2</v>
      </c>
      <c r="W3267">
        <v>0.1533747</v>
      </c>
      <c r="X3267">
        <v>0.9858557</v>
      </c>
      <c r="Y3267">
        <v>-5.0241689999999999E-2</v>
      </c>
      <c r="Z3267">
        <v>-4.295794E-2</v>
      </c>
      <c r="AA3267">
        <v>0.99781280000000006</v>
      </c>
      <c r="AB3267">
        <v>35</v>
      </c>
      <c r="AC3267">
        <v>-1.70609999999999</v>
      </c>
      <c r="AD3267">
        <v>-1.10994903921</v>
      </c>
      <c r="AE3267">
        <v>25.384910000000001</v>
      </c>
      <c r="AF3267">
        <v>-1.2962461775998</v>
      </c>
      <c r="AG3267">
        <v>-1.10994903921</v>
      </c>
      <c r="AH3267">
        <v>25.360741739570798</v>
      </c>
      <c r="AI3267">
        <v>92.502769329109796</v>
      </c>
      <c r="AJ3267">
        <v>92.925973601858701</v>
      </c>
      <c r="AK3267">
        <v>25.418093213374501</v>
      </c>
      <c r="AL3267">
        <v>81.177453825836807</v>
      </c>
      <c r="AM3267">
        <v>93.920491390187905</v>
      </c>
      <c r="AN3267">
        <v>1.0000000181789801</v>
      </c>
    </row>
    <row r="3268" spans="1:40" x14ac:dyDescent="0.3">
      <c r="A3268" t="str">
        <f>"20200111150919920"</f>
        <v>20200111150919920</v>
      </c>
      <c r="B3268" t="str">
        <f>"1578726559917757"</f>
        <v>1578726559917757</v>
      </c>
      <c r="C3268" t="s">
        <v>40</v>
      </c>
      <c r="D3268">
        <v>4.9970439999999998</v>
      </c>
      <c r="E3268">
        <v>0.50776199999999905</v>
      </c>
      <c r="F3268" t="s">
        <v>43</v>
      </c>
      <c r="G3268">
        <v>-188.05430000000001</v>
      </c>
      <c r="H3268" s="1">
        <v>-3.572388E-6</v>
      </c>
      <c r="I3268">
        <v>57.155589999999997</v>
      </c>
      <c r="J3268">
        <v>-186.49719999999999</v>
      </c>
      <c r="K3268">
        <v>1.1099509999999999</v>
      </c>
      <c r="L3268">
        <v>33.266779999999997</v>
      </c>
      <c r="M3268">
        <v>-1.6338439999999999E-2</v>
      </c>
      <c r="N3268">
        <v>0</v>
      </c>
      <c r="O3268">
        <v>0.99982349999999998</v>
      </c>
      <c r="P3268">
        <v>-8.2936120000000002E-2</v>
      </c>
      <c r="Q3268">
        <v>0.1449269</v>
      </c>
      <c r="R3268">
        <v>0.98596039999999996</v>
      </c>
      <c r="S3268">
        <v>-0.19645689999999999</v>
      </c>
      <c r="T3268">
        <v>-0.1395063</v>
      </c>
      <c r="U3268">
        <v>3.0463559999999998</v>
      </c>
      <c r="V3268">
        <v>-6.6918259999999993E-2</v>
      </c>
      <c r="W3268">
        <v>0.1540329</v>
      </c>
      <c r="X3268">
        <v>0.98579700000000003</v>
      </c>
      <c r="Y3268">
        <v>-4.7974469999999998E-2</v>
      </c>
      <c r="Z3268">
        <v>-4.5663750000000003E-2</v>
      </c>
      <c r="AA3268">
        <v>0.99780420000000003</v>
      </c>
      <c r="AB3268">
        <v>35</v>
      </c>
      <c r="AC3268">
        <v>-1.5571000000000099</v>
      </c>
      <c r="AD3268">
        <v>-1.109954572388</v>
      </c>
      <c r="AE3268">
        <v>23.888809999999999</v>
      </c>
      <c r="AF3268">
        <v>-1.16406705253484</v>
      </c>
      <c r="AG3268">
        <v>-1.109954572388</v>
      </c>
      <c r="AH3268">
        <v>23.8597710767088</v>
      </c>
      <c r="AI3268">
        <v>92.660314998066994</v>
      </c>
      <c r="AJ3268">
        <v>92.793123474892795</v>
      </c>
      <c r="AK3268">
        <v>23.913923289341501</v>
      </c>
      <c r="AL3268">
        <v>81.1392876697345</v>
      </c>
      <c r="AM3268">
        <v>93.883417017155196</v>
      </c>
      <c r="AN3268">
        <v>0.99999995650641704</v>
      </c>
    </row>
    <row r="3269" spans="1:40" x14ac:dyDescent="0.3">
      <c r="A3269" t="str">
        <f>"20200111150919941"</f>
        <v>20200111150919941</v>
      </c>
      <c r="B3269" t="str">
        <f>"1578726559937275"</f>
        <v>1578726559937275</v>
      </c>
      <c r="C3269" t="s">
        <v>40</v>
      </c>
      <c r="D3269">
        <v>5.1685379999999999</v>
      </c>
      <c r="E3269">
        <v>0.50785519999999995</v>
      </c>
      <c r="F3269" t="s">
        <v>43</v>
      </c>
      <c r="G3269">
        <v>-188.03440000000001</v>
      </c>
      <c r="H3269" s="1">
        <v>-3.7007699999999998E-6</v>
      </c>
      <c r="I3269">
        <v>57.446599999999997</v>
      </c>
      <c r="J3269">
        <v>-186.50290000000001</v>
      </c>
      <c r="K3269">
        <v>1.109958</v>
      </c>
      <c r="L3269">
        <v>33.603940000000001</v>
      </c>
      <c r="M3269">
        <v>-1.6627630000000001E-2</v>
      </c>
      <c r="N3269">
        <v>0</v>
      </c>
      <c r="O3269">
        <v>0.99981850000000005</v>
      </c>
      <c r="P3269">
        <v>-8.30544E-2</v>
      </c>
      <c r="Q3269">
        <v>0.14515839999999999</v>
      </c>
      <c r="R3269">
        <v>0.98591629999999997</v>
      </c>
      <c r="S3269">
        <v>-0.1937103</v>
      </c>
      <c r="T3269">
        <v>-0.13986989999999999</v>
      </c>
      <c r="U3269">
        <v>3.0469970000000002</v>
      </c>
      <c r="V3269">
        <v>-6.6752010000000001E-2</v>
      </c>
      <c r="W3269">
        <v>0.15428729999999999</v>
      </c>
      <c r="X3269">
        <v>0.98576859999999999</v>
      </c>
      <c r="Y3269">
        <v>-4.6775959999999998E-2</v>
      </c>
      <c r="Z3269">
        <v>-4.5775200000000002E-2</v>
      </c>
      <c r="AA3269">
        <v>0.99785599999999997</v>
      </c>
      <c r="AB3269">
        <v>36</v>
      </c>
      <c r="AC3269">
        <v>-1.5314999999999901</v>
      </c>
      <c r="AD3269">
        <v>-1.10996170077</v>
      </c>
      <c r="AE3269">
        <v>23.842659999999899</v>
      </c>
      <c r="AF3269">
        <v>-1.1323801269956899</v>
      </c>
      <c r="AG3269">
        <v>-1.10996170077</v>
      </c>
      <c r="AH3269">
        <v>23.813432508116499</v>
      </c>
      <c r="AI3269">
        <v>92.665659410146006</v>
      </c>
      <c r="AJ3269">
        <v>92.722487212140194</v>
      </c>
      <c r="AK3269">
        <v>23.866165748770999</v>
      </c>
      <c r="AL3269">
        <v>81.124536261762401</v>
      </c>
      <c r="AM3269">
        <v>93.873909831353899</v>
      </c>
      <c r="AN3269">
        <v>1.0000000672631399</v>
      </c>
    </row>
    <row r="3270" spans="1:40" x14ac:dyDescent="0.3">
      <c r="A3270" t="str">
        <f>"20200111150919965"</f>
        <v>20200111150919965</v>
      </c>
      <c r="B3270" t="str">
        <f>"1578726559957772"</f>
        <v>1578726559957772</v>
      </c>
      <c r="C3270" t="s">
        <v>40</v>
      </c>
      <c r="D3270">
        <v>4.9394939999999998</v>
      </c>
      <c r="E3270">
        <v>0.508071099999999</v>
      </c>
      <c r="F3270" t="s">
        <v>43</v>
      </c>
      <c r="G3270">
        <v>-188.2499</v>
      </c>
      <c r="H3270" s="1">
        <v>-9.7712600000000001E-7</v>
      </c>
      <c r="I3270">
        <v>61.151040000000002</v>
      </c>
      <c r="J3270">
        <v>-186.50980000000001</v>
      </c>
      <c r="K3270">
        <v>1.10996299999999</v>
      </c>
      <c r="L3270">
        <v>33.994019999999999</v>
      </c>
      <c r="M3270">
        <v>-1.6961839999999999E-2</v>
      </c>
      <c r="N3270">
        <v>0</v>
      </c>
      <c r="O3270">
        <v>0.9998127</v>
      </c>
      <c r="P3270">
        <v>-8.3327300000000007E-2</v>
      </c>
      <c r="Q3270">
        <v>0.14534710000000001</v>
      </c>
      <c r="R3270">
        <v>0.98586549999999995</v>
      </c>
      <c r="S3270">
        <v>-0.1930847</v>
      </c>
      <c r="T3270">
        <v>-0.1226783</v>
      </c>
      <c r="U3270">
        <v>3.0446469999999999</v>
      </c>
      <c r="V3270">
        <v>-6.6696169999999999E-2</v>
      </c>
      <c r="W3270">
        <v>0.15450079999999999</v>
      </c>
      <c r="X3270">
        <v>0.98573889999999997</v>
      </c>
      <c r="Y3270">
        <v>-4.6301809999999999E-2</v>
      </c>
      <c r="Z3270">
        <v>-4.0189879999999997E-2</v>
      </c>
      <c r="AA3270">
        <v>0.99811870000000003</v>
      </c>
      <c r="AB3270">
        <v>36</v>
      </c>
      <c r="AC3270">
        <v>-1.74009999999998</v>
      </c>
      <c r="AD3270">
        <v>-1.1099639771259899</v>
      </c>
      <c r="AE3270">
        <v>27.157019999999999</v>
      </c>
      <c r="AF3270">
        <v>-1.2770719482101101</v>
      </c>
      <c r="AG3270">
        <v>-1.1099639771259899</v>
      </c>
      <c r="AH3270">
        <v>27.137480833322499</v>
      </c>
      <c r="AI3270">
        <v>92.339592154295403</v>
      </c>
      <c r="AJ3270">
        <v>92.694313839082</v>
      </c>
      <c r="AK3270">
        <v>27.190178351205599</v>
      </c>
      <c r="AL3270">
        <v>81.112154801083193</v>
      </c>
      <c r="AM3270">
        <v>93.870795315705095</v>
      </c>
      <c r="AN3270">
        <v>1.0000000276332499</v>
      </c>
    </row>
    <row r="3271" spans="1:40" x14ac:dyDescent="0.3">
      <c r="A3271" t="str">
        <f>"20200111150919988"</f>
        <v>20200111150919988</v>
      </c>
      <c r="B3271" t="str">
        <f>"1578726559977291"</f>
        <v>1578726559977291</v>
      </c>
      <c r="C3271" t="s">
        <v>40</v>
      </c>
      <c r="D3271">
        <v>4.9271330000000004</v>
      </c>
      <c r="E3271">
        <v>0.50811139999999999</v>
      </c>
      <c r="F3271" t="s">
        <v>43</v>
      </c>
      <c r="G3271">
        <v>-188.17410000000001</v>
      </c>
      <c r="H3271" s="1">
        <v>-7.4637469999999998E-7</v>
      </c>
      <c r="I3271">
        <v>60.413690000000003</v>
      </c>
      <c r="J3271">
        <v>-186.51609999999999</v>
      </c>
      <c r="K3271">
        <v>1.1099680000000001</v>
      </c>
      <c r="L3271">
        <v>34.350070000000002</v>
      </c>
      <c r="M3271">
        <v>-1.726691E-2</v>
      </c>
      <c r="N3271">
        <v>0</v>
      </c>
      <c r="O3271">
        <v>0.99980720000000001</v>
      </c>
      <c r="P3271">
        <v>-8.3604440000000002E-2</v>
      </c>
      <c r="Q3271">
        <v>0.14531549999999999</v>
      </c>
      <c r="R3271">
        <v>0.98584669999999996</v>
      </c>
      <c r="S3271">
        <v>-0.19186400000000001</v>
      </c>
      <c r="T3271">
        <v>-0.1279564</v>
      </c>
      <c r="U3271">
        <v>3.0456539999999999</v>
      </c>
      <c r="V3271">
        <v>-6.6673220000000005E-2</v>
      </c>
      <c r="W3271">
        <v>0.154492299999999</v>
      </c>
      <c r="X3271">
        <v>0.98574170000000005</v>
      </c>
      <c r="Y3271">
        <v>-4.5573259999999997E-2</v>
      </c>
      <c r="Z3271">
        <v>-4.190311E-2</v>
      </c>
      <c r="AA3271">
        <v>0.99808169999999996</v>
      </c>
      <c r="AB3271">
        <v>36</v>
      </c>
      <c r="AC3271">
        <v>-1.6580000000000099</v>
      </c>
      <c r="AD3271">
        <v>-1.1099687463746899</v>
      </c>
      <c r="AE3271">
        <v>26.06362</v>
      </c>
      <c r="AF3271">
        <v>-1.20551737690092</v>
      </c>
      <c r="AG3271">
        <v>-1.1099687463746899</v>
      </c>
      <c r="AH3271">
        <v>26.0413244374489</v>
      </c>
      <c r="AI3271">
        <v>92.438053515115399</v>
      </c>
      <c r="AJ3271">
        <v>92.650471243538206</v>
      </c>
      <c r="AK3271">
        <v>26.0928319892727</v>
      </c>
      <c r="AL3271">
        <v>81.112646985020007</v>
      </c>
      <c r="AM3271">
        <v>93.869456472962497</v>
      </c>
      <c r="AN3271">
        <v>0.99999994407167203</v>
      </c>
    </row>
    <row r="3272" spans="1:40" x14ac:dyDescent="0.3">
      <c r="A3272" t="str">
        <f>"20200111150920009"</f>
        <v>20200111150920009</v>
      </c>
      <c r="B3272" t="str">
        <f>"1578726559997787"</f>
        <v>1578726559997787</v>
      </c>
      <c r="C3272" t="s">
        <v>40</v>
      </c>
      <c r="D3272">
        <v>4.901548</v>
      </c>
      <c r="E3272">
        <v>0.50836700000000001</v>
      </c>
      <c r="F3272" t="s">
        <v>43</v>
      </c>
      <c r="G3272">
        <v>-188.11920000000001</v>
      </c>
      <c r="H3272" s="1">
        <v>-5.4902200000000003E-7</v>
      </c>
      <c r="I3272">
        <v>59.790880000000001</v>
      </c>
      <c r="J3272">
        <v>-186.5223</v>
      </c>
      <c r="K3272">
        <v>1.109964</v>
      </c>
      <c r="L3272">
        <v>34.692929999999997</v>
      </c>
      <c r="M3272">
        <v>-1.756067E-2</v>
      </c>
      <c r="N3272">
        <v>0</v>
      </c>
      <c r="O3272">
        <v>0.99980190000000002</v>
      </c>
      <c r="P3272">
        <v>-8.3632919999999999E-2</v>
      </c>
      <c r="Q3272">
        <v>0.14535379999999901</v>
      </c>
      <c r="R3272">
        <v>0.98583869999999896</v>
      </c>
      <c r="S3272">
        <v>-0.1919708</v>
      </c>
      <c r="T3272">
        <v>-0.13291220000000001</v>
      </c>
      <c r="U3272">
        <v>3.0463870000000002</v>
      </c>
      <c r="V3272">
        <v>-6.6411659999999997E-2</v>
      </c>
      <c r="W3272">
        <v>0.15455629999999901</v>
      </c>
      <c r="X3272">
        <v>0.9857494</v>
      </c>
      <c r="Y3272">
        <v>-4.5295240000000001E-2</v>
      </c>
      <c r="Z3272">
        <v>-4.3512500000000003E-2</v>
      </c>
      <c r="AA3272">
        <v>0.99802550000000001</v>
      </c>
      <c r="AB3272">
        <v>36</v>
      </c>
      <c r="AC3272">
        <v>-1.5969</v>
      </c>
      <c r="AD3272">
        <v>-1.109964549022</v>
      </c>
      <c r="AE3272">
        <v>25.097950000000001</v>
      </c>
      <c r="AF3272">
        <v>-1.1536502709655601</v>
      </c>
      <c r="AG3272">
        <v>-1.109964549022</v>
      </c>
      <c r="AH3272">
        <v>25.073280868508899</v>
      </c>
      <c r="AI3272">
        <v>92.532086244163693</v>
      </c>
      <c r="AJ3272">
        <v>92.634386239504707</v>
      </c>
      <c r="AK3272">
        <v>25.1243376780149</v>
      </c>
      <c r="AL3272">
        <v>81.108936147774799</v>
      </c>
      <c r="AM3272">
        <v>93.854292367473406</v>
      </c>
      <c r="AN3272">
        <v>1.000000019027</v>
      </c>
    </row>
    <row r="3273" spans="1:40" x14ac:dyDescent="0.3">
      <c r="A3273" t="str">
        <f>"20200111150920063"</f>
        <v>20200111150920063</v>
      </c>
      <c r="B3273" t="str">
        <f>"1578726560057323"</f>
        <v>1578726560057323</v>
      </c>
      <c r="C3273" t="s">
        <v>40</v>
      </c>
      <c r="D3273">
        <v>4.3540960000000002</v>
      </c>
      <c r="E3273">
        <v>0.50799289999999997</v>
      </c>
      <c r="F3273" t="s">
        <v>43</v>
      </c>
      <c r="G3273">
        <v>-188.02250000000001</v>
      </c>
      <c r="H3273" s="1">
        <v>-4.2469760000000003E-6</v>
      </c>
      <c r="I3273">
        <v>58.7149</v>
      </c>
      <c r="J3273">
        <v>-186.53829999999999</v>
      </c>
      <c r="K3273">
        <v>1.1099600000000001</v>
      </c>
      <c r="L3273">
        <v>35.554600000000001</v>
      </c>
      <c r="M3273">
        <v>-1.8298720000000001E-2</v>
      </c>
      <c r="N3273">
        <v>0</v>
      </c>
      <c r="O3273">
        <v>0.99978800000000001</v>
      </c>
      <c r="P3273">
        <v>-8.4846690000000002E-2</v>
      </c>
      <c r="Q3273">
        <v>0.14423559999999999</v>
      </c>
      <c r="R3273">
        <v>0.98589919999999998</v>
      </c>
      <c r="S3273">
        <v>-0.19033810000000001</v>
      </c>
      <c r="T3273">
        <v>-0.14082449999999999</v>
      </c>
      <c r="U3273">
        <v>3.0477289999999999</v>
      </c>
      <c r="V3273">
        <v>-6.6895170000000004E-2</v>
      </c>
      <c r="W3273">
        <v>0.15350239999999901</v>
      </c>
      <c r="X3273">
        <v>0.98588129999999996</v>
      </c>
      <c r="Y3273">
        <v>-4.3990399999999999E-2</v>
      </c>
      <c r="Z3273">
        <v>-4.6078420000000002E-2</v>
      </c>
      <c r="AA3273">
        <v>0.99796870000000004</v>
      </c>
      <c r="AB3273">
        <v>36</v>
      </c>
      <c r="AC3273">
        <v>-1.48420000000001</v>
      </c>
      <c r="AD3273">
        <v>-1.109964246976</v>
      </c>
      <c r="AE3273">
        <v>23.160299999999999</v>
      </c>
      <c r="AF3273">
        <v>-1.0577092941761099</v>
      </c>
      <c r="AG3273">
        <v>-1.109964246976</v>
      </c>
      <c r="AH3273">
        <v>23.1306719385354</v>
      </c>
      <c r="AI3273">
        <v>92.744463526951506</v>
      </c>
      <c r="AJ3273">
        <v>92.618172597456393</v>
      </c>
      <c r="AK3273">
        <v>23.181431230808499</v>
      </c>
      <c r="AL3273">
        <v>81.170048814953304</v>
      </c>
      <c r="AM3273">
        <v>93.881750219239706</v>
      </c>
      <c r="AN3273">
        <v>0.99999994413238702</v>
      </c>
    </row>
    <row r="3274" spans="1:40" x14ac:dyDescent="0.3">
      <c r="A3274" t="str">
        <f>"20200111150920198"</f>
        <v>20200111150920198</v>
      </c>
      <c r="B3274" t="str">
        <f>"1578726560187954"</f>
        <v>1578726560187954</v>
      </c>
      <c r="C3274" t="s">
        <v>40</v>
      </c>
      <c r="D3274">
        <v>4.7148599999999998</v>
      </c>
      <c r="E3274">
        <v>0.47141620000000001</v>
      </c>
      <c r="F3274" t="s">
        <v>41</v>
      </c>
      <c r="G3274">
        <v>-186.6345</v>
      </c>
      <c r="H3274">
        <v>0.83649649999999998</v>
      </c>
      <c r="I3274">
        <v>38.067489999999999</v>
      </c>
      <c r="J3274">
        <v>-186.58160000000001</v>
      </c>
      <c r="K3274">
        <v>1.1099909999999999</v>
      </c>
      <c r="L3274">
        <v>37.738039999999998</v>
      </c>
      <c r="M3274">
        <v>-2.016563E-2</v>
      </c>
      <c r="N3274">
        <v>0</v>
      </c>
      <c r="O3274">
        <v>0.99975029999999998</v>
      </c>
      <c r="P3274">
        <v>-8.6671429999999994E-2</v>
      </c>
      <c r="Q3274">
        <v>0.1449329</v>
      </c>
      <c r="R3274">
        <v>0.98563809999999996</v>
      </c>
      <c r="S3274">
        <v>-0.28211979999999998</v>
      </c>
      <c r="T3274">
        <v>-1.2803180000000001</v>
      </c>
      <c r="U3274">
        <v>3.2072449999999999</v>
      </c>
      <c r="V3274">
        <v>-6.6883059999999994E-2</v>
      </c>
      <c r="W3274">
        <v>0.15438389999999999</v>
      </c>
      <c r="X3274">
        <v>0.98574450000000002</v>
      </c>
      <c r="Y3274">
        <v>-6.1310900000000002E-2</v>
      </c>
      <c r="Z3274">
        <v>-0.36968289999999998</v>
      </c>
      <c r="AA3274">
        <v>0.92713299999999998</v>
      </c>
      <c r="AB3274">
        <v>36</v>
      </c>
      <c r="AC3274">
        <v>-5.2899999999993903E-2</v>
      </c>
      <c r="AD3274">
        <v>-0.27349449999999997</v>
      </c>
      <c r="AE3274">
        <v>0.32944999999999403</v>
      </c>
      <c r="AF3274">
        <v>-2.7661440263003E-2</v>
      </c>
      <c r="AG3274">
        <v>-0.27349449999999997</v>
      </c>
      <c r="AH3274">
        <v>0.197656939286939</v>
      </c>
      <c r="AI3274">
        <v>143.87983208070699</v>
      </c>
      <c r="AJ3274">
        <v>97.966616314944702</v>
      </c>
      <c r="AK3274">
        <v>0.33857445629573801</v>
      </c>
      <c r="AL3274">
        <v>81.118933551713496</v>
      </c>
      <c r="AM3274">
        <v>93.881586614947395</v>
      </c>
      <c r="AN3274">
        <v>0.999999975787211</v>
      </c>
    </row>
    <row r="3275" spans="1:40" x14ac:dyDescent="0.3">
      <c r="A3275" t="str">
        <f>"20200111150920221"</f>
        <v>20200111150920221</v>
      </c>
      <c r="B3275" t="str">
        <f>"1578726560217234"</f>
        <v>1578726560217234</v>
      </c>
      <c r="C3275" t="s">
        <v>40</v>
      </c>
      <c r="D3275">
        <v>5.1763659999999998</v>
      </c>
      <c r="E3275">
        <v>0.48570000000000002</v>
      </c>
      <c r="F3275" t="s">
        <v>43</v>
      </c>
      <c r="G3275">
        <v>-187.60169999999999</v>
      </c>
      <c r="H3275" s="1">
        <v>-2.3189470000000002E-6</v>
      </c>
      <c r="I3275">
        <v>44.04663</v>
      </c>
      <c r="J3275">
        <v>-186.5891</v>
      </c>
      <c r="K3275">
        <v>1.1099950000000001</v>
      </c>
      <c r="L3275">
        <v>38.091160000000002</v>
      </c>
      <c r="M3275">
        <v>-2.0467030000000001E-2</v>
      </c>
      <c r="N3275">
        <v>0</v>
      </c>
      <c r="O3275">
        <v>0.99974379999999996</v>
      </c>
      <c r="P3275">
        <v>-8.6636149999999995E-2</v>
      </c>
      <c r="Q3275">
        <v>0.14473440000000001</v>
      </c>
      <c r="R3275">
        <v>0.98567039999999995</v>
      </c>
      <c r="S3275">
        <v>-0.4979401</v>
      </c>
      <c r="T3275">
        <v>-0.54185240000000001</v>
      </c>
      <c r="U3275">
        <v>3.07959</v>
      </c>
      <c r="V3275">
        <v>-6.6550059999999994E-2</v>
      </c>
      <c r="W3275">
        <v>0.15422420000000001</v>
      </c>
      <c r="X3275">
        <v>0.985792</v>
      </c>
      <c r="Y3275">
        <v>-0.137019</v>
      </c>
      <c r="Z3275">
        <v>-0.17133899999999999</v>
      </c>
      <c r="AA3275">
        <v>0.97563759999999999</v>
      </c>
      <c r="AB3275">
        <v>36</v>
      </c>
      <c r="AC3275">
        <v>-1.01259999999999</v>
      </c>
      <c r="AD3275">
        <v>-1.109997318947</v>
      </c>
      <c r="AE3275">
        <v>5.95547</v>
      </c>
      <c r="AF3275">
        <v>-0.861408105879505</v>
      </c>
      <c r="AG3275">
        <v>-1.109997318947</v>
      </c>
      <c r="AH3275">
        <v>5.7798075509744002</v>
      </c>
      <c r="AI3275">
        <v>100.755171335882</v>
      </c>
      <c r="AJ3275">
        <v>98.476824698020806</v>
      </c>
      <c r="AK3275">
        <v>5.9481335979654197</v>
      </c>
      <c r="AL3275">
        <v>81.1281942909213</v>
      </c>
      <c r="AM3275">
        <v>93.862133916743304</v>
      </c>
      <c r="AN3275">
        <v>0.99999994080781995</v>
      </c>
    </row>
    <row r="3276" spans="1:40" x14ac:dyDescent="0.3">
      <c r="A3276" t="str">
        <f>"20200111150920242"</f>
        <v>20200111150920242</v>
      </c>
      <c r="B3276" t="str">
        <f>"1578726560237730"</f>
        <v>1578726560237730</v>
      </c>
      <c r="C3276" t="s">
        <v>40</v>
      </c>
      <c r="D3276">
        <v>4.9878210000000003</v>
      </c>
      <c r="E3276">
        <v>0.48882409999999998</v>
      </c>
      <c r="F3276" t="s">
        <v>43</v>
      </c>
      <c r="G3276">
        <v>-188.1849</v>
      </c>
      <c r="H3276" s="1">
        <v>-8.9201669999999895E-7</v>
      </c>
      <c r="I3276">
        <v>50.850110000000001</v>
      </c>
      <c r="J3276">
        <v>-186.59649999999999</v>
      </c>
      <c r="K3276">
        <v>1.1100049999999999</v>
      </c>
      <c r="L3276">
        <v>38.441499999999998</v>
      </c>
      <c r="M3276">
        <v>-2.0766E-2</v>
      </c>
      <c r="N3276">
        <v>0</v>
      </c>
      <c r="O3276">
        <v>0.99973730000000005</v>
      </c>
      <c r="P3276">
        <v>-8.6049009999999995E-2</v>
      </c>
      <c r="Q3276">
        <v>0.1444916</v>
      </c>
      <c r="R3276">
        <v>0.98575749999999995</v>
      </c>
      <c r="S3276">
        <v>-0.3813629</v>
      </c>
      <c r="T3276">
        <v>-0.26525860000000001</v>
      </c>
      <c r="U3276">
        <v>3.049042</v>
      </c>
      <c r="V3276">
        <v>-6.5666089999999996E-2</v>
      </c>
      <c r="W3276">
        <v>0.15401970000000001</v>
      </c>
      <c r="X3276">
        <v>0.98588330000000002</v>
      </c>
      <c r="Y3276">
        <v>-0.1030156</v>
      </c>
      <c r="Z3276">
        <v>-8.6078840000000004E-2</v>
      </c>
      <c r="AA3276">
        <v>0.9909481</v>
      </c>
      <c r="AB3276">
        <v>36</v>
      </c>
      <c r="AC3276">
        <v>-1.5884</v>
      </c>
      <c r="AD3276">
        <v>-1.1100058920167</v>
      </c>
      <c r="AE3276">
        <v>12.408609999999999</v>
      </c>
      <c r="AF3276">
        <v>-1.3199758320936199</v>
      </c>
      <c r="AG3276">
        <v>-1.1100058920167</v>
      </c>
      <c r="AH3276">
        <v>12.341752446771199</v>
      </c>
      <c r="AI3276">
        <v>95.110313234062104</v>
      </c>
      <c r="AJ3276">
        <v>96.104695472211404</v>
      </c>
      <c r="AK3276">
        <v>12.4616733521227</v>
      </c>
      <c r="AL3276">
        <v>81.140053427832996</v>
      </c>
      <c r="AM3276">
        <v>93.810634329316002</v>
      </c>
      <c r="AN3276">
        <v>0.99999999229143399</v>
      </c>
    </row>
    <row r="3277" spans="1:40" x14ac:dyDescent="0.3">
      <c r="A3277" t="str">
        <f>"20200111150920266"</f>
        <v>20200111150920266</v>
      </c>
      <c r="B3277" t="str">
        <f>"1578726560257249"</f>
        <v>1578726560257249</v>
      </c>
      <c r="C3277" t="s">
        <v>40</v>
      </c>
      <c r="D3277">
        <v>4.9286469999999998</v>
      </c>
      <c r="E3277">
        <v>0.49025089999999999</v>
      </c>
      <c r="F3277" t="s">
        <v>43</v>
      </c>
      <c r="G3277">
        <v>-188.01840000000001</v>
      </c>
      <c r="H3277" s="1">
        <v>-8.7333759999999999E-7</v>
      </c>
      <c r="I3277">
        <v>50.66507</v>
      </c>
      <c r="J3277">
        <v>-186.6046</v>
      </c>
      <c r="K3277">
        <v>1.1100110000000001</v>
      </c>
      <c r="L3277">
        <v>38.817779999999999</v>
      </c>
      <c r="M3277">
        <v>-2.108699E-2</v>
      </c>
      <c r="N3277">
        <v>0</v>
      </c>
      <c r="O3277">
        <v>0.99973020000000001</v>
      </c>
      <c r="P3277">
        <v>-8.5880620000000005E-2</v>
      </c>
      <c r="Q3277">
        <v>0.14473259999999999</v>
      </c>
      <c r="R3277">
        <v>0.98573679999999997</v>
      </c>
      <c r="S3277">
        <v>-0.35514829999999997</v>
      </c>
      <c r="T3277">
        <v>-0.2772367</v>
      </c>
      <c r="U3277">
        <v>3.0529790000000001</v>
      </c>
      <c r="V3277">
        <v>-6.5181840000000005E-2</v>
      </c>
      <c r="W3277">
        <v>0.15429770000000001</v>
      </c>
      <c r="X3277">
        <v>0.98587199999999997</v>
      </c>
      <c r="Y3277">
        <v>-9.4109010000000007E-2</v>
      </c>
      <c r="Z3277">
        <v>-8.9905269999999995E-2</v>
      </c>
      <c r="AA3277">
        <v>0.99149410000000004</v>
      </c>
      <c r="AB3277">
        <v>36</v>
      </c>
      <c r="AC3277">
        <v>-1.4137999999999999</v>
      </c>
      <c r="AD3277">
        <v>-1.1100118733376001</v>
      </c>
      <c r="AE3277">
        <v>11.847289999999999</v>
      </c>
      <c r="AF3277">
        <v>-1.1536648909496201</v>
      </c>
      <c r="AG3277">
        <v>-1.1100118733376001</v>
      </c>
      <c r="AH3277">
        <v>11.772575884605599</v>
      </c>
      <c r="AI3277">
        <v>95.360847912886697</v>
      </c>
      <c r="AJ3277">
        <v>95.596884627016095</v>
      </c>
      <c r="AK3277">
        <v>11.8809348116366</v>
      </c>
      <c r="AL3277">
        <v>81.123932798429095</v>
      </c>
      <c r="AM3277">
        <v>93.782658186221596</v>
      </c>
      <c r="AN3277">
        <v>1.0000000264375299</v>
      </c>
    </row>
    <row r="3278" spans="1:40" x14ac:dyDescent="0.3">
      <c r="A3278" t="str">
        <f>"20200111150920287"</f>
        <v>20200111150920287</v>
      </c>
      <c r="B3278" t="str">
        <f>"1578726560277699"</f>
        <v>1578726560277699</v>
      </c>
      <c r="C3278" t="s">
        <v>40</v>
      </c>
      <c r="D3278">
        <v>4.9721859999999998</v>
      </c>
      <c r="E3278">
        <v>0.49205070000000001</v>
      </c>
      <c r="F3278" t="s">
        <v>43</v>
      </c>
      <c r="G3278">
        <v>-187.977</v>
      </c>
      <c r="H3278" s="1">
        <v>-1.000793E-6</v>
      </c>
      <c r="I3278">
        <v>51.007219999999997</v>
      </c>
      <c r="J3278">
        <v>-186.61250000000001</v>
      </c>
      <c r="K3278">
        <v>1.110009</v>
      </c>
      <c r="L3278">
        <v>39.180509999999998</v>
      </c>
      <c r="M3278">
        <v>-2.1396289999999998E-2</v>
      </c>
      <c r="N3278">
        <v>0</v>
      </c>
      <c r="O3278">
        <v>0.99972329999999998</v>
      </c>
      <c r="P3278">
        <v>-8.6037849999999999E-2</v>
      </c>
      <c r="Q3278">
        <v>0.1451182</v>
      </c>
      <c r="R3278">
        <v>0.98566640000000005</v>
      </c>
      <c r="S3278">
        <v>-0.34388730000000001</v>
      </c>
      <c r="T3278">
        <v>-0.27813399999999999</v>
      </c>
      <c r="U3278">
        <v>3.0542910000000001</v>
      </c>
      <c r="V3278">
        <v>-6.5035099999999998E-2</v>
      </c>
      <c r="W3278">
        <v>0.15471599999999999</v>
      </c>
      <c r="X3278">
        <v>0.98581609999999997</v>
      </c>
      <c r="Y3278">
        <v>-9.0140129999999999E-2</v>
      </c>
      <c r="Z3278">
        <v>-9.0190080000000006E-2</v>
      </c>
      <c r="AA3278">
        <v>0.99183699999999997</v>
      </c>
      <c r="AB3278">
        <v>36</v>
      </c>
      <c r="AC3278">
        <v>-1.3644999999999901</v>
      </c>
      <c r="AD3278">
        <v>-1.1100100007930001</v>
      </c>
      <c r="AE3278">
        <v>11.82671</v>
      </c>
      <c r="AF3278">
        <v>-1.1015517127386401</v>
      </c>
      <c r="AG3278">
        <v>-1.1100100007930001</v>
      </c>
      <c r="AH3278">
        <v>11.751043959658899</v>
      </c>
      <c r="AI3278">
        <v>95.372763081309898</v>
      </c>
      <c r="AJ3278">
        <v>95.355299860879299</v>
      </c>
      <c r="AK3278">
        <v>11.8546435003138</v>
      </c>
      <c r="AL3278">
        <v>81.099674384455298</v>
      </c>
      <c r="AM3278">
        <v>93.774380545365204</v>
      </c>
      <c r="AN3278">
        <v>0.99999999395360994</v>
      </c>
    </row>
    <row r="3279" spans="1:40" x14ac:dyDescent="0.3">
      <c r="A3279" t="str">
        <f>"20200111150920310"</f>
        <v>20200111150920310</v>
      </c>
      <c r="B3279" t="str">
        <f>"1578726560307955"</f>
        <v>1578726560307955</v>
      </c>
      <c r="C3279" t="s">
        <v>40</v>
      </c>
      <c r="D3279">
        <v>4.8545129999999999</v>
      </c>
      <c r="E3279">
        <v>0.494869</v>
      </c>
      <c r="F3279" t="s">
        <v>43</v>
      </c>
      <c r="G3279">
        <v>-187.92509999999999</v>
      </c>
      <c r="H3279" s="1">
        <v>-1.1277509999999999E-6</v>
      </c>
      <c r="I3279">
        <v>51.339709999999997</v>
      </c>
      <c r="J3279">
        <v>-186.6206</v>
      </c>
      <c r="K3279">
        <v>1.110009</v>
      </c>
      <c r="L3279">
        <v>39.54477</v>
      </c>
      <c r="M3279">
        <v>-2.1706920000000001E-2</v>
      </c>
      <c r="N3279">
        <v>0</v>
      </c>
      <c r="O3279">
        <v>0.9997163</v>
      </c>
      <c r="P3279">
        <v>-8.5976699999999906E-2</v>
      </c>
      <c r="Q3279">
        <v>0.14522360000000001</v>
      </c>
      <c r="R3279">
        <v>0.98565619999999998</v>
      </c>
      <c r="S3279">
        <v>-0.3298798</v>
      </c>
      <c r="T3279">
        <v>-0.27897290000000002</v>
      </c>
      <c r="U3279">
        <v>3.0559080000000001</v>
      </c>
      <c r="V3279">
        <v>-6.466798E-2</v>
      </c>
      <c r="W3279">
        <v>0.15485170000000001</v>
      </c>
      <c r="X3279">
        <v>0.98581890000000005</v>
      </c>
      <c r="Y3279">
        <v>-8.5276930000000001E-2</v>
      </c>
      <c r="Z3279">
        <v>-9.0453649999999997E-2</v>
      </c>
      <c r="AA3279">
        <v>0.99224290000000004</v>
      </c>
      <c r="AB3279">
        <v>36</v>
      </c>
      <c r="AC3279">
        <v>-1.30449999999999</v>
      </c>
      <c r="AD3279">
        <v>-1.1100101277509999</v>
      </c>
      <c r="AE3279">
        <v>11.794939999999899</v>
      </c>
      <c r="AF3279">
        <v>-1.0390572612558699</v>
      </c>
      <c r="AG3279">
        <v>-1.1100101277509999</v>
      </c>
      <c r="AH3279">
        <v>11.717952593618</v>
      </c>
      <c r="AI3279">
        <v>95.390303302260904</v>
      </c>
      <c r="AJ3279">
        <v>95.067292627171994</v>
      </c>
      <c r="AK3279">
        <v>11.816182778806199</v>
      </c>
      <c r="AL3279">
        <v>81.091804108410898</v>
      </c>
      <c r="AM3279">
        <v>93.753124787460294</v>
      </c>
      <c r="AN3279">
        <v>0.99999995011368903</v>
      </c>
    </row>
    <row r="3280" spans="1:40" x14ac:dyDescent="0.3">
      <c r="A3280" t="str">
        <f>"20200111150920332"</f>
        <v>20200111150920332</v>
      </c>
      <c r="B3280" t="str">
        <f>"1578726560327475"</f>
        <v>1578726560327475</v>
      </c>
      <c r="C3280" t="s">
        <v>40</v>
      </c>
      <c r="D3280">
        <v>4.8840059999999896</v>
      </c>
      <c r="E3280">
        <v>0.49593490000000001</v>
      </c>
      <c r="F3280" t="s">
        <v>43</v>
      </c>
      <c r="G3280">
        <v>-187.86600000000001</v>
      </c>
      <c r="H3280" s="1">
        <v>-1.34535E-6</v>
      </c>
      <c r="I3280">
        <v>51.886429999999997</v>
      </c>
      <c r="J3280">
        <v>-186.62880000000001</v>
      </c>
      <c r="K3280">
        <v>1.1100110000000001</v>
      </c>
      <c r="L3280">
        <v>39.910249999999998</v>
      </c>
      <c r="M3280">
        <v>-2.2018630000000001E-2</v>
      </c>
      <c r="N3280">
        <v>0</v>
      </c>
      <c r="O3280">
        <v>0.99970919999999996</v>
      </c>
      <c r="P3280">
        <v>-8.4877599999999997E-2</v>
      </c>
      <c r="Q3280">
        <v>0.1450661</v>
      </c>
      <c r="R3280">
        <v>0.98577459999999995</v>
      </c>
      <c r="S3280">
        <v>-0.3085022</v>
      </c>
      <c r="T3280">
        <v>-0.27496969999999998</v>
      </c>
      <c r="U3280">
        <v>3.0572509999999999</v>
      </c>
      <c r="V3280">
        <v>-6.3258510000000004E-2</v>
      </c>
      <c r="W3280">
        <v>0.15472359999999999</v>
      </c>
      <c r="X3280">
        <v>0.98593050000000004</v>
      </c>
      <c r="Y3280">
        <v>-7.8065689999999993E-2</v>
      </c>
      <c r="Z3280">
        <v>-8.9184949999999999E-2</v>
      </c>
      <c r="AA3280">
        <v>0.99295100000000003</v>
      </c>
      <c r="AB3280">
        <v>36</v>
      </c>
      <c r="AC3280">
        <v>-1.2371999999999701</v>
      </c>
      <c r="AD3280">
        <v>-1.1100123453499999</v>
      </c>
      <c r="AE3280">
        <v>11.976179999999999</v>
      </c>
      <c r="AF3280">
        <v>-0.96498600904034704</v>
      </c>
      <c r="AG3280">
        <v>-1.1100123453499999</v>
      </c>
      <c r="AH3280">
        <v>11.8993766480801</v>
      </c>
      <c r="AI3280">
        <v>95.311975034901394</v>
      </c>
      <c r="AJ3280">
        <v>94.636284699993695</v>
      </c>
      <c r="AK3280">
        <v>11.989932861252599</v>
      </c>
      <c r="AL3280">
        <v>81.099233604033898</v>
      </c>
      <c r="AM3280">
        <v>93.671135388880302</v>
      </c>
      <c r="AN3280">
        <v>0.99999999115731497</v>
      </c>
    </row>
    <row r="3281" spans="1:40" x14ac:dyDescent="0.3">
      <c r="A3281" t="str">
        <f>"20200111150920355"</f>
        <v>20200111150920355</v>
      </c>
      <c r="B3281" t="str">
        <f>"1578726560347971"</f>
        <v>1578726560347971</v>
      </c>
      <c r="C3281" t="s">
        <v>40</v>
      </c>
      <c r="D3281">
        <v>4.8679329999999998</v>
      </c>
      <c r="E3281">
        <v>0.49622070000000001</v>
      </c>
      <c r="F3281" t="s">
        <v>43</v>
      </c>
      <c r="G3281">
        <v>-187.84530000000001</v>
      </c>
      <c r="H3281" s="1">
        <v>-1.5586789999999901E-6</v>
      </c>
      <c r="I3281">
        <v>52.375140000000002</v>
      </c>
      <c r="J3281">
        <v>-186.6371</v>
      </c>
      <c r="K3281">
        <v>1.1100159999999999</v>
      </c>
      <c r="L3281">
        <v>40.274320000000003</v>
      </c>
      <c r="M3281">
        <v>-2.232905E-2</v>
      </c>
      <c r="N3281">
        <v>0</v>
      </c>
      <c r="O3281">
        <v>0.99970210000000004</v>
      </c>
      <c r="P3281">
        <v>-8.3981509999999995E-2</v>
      </c>
      <c r="Q3281">
        <v>0.1452898</v>
      </c>
      <c r="R3281">
        <v>0.98581839999999998</v>
      </c>
      <c r="S3281">
        <v>-0.29840090000000002</v>
      </c>
      <c r="T3281">
        <v>-0.27228960000000002</v>
      </c>
      <c r="U3281">
        <v>3.0576780000000001</v>
      </c>
      <c r="V3281">
        <v>-6.2055760000000001E-2</v>
      </c>
      <c r="W3281">
        <v>0.15497330000000001</v>
      </c>
      <c r="X3281">
        <v>0.98596779999999995</v>
      </c>
      <c r="Y3281">
        <v>-7.4500810000000001E-2</v>
      </c>
      <c r="Z3281">
        <v>-8.8335730000000001E-2</v>
      </c>
      <c r="AA3281">
        <v>0.99330079999999998</v>
      </c>
      <c r="AB3281">
        <v>36</v>
      </c>
      <c r="AC3281">
        <v>-1.2081999999999999</v>
      </c>
      <c r="AD3281">
        <v>-1.110017558679</v>
      </c>
      <c r="AE3281">
        <v>12.100820000000001</v>
      </c>
      <c r="AF3281">
        <v>-0.92993804081727205</v>
      </c>
      <c r="AG3281">
        <v>-1.110017558679</v>
      </c>
      <c r="AH3281">
        <v>12.0245992544224</v>
      </c>
      <c r="AI3281">
        <v>95.258540139356796</v>
      </c>
      <c r="AJ3281">
        <v>94.422241398800196</v>
      </c>
      <c r="AK3281">
        <v>12.1114784799293</v>
      </c>
      <c r="AL3281">
        <v>81.084752901401899</v>
      </c>
      <c r="AM3281">
        <v>93.601384765684401</v>
      </c>
      <c r="AN3281">
        <v>1.0000000718494499</v>
      </c>
    </row>
    <row r="3282" spans="1:40" x14ac:dyDescent="0.3">
      <c r="A3282" t="str">
        <f>"20200111150920378"</f>
        <v>20200111150920378</v>
      </c>
      <c r="B3282" t="str">
        <f>"1578726560367491"</f>
        <v>1578726560367491</v>
      </c>
      <c r="C3282" t="s">
        <v>40</v>
      </c>
      <c r="D3282">
        <v>4.9729070000000002</v>
      </c>
      <c r="E3282">
        <v>0.49624790000000002</v>
      </c>
      <c r="F3282" t="s">
        <v>43</v>
      </c>
      <c r="G3282">
        <v>-187.84370000000001</v>
      </c>
      <c r="H3282" s="1">
        <v>-1.7791390000000001E-6</v>
      </c>
      <c r="I3282">
        <v>52.888399999999997</v>
      </c>
      <c r="J3282">
        <v>-186.64570000000001</v>
      </c>
      <c r="K3282">
        <v>1.1100190000000001</v>
      </c>
      <c r="L3282">
        <v>40.646790000000003</v>
      </c>
      <c r="M3282">
        <v>-2.2646590000000001E-2</v>
      </c>
      <c r="N3282">
        <v>0</v>
      </c>
      <c r="O3282">
        <v>0.99969470000000005</v>
      </c>
      <c r="P3282">
        <v>-8.3983219999999997E-2</v>
      </c>
      <c r="Q3282">
        <v>0.14514939999999901</v>
      </c>
      <c r="R3282">
        <v>0.98583889999999996</v>
      </c>
      <c r="S3282">
        <v>-0.29251100000000002</v>
      </c>
      <c r="T3282">
        <v>-0.26908949999999998</v>
      </c>
      <c r="U3282">
        <v>3.0578919999999998</v>
      </c>
      <c r="V3282">
        <v>-6.1743319999999997E-2</v>
      </c>
      <c r="W3282">
        <v>0.15485639999999901</v>
      </c>
      <c r="X3282">
        <v>0.98600569999999998</v>
      </c>
      <c r="Y3282">
        <v>-7.2290199999999999E-2</v>
      </c>
      <c r="Z3282">
        <v>-8.7313699999999994E-2</v>
      </c>
      <c r="AA3282">
        <v>0.99355450000000001</v>
      </c>
      <c r="AB3282">
        <v>36</v>
      </c>
      <c r="AC3282">
        <v>-1.198</v>
      </c>
      <c r="AD3282">
        <v>-1.110020779139</v>
      </c>
      <c r="AE3282">
        <v>12.2416099999999</v>
      </c>
      <c r="AF3282">
        <v>-0.91301275438816198</v>
      </c>
      <c r="AG3282">
        <v>-1.110020779139</v>
      </c>
      <c r="AH3282">
        <v>12.166516164372601</v>
      </c>
      <c r="AI3282">
        <v>95.198452568640306</v>
      </c>
      <c r="AJ3282">
        <v>94.291607388292206</v>
      </c>
      <c r="AK3282">
        <v>12.2511164388286</v>
      </c>
      <c r="AL3282">
        <v>81.0915319001939</v>
      </c>
      <c r="AM3282">
        <v>93.583162404392397</v>
      </c>
      <c r="AN3282">
        <v>0.99999999130903605</v>
      </c>
    </row>
    <row r="3283" spans="1:40" x14ac:dyDescent="0.3">
      <c r="A3283" t="str">
        <f>"20200111150920400"</f>
        <v>20200111150920400</v>
      </c>
      <c r="B3283" t="str">
        <f>"1578726560397747"</f>
        <v>1578726560397747</v>
      </c>
      <c r="C3283" t="s">
        <v>40</v>
      </c>
      <c r="D3283">
        <v>4.8638450000000004</v>
      </c>
      <c r="E3283">
        <v>0.49708370000000002</v>
      </c>
      <c r="F3283" t="s">
        <v>43</v>
      </c>
      <c r="G3283">
        <v>-187.91399999999999</v>
      </c>
      <c r="H3283" s="1">
        <v>-2.2274180000000001E-6</v>
      </c>
      <c r="I3283">
        <v>53.962409999999998</v>
      </c>
      <c r="J3283">
        <v>-186.65430000000001</v>
      </c>
      <c r="K3283">
        <v>1.110023</v>
      </c>
      <c r="L3283">
        <v>41.012659999999997</v>
      </c>
      <c r="M3283">
        <v>-2.2958630000000001E-2</v>
      </c>
      <c r="N3283">
        <v>0</v>
      </c>
      <c r="O3283">
        <v>0.9996874</v>
      </c>
      <c r="P3283">
        <v>-8.3717319999999998E-2</v>
      </c>
      <c r="Q3283">
        <v>0.14474479999999901</v>
      </c>
      <c r="R3283">
        <v>0.98592109999999999</v>
      </c>
      <c r="S3283">
        <v>-0.29106140000000003</v>
      </c>
      <c r="T3283">
        <v>-0.2547374</v>
      </c>
      <c r="U3283">
        <v>3.0557859999999999</v>
      </c>
      <c r="V3283">
        <v>-6.1167300000000001E-2</v>
      </c>
      <c r="W3283">
        <v>0.1544739</v>
      </c>
      <c r="X3283">
        <v>0.98610160000000002</v>
      </c>
      <c r="Y3283">
        <v>-7.1613629999999998E-2</v>
      </c>
      <c r="Z3283">
        <v>-8.2748899999999903E-2</v>
      </c>
      <c r="AA3283">
        <v>0.99399400000000004</v>
      </c>
      <c r="AB3283">
        <v>36</v>
      </c>
      <c r="AC3283">
        <v>-1.2597</v>
      </c>
      <c r="AD3283">
        <v>-1.110025227418</v>
      </c>
      <c r="AE3283">
        <v>12.94975</v>
      </c>
      <c r="AF3283">
        <v>-0.95509302455326095</v>
      </c>
      <c r="AG3283">
        <v>-1.110025227418</v>
      </c>
      <c r="AH3283">
        <v>12.8814984030624</v>
      </c>
      <c r="AI3283">
        <v>94.911712432412699</v>
      </c>
      <c r="AJ3283">
        <v>94.2404112562552</v>
      </c>
      <c r="AK3283">
        <v>12.9644652723956</v>
      </c>
      <c r="AL3283">
        <v>81.113714492670198</v>
      </c>
      <c r="AM3283">
        <v>93.549475656959004</v>
      </c>
      <c r="AN3283">
        <v>0.99999999494653002</v>
      </c>
    </row>
    <row r="3284" spans="1:40" x14ac:dyDescent="0.3">
      <c r="A3284" t="str">
        <f>"20200111150920423"</f>
        <v>20200111150920423</v>
      </c>
      <c r="B3284" t="str">
        <f>"1578726560417267"</f>
        <v>1578726560417267</v>
      </c>
      <c r="C3284" t="s">
        <v>40</v>
      </c>
      <c r="D3284">
        <v>4.9006869999999996</v>
      </c>
      <c r="E3284">
        <v>0.49715619999999999</v>
      </c>
      <c r="F3284" t="s">
        <v>43</v>
      </c>
      <c r="G3284">
        <v>-187.9965</v>
      </c>
      <c r="H3284" s="1">
        <v>-2.8422149999999999E-6</v>
      </c>
      <c r="I3284">
        <v>55.429630000000003</v>
      </c>
      <c r="J3284">
        <v>-186.66309999999999</v>
      </c>
      <c r="K3284">
        <v>1.110023</v>
      </c>
      <c r="L3284">
        <v>41.383240000000001</v>
      </c>
      <c r="M3284">
        <v>-2.3274380000000001E-2</v>
      </c>
      <c r="N3284">
        <v>0</v>
      </c>
      <c r="O3284">
        <v>0.99967989999999995</v>
      </c>
      <c r="P3284">
        <v>-8.3714720000000006E-2</v>
      </c>
      <c r="Q3284">
        <v>0.1452668</v>
      </c>
      <c r="R3284">
        <v>0.98584450000000001</v>
      </c>
      <c r="S3284">
        <v>-0.28425600000000001</v>
      </c>
      <c r="T3284">
        <v>-0.23508109999999999</v>
      </c>
      <c r="U3284">
        <v>3.053223</v>
      </c>
      <c r="V3284">
        <v>-6.0854569999999997E-2</v>
      </c>
      <c r="W3284">
        <v>0.15501470000000001</v>
      </c>
      <c r="X3284">
        <v>0.98603609999999997</v>
      </c>
      <c r="Y3284">
        <v>-6.9227529999999995E-2</v>
      </c>
      <c r="Z3284">
        <v>-7.6479699999999998E-2</v>
      </c>
      <c r="AA3284">
        <v>0.99466500000000002</v>
      </c>
      <c r="AB3284">
        <v>37</v>
      </c>
      <c r="AC3284">
        <v>-1.3334000000000099</v>
      </c>
      <c r="AD3284">
        <v>-1.110025842215</v>
      </c>
      <c r="AE3284">
        <v>14.046390000000001</v>
      </c>
      <c r="AF3284">
        <v>-0.99991291331629994</v>
      </c>
      <c r="AG3284">
        <v>-1.110025842215</v>
      </c>
      <c r="AH3284">
        <v>13.9870503750392</v>
      </c>
      <c r="AI3284">
        <v>94.526035886158795</v>
      </c>
      <c r="AJ3284">
        <v>94.089031614760401</v>
      </c>
      <c r="AK3284">
        <v>14.0666115819868</v>
      </c>
      <c r="AL3284">
        <v>81.082351313232294</v>
      </c>
      <c r="AM3284">
        <v>93.531608284004705</v>
      </c>
      <c r="AN3284">
        <v>1.0000000132045901</v>
      </c>
    </row>
    <row r="3285" spans="1:40" x14ac:dyDescent="0.3">
      <c r="A3285" t="str">
        <f>"20200111150920444"</f>
        <v>20200111150920444</v>
      </c>
      <c r="B3285" t="str">
        <f>"1578726560437763"</f>
        <v>1578726560437763</v>
      </c>
      <c r="C3285" t="s">
        <v>40</v>
      </c>
      <c r="D3285">
        <v>4.9234879999999999</v>
      </c>
      <c r="E3285">
        <v>0.4970058</v>
      </c>
      <c r="F3285" t="s">
        <v>43</v>
      </c>
      <c r="G3285">
        <v>-188.08199999999999</v>
      </c>
      <c r="H3285" s="1">
        <v>-3.3406939999999999E-6</v>
      </c>
      <c r="I3285">
        <v>56.626939999999998</v>
      </c>
      <c r="J3285">
        <v>-186.6712</v>
      </c>
      <c r="K3285">
        <v>1.1100209999999999</v>
      </c>
      <c r="L3285">
        <v>41.720179999999999</v>
      </c>
      <c r="M3285">
        <v>-2.35613E-2</v>
      </c>
      <c r="N3285">
        <v>0</v>
      </c>
      <c r="O3285">
        <v>0.99967300000000003</v>
      </c>
      <c r="P3285">
        <v>-8.5069679999999995E-2</v>
      </c>
      <c r="Q3285">
        <v>0.14557800000000001</v>
      </c>
      <c r="R3285">
        <v>0.98568259999999996</v>
      </c>
      <c r="S3285">
        <v>-0.28405760000000002</v>
      </c>
      <c r="T3285">
        <v>-0.22222059999999999</v>
      </c>
      <c r="U3285">
        <v>3.0516969999999999</v>
      </c>
      <c r="V3285">
        <v>-6.1930390000000002E-2</v>
      </c>
      <c r="W3285">
        <v>0.15533930000000001</v>
      </c>
      <c r="X3285">
        <v>0.98591799999999996</v>
      </c>
      <c r="Y3285">
        <v>-6.8951540000000006E-2</v>
      </c>
      <c r="Z3285">
        <v>-7.2354310000000005E-2</v>
      </c>
      <c r="AA3285">
        <v>0.99499269999999995</v>
      </c>
      <c r="AB3285">
        <v>37</v>
      </c>
      <c r="AC3285">
        <v>-1.4107999999999901</v>
      </c>
      <c r="AD3285">
        <v>-1.110024340694</v>
      </c>
      <c r="AE3285">
        <v>14.90676</v>
      </c>
      <c r="AF3285">
        <v>-1.0533792325918301</v>
      </c>
      <c r="AG3285">
        <v>-1.110024340694</v>
      </c>
      <c r="AH3285">
        <v>14.8542284010312</v>
      </c>
      <c r="AI3285">
        <v>94.262980474178804</v>
      </c>
      <c r="AJ3285">
        <v>94.056307466147203</v>
      </c>
      <c r="AK3285">
        <v>14.9328451152013</v>
      </c>
      <c r="AL3285">
        <v>81.063524819080698</v>
      </c>
      <c r="AM3285">
        <v>93.594309119810802</v>
      </c>
      <c r="AN3285">
        <v>0.99999998702701998</v>
      </c>
    </row>
    <row r="3286" spans="1:40" x14ac:dyDescent="0.3">
      <c r="A3286" t="str">
        <f>"20200111150920467"</f>
        <v>20200111150920467</v>
      </c>
      <c r="B3286" t="str">
        <f>"1578726560457283"</f>
        <v>1578726560457283</v>
      </c>
      <c r="C3286" t="s">
        <v>40</v>
      </c>
      <c r="D3286">
        <v>4.8875029999999997</v>
      </c>
      <c r="E3286">
        <v>0.49695590000000001</v>
      </c>
      <c r="F3286" t="s">
        <v>43</v>
      </c>
      <c r="G3286">
        <v>-188.13249999999999</v>
      </c>
      <c r="H3286" s="1">
        <v>-3.5619269999999998E-6</v>
      </c>
      <c r="I3286">
        <v>57.163530000000002</v>
      </c>
      <c r="J3286">
        <v>-186.68039999999999</v>
      </c>
      <c r="K3286">
        <v>1.11002</v>
      </c>
      <c r="L3286">
        <v>42.097200000000001</v>
      </c>
      <c r="M3286">
        <v>-2.3882049999999998E-2</v>
      </c>
      <c r="N3286">
        <v>0</v>
      </c>
      <c r="O3286">
        <v>0.99966529999999998</v>
      </c>
      <c r="P3286">
        <v>-8.5868620000000007E-2</v>
      </c>
      <c r="Q3286">
        <v>0.14538019999999999</v>
      </c>
      <c r="R3286">
        <v>0.98564249999999998</v>
      </c>
      <c r="S3286">
        <v>-0.28871149999999901</v>
      </c>
      <c r="T3286">
        <v>-0.21930140000000001</v>
      </c>
      <c r="U3286">
        <v>3.051056</v>
      </c>
      <c r="V3286">
        <v>-6.2413589999999998E-2</v>
      </c>
      <c r="W3286">
        <v>0.15515699999999999</v>
      </c>
      <c r="X3286">
        <v>0.98591629999999997</v>
      </c>
      <c r="Y3286">
        <v>-7.0161539999999994E-2</v>
      </c>
      <c r="Z3286">
        <v>-7.1414720000000001E-2</v>
      </c>
      <c r="AA3286">
        <v>0.99497599999999997</v>
      </c>
      <c r="AB3286">
        <v>37</v>
      </c>
      <c r="AC3286">
        <v>-1.4520999999999999</v>
      </c>
      <c r="AD3286">
        <v>-1.110023561927</v>
      </c>
      <c r="AE3286">
        <v>15.066329999999899</v>
      </c>
      <c r="AF3286">
        <v>-1.0860123988927499</v>
      </c>
      <c r="AG3286">
        <v>-1.110023561927</v>
      </c>
      <c r="AH3286">
        <v>15.0159550168405</v>
      </c>
      <c r="AI3286">
        <v>94.216808430822795</v>
      </c>
      <c r="AJ3286">
        <v>94.136651554514103</v>
      </c>
      <c r="AK3286">
        <v>15.096041875483699</v>
      </c>
      <c r="AL3286">
        <v>81.074098608051699</v>
      </c>
      <c r="AM3286">
        <v>93.622284879684202</v>
      </c>
      <c r="AN3286">
        <v>1.0000000507356801</v>
      </c>
    </row>
    <row r="3287" spans="1:40" x14ac:dyDescent="0.3">
      <c r="A3287" t="str">
        <f>"20200111150920488"</f>
        <v>20200111150920488</v>
      </c>
      <c r="B3287" t="str">
        <f>"1578726560477779"</f>
        <v>1578726560477779</v>
      </c>
      <c r="C3287" t="s">
        <v>40</v>
      </c>
      <c r="D3287">
        <v>5.097404</v>
      </c>
      <c r="E3287">
        <v>0.49655090000000002</v>
      </c>
      <c r="F3287" t="s">
        <v>43</v>
      </c>
      <c r="G3287">
        <v>-188.15180000000001</v>
      </c>
      <c r="H3287" s="1">
        <v>-3.697802E-6</v>
      </c>
      <c r="I3287">
        <v>57.488219999999998</v>
      </c>
      <c r="J3287">
        <v>-186.6893</v>
      </c>
      <c r="K3287">
        <v>1.110023</v>
      </c>
      <c r="L3287">
        <v>42.460540000000002</v>
      </c>
      <c r="M3287">
        <v>-2.4191190000000001E-2</v>
      </c>
      <c r="N3287">
        <v>0</v>
      </c>
      <c r="O3287">
        <v>0.99965760000000004</v>
      </c>
      <c r="P3287">
        <v>-8.6573520000000001E-2</v>
      </c>
      <c r="Q3287">
        <v>0.14530170000000001</v>
      </c>
      <c r="R3287">
        <v>0.98559240000000004</v>
      </c>
      <c r="S3287">
        <v>-0.29165649999999999</v>
      </c>
      <c r="T3287">
        <v>-0.22002469999999999</v>
      </c>
      <c r="U3287">
        <v>3.050751</v>
      </c>
      <c r="V3287">
        <v>-6.2813839999999996E-2</v>
      </c>
      <c r="W3287">
        <v>0.15509200000000001</v>
      </c>
      <c r="X3287">
        <v>0.98590109999999997</v>
      </c>
      <c r="Y3287">
        <v>-7.0812609999999998E-2</v>
      </c>
      <c r="Z3287">
        <v>-7.1650450000000004E-2</v>
      </c>
      <c r="AA3287">
        <v>0.99491300000000005</v>
      </c>
      <c r="AB3287">
        <v>37</v>
      </c>
      <c r="AC3287">
        <v>-1.4624999999999999</v>
      </c>
      <c r="AD3287">
        <v>-1.1100266978019999</v>
      </c>
      <c r="AE3287">
        <v>15.027679999999901</v>
      </c>
      <c r="AF3287">
        <v>-1.09261094221709</v>
      </c>
      <c r="AG3287">
        <v>-1.1100266978019999</v>
      </c>
      <c r="AH3287">
        <v>14.9777098169985</v>
      </c>
      <c r="AI3287">
        <v>94.227358566036003</v>
      </c>
      <c r="AJ3287">
        <v>94.172286853967705</v>
      </c>
      <c r="AK3287">
        <v>15.0584776555633</v>
      </c>
      <c r="AL3287">
        <v>81.077868398102694</v>
      </c>
      <c r="AM3287">
        <v>93.645507718629901</v>
      </c>
      <c r="AN3287">
        <v>1.0000000429703699</v>
      </c>
    </row>
    <row r="3288" spans="1:40" x14ac:dyDescent="0.3">
      <c r="A3288" t="str">
        <f>"20200111150920511"</f>
        <v>20200111150920511</v>
      </c>
      <c r="B3288" t="str">
        <f>"1578726560508036"</f>
        <v>1578726560508036</v>
      </c>
      <c r="C3288" t="s">
        <v>40</v>
      </c>
      <c r="D3288">
        <v>4.9434550000000002</v>
      </c>
      <c r="E3288">
        <v>0.49688589999999999</v>
      </c>
      <c r="F3288" t="s">
        <v>43</v>
      </c>
      <c r="G3288">
        <v>-188.13730000000001</v>
      </c>
      <c r="H3288" s="1">
        <v>-3.6275430000000001E-6</v>
      </c>
      <c r="I3288">
        <v>57.318460000000002</v>
      </c>
      <c r="J3288">
        <v>-186.69839999999999</v>
      </c>
      <c r="K3288">
        <v>1.1100209999999999</v>
      </c>
      <c r="L3288">
        <v>42.824710000000003</v>
      </c>
      <c r="M3288">
        <v>-2.4500959999999999E-2</v>
      </c>
      <c r="N3288">
        <v>0</v>
      </c>
      <c r="O3288">
        <v>0.99965000000000004</v>
      </c>
      <c r="P3288">
        <v>-8.6686470000000002E-2</v>
      </c>
      <c r="Q3288">
        <v>0.14503869999999999</v>
      </c>
      <c r="R3288">
        <v>0.98562119999999998</v>
      </c>
      <c r="S3288">
        <v>-0.2973633</v>
      </c>
      <c r="T3288">
        <v>-0.2279631</v>
      </c>
      <c r="U3288">
        <v>3.0513309999999998</v>
      </c>
      <c r="V3288">
        <v>-6.2620300000000004E-2</v>
      </c>
      <c r="W3288">
        <v>0.15484229999999999</v>
      </c>
      <c r="X3288">
        <v>0.98595259999999996</v>
      </c>
      <c r="Y3288">
        <v>-7.2311039999999993E-2</v>
      </c>
      <c r="Z3288">
        <v>-7.4196129999999999E-2</v>
      </c>
      <c r="AA3288">
        <v>0.99461849999999996</v>
      </c>
      <c r="AB3288">
        <v>37</v>
      </c>
      <c r="AC3288">
        <v>-1.4389000000000101</v>
      </c>
      <c r="AD3288">
        <v>-1.1100246275429999</v>
      </c>
      <c r="AE3288">
        <v>14.49375</v>
      </c>
      <c r="AF3288">
        <v>-1.0770835814044699</v>
      </c>
      <c r="AG3288">
        <v>-1.1100246275429999</v>
      </c>
      <c r="AH3288">
        <v>14.4407793677503</v>
      </c>
      <c r="AI3288">
        <v>94.3834038233977</v>
      </c>
      <c r="AJ3288">
        <v>94.265579080098803</v>
      </c>
      <c r="AK3288">
        <v>14.5233733155602</v>
      </c>
      <c r="AL3288">
        <v>81.092349574269306</v>
      </c>
      <c r="AM3288">
        <v>93.634116122626693</v>
      </c>
      <c r="AN3288">
        <v>0.99999998464406903</v>
      </c>
    </row>
    <row r="3289" spans="1:40" x14ac:dyDescent="0.3">
      <c r="A3289" t="str">
        <f>"20200111150920534"</f>
        <v>20200111150920534</v>
      </c>
      <c r="B3289" t="str">
        <f>"1578726560527555"</f>
        <v>1578726560527555</v>
      </c>
      <c r="C3289" t="s">
        <v>40</v>
      </c>
      <c r="D3289">
        <v>4.9869839999999996</v>
      </c>
      <c r="E3289">
        <v>0.49738470000000001</v>
      </c>
      <c r="F3289" t="s">
        <v>43</v>
      </c>
      <c r="G3289">
        <v>-188.10509999999999</v>
      </c>
      <c r="H3289" s="1">
        <v>-3.656252E-6</v>
      </c>
      <c r="I3289">
        <v>57.372059999999998</v>
      </c>
      <c r="J3289">
        <v>-186.7081</v>
      </c>
      <c r="K3289">
        <v>1.1100190000000001</v>
      </c>
      <c r="L3289">
        <v>43.206940000000003</v>
      </c>
      <c r="M3289">
        <v>-2.4826129999999998E-2</v>
      </c>
      <c r="N3289">
        <v>0</v>
      </c>
      <c r="O3289">
        <v>0.99964180000000002</v>
      </c>
      <c r="P3289">
        <v>-8.6355100000000004E-2</v>
      </c>
      <c r="Q3289">
        <v>0.14457349999999999</v>
      </c>
      <c r="R3289">
        <v>0.98571869999999995</v>
      </c>
      <c r="S3289">
        <v>-0.2951202</v>
      </c>
      <c r="T3289">
        <v>-0.23288539999999999</v>
      </c>
      <c r="U3289">
        <v>3.052063</v>
      </c>
      <c r="V3289">
        <v>-6.196509E-2</v>
      </c>
      <c r="W3289">
        <v>0.15439140000000001</v>
      </c>
      <c r="X3289">
        <v>0.98606470000000002</v>
      </c>
      <c r="Y3289">
        <v>-7.1227929999999995E-2</v>
      </c>
      <c r="Z3289">
        <v>-7.5775780000000001E-2</v>
      </c>
      <c r="AA3289">
        <v>0.99457759999999995</v>
      </c>
      <c r="AB3289">
        <v>37</v>
      </c>
      <c r="AC3289">
        <v>-1.39699999999999</v>
      </c>
      <c r="AD3289">
        <v>-1.1100226562519999</v>
      </c>
      <c r="AE3289">
        <v>14.1651199999999</v>
      </c>
      <c r="AF3289">
        <v>-1.0385705019685401</v>
      </c>
      <c r="AG3289">
        <v>-1.1100226562519999</v>
      </c>
      <c r="AH3289">
        <v>14.1096280545135</v>
      </c>
      <c r="AI3289">
        <v>94.486181076699296</v>
      </c>
      <c r="AJ3289">
        <v>94.209791109401706</v>
      </c>
      <c r="AK3289">
        <v>14.1912784068831</v>
      </c>
      <c r="AL3289">
        <v>81.118498698276298</v>
      </c>
      <c r="AM3289">
        <v>93.595784118798406</v>
      </c>
      <c r="AN3289">
        <v>0.99999998467937801</v>
      </c>
    </row>
    <row r="3290" spans="1:40" x14ac:dyDescent="0.3">
      <c r="A3290" t="str">
        <f>"20200111150920556"</f>
        <v>20200111150920556</v>
      </c>
      <c r="B3290" t="str">
        <f>"1578726560548051"</f>
        <v>1578726560548051</v>
      </c>
      <c r="C3290" t="s">
        <v>40</v>
      </c>
      <c r="D3290">
        <v>4.8852830000000003</v>
      </c>
      <c r="E3290">
        <v>0.49754409999999999</v>
      </c>
      <c r="F3290" t="s">
        <v>43</v>
      </c>
      <c r="G3290">
        <v>-188.06219999999999</v>
      </c>
      <c r="H3290" s="1">
        <v>-3.7035619999999998E-6</v>
      </c>
      <c r="I3290">
        <v>57.46461</v>
      </c>
      <c r="J3290">
        <v>-186.7175</v>
      </c>
      <c r="K3290">
        <v>1.1100209999999999</v>
      </c>
      <c r="L3290">
        <v>43.576230000000002</v>
      </c>
      <c r="M3290">
        <v>-2.514023E-2</v>
      </c>
      <c r="N3290">
        <v>0</v>
      </c>
      <c r="O3290">
        <v>0.99963380000000002</v>
      </c>
      <c r="P3290">
        <v>-8.6565890000000006E-2</v>
      </c>
      <c r="Q3290">
        <v>0.144794799999999</v>
      </c>
      <c r="R3290">
        <v>0.98566770000000004</v>
      </c>
      <c r="S3290">
        <v>-0.28994750000000002</v>
      </c>
      <c r="T3290">
        <v>-0.23768310000000001</v>
      </c>
      <c r="U3290">
        <v>3.0529169999999999</v>
      </c>
      <c r="V3290">
        <v>-6.186738E-2</v>
      </c>
      <c r="W3290">
        <v>0.1546237</v>
      </c>
      <c r="X3290">
        <v>0.98603450000000004</v>
      </c>
      <c r="Y3290">
        <v>-6.9206680000000007E-2</v>
      </c>
      <c r="Z3290">
        <v>-7.7316940000000001E-2</v>
      </c>
      <c r="AA3290">
        <v>0.99460170000000003</v>
      </c>
      <c r="AB3290">
        <v>37</v>
      </c>
      <c r="AC3290">
        <v>-1.34469999999998</v>
      </c>
      <c r="AD3290">
        <v>-1.1100247035619999</v>
      </c>
      <c r="AE3290">
        <v>13.88838</v>
      </c>
      <c r="AF3290">
        <v>-0.98884235787534602</v>
      </c>
      <c r="AG3290">
        <v>-1.1100247035619999</v>
      </c>
      <c r="AH3290">
        <v>13.8302709999453</v>
      </c>
      <c r="AI3290">
        <v>94.577118151351698</v>
      </c>
      <c r="AJ3290">
        <v>94.089597786216402</v>
      </c>
      <c r="AK3290">
        <v>13.9099374543229</v>
      </c>
      <c r="AL3290">
        <v>81.105027686460403</v>
      </c>
      <c r="AM3290">
        <v>93.590238597547199</v>
      </c>
      <c r="AN3290">
        <v>1.00000004825</v>
      </c>
    </row>
    <row r="3291" spans="1:40" x14ac:dyDescent="0.3">
      <c r="A3291" t="str">
        <f>"20200111150920580"</f>
        <v>20200111150920580</v>
      </c>
      <c r="B3291" t="str">
        <f>"1578726560577332"</f>
        <v>1578726560577332</v>
      </c>
      <c r="C3291" t="s">
        <v>40</v>
      </c>
      <c r="D3291">
        <v>4.8257879999999904</v>
      </c>
      <c r="E3291">
        <v>0.49750749999999999</v>
      </c>
      <c r="F3291" t="s">
        <v>43</v>
      </c>
      <c r="G3291">
        <v>-188.06389999999999</v>
      </c>
      <c r="H3291" s="1">
        <v>-3.8330800000000001E-6</v>
      </c>
      <c r="I3291">
        <v>57.767240000000001</v>
      </c>
      <c r="J3291">
        <v>-186.72730000000001</v>
      </c>
      <c r="K3291">
        <v>1.110017</v>
      </c>
      <c r="L3291">
        <v>43.952669999999998</v>
      </c>
      <c r="M3291">
        <v>-2.5460099999999999E-2</v>
      </c>
      <c r="N3291">
        <v>0</v>
      </c>
      <c r="O3291">
        <v>0.99962569999999995</v>
      </c>
      <c r="P3291">
        <v>-8.6686959999999993E-2</v>
      </c>
      <c r="Q3291">
        <v>0.14550879999999999</v>
      </c>
      <c r="R3291">
        <v>0.98555190000000004</v>
      </c>
      <c r="S3291">
        <v>-0.2896881</v>
      </c>
      <c r="T3291">
        <v>-0.23882639999999999</v>
      </c>
      <c r="U3291">
        <v>3.0532530000000002</v>
      </c>
      <c r="V3291">
        <v>-6.1675969999999997E-2</v>
      </c>
      <c r="W3291">
        <v>0.15534679999999901</v>
      </c>
      <c r="X3291">
        <v>0.98593280000000005</v>
      </c>
      <c r="Y3291">
        <v>-6.8790760000000006E-2</v>
      </c>
      <c r="Z3291">
        <v>-7.7678659999999997E-2</v>
      </c>
      <c r="AA3291">
        <v>0.9946024</v>
      </c>
      <c r="AB3291">
        <v>37</v>
      </c>
      <c r="AC3291">
        <v>-1.33659999999997</v>
      </c>
      <c r="AD3291">
        <v>-1.1100208330799901</v>
      </c>
      <c r="AE3291">
        <v>13.81457</v>
      </c>
      <c r="AF3291">
        <v>-0.97817186408975798</v>
      </c>
      <c r="AG3291">
        <v>-1.1100208330799901</v>
      </c>
      <c r="AH3291">
        <v>13.756132279372601</v>
      </c>
      <c r="AI3291">
        <v>94.601791791650896</v>
      </c>
      <c r="AJ3291">
        <v>94.067345566492904</v>
      </c>
      <c r="AK3291">
        <v>13.835466805755599</v>
      </c>
      <c r="AL3291">
        <v>81.0630901156607</v>
      </c>
      <c r="AM3291">
        <v>93.579527997869704</v>
      </c>
      <c r="AN3291">
        <v>1.0000000198307599</v>
      </c>
    </row>
    <row r="3292" spans="1:40" x14ac:dyDescent="0.3">
      <c r="A3292" t="str">
        <f>"20200111150920600"</f>
        <v>20200111150920600</v>
      </c>
      <c r="B3292" t="str">
        <f>"1578726560597827"</f>
        <v>1578726560597827</v>
      </c>
      <c r="C3292" t="s">
        <v>40</v>
      </c>
      <c r="D3292">
        <v>4.8875070000000003</v>
      </c>
      <c r="E3292">
        <v>0.49738640000000001</v>
      </c>
      <c r="F3292" t="s">
        <v>43</v>
      </c>
      <c r="G3292">
        <v>-188.096</v>
      </c>
      <c r="H3292" s="1">
        <v>-4.0567179999999997E-6</v>
      </c>
      <c r="I3292">
        <v>58.301789999999997</v>
      </c>
      <c r="J3292">
        <v>-186.73650000000001</v>
      </c>
      <c r="K3292">
        <v>1.1100159999999999</v>
      </c>
      <c r="L3292">
        <v>44.304929999999999</v>
      </c>
      <c r="M3292">
        <v>-2.5759750000000001E-2</v>
      </c>
      <c r="N3292">
        <v>0</v>
      </c>
      <c r="O3292">
        <v>0.99961789999999995</v>
      </c>
      <c r="P3292">
        <v>-8.6976049999999999E-2</v>
      </c>
      <c r="Q3292">
        <v>0.14578469999999999</v>
      </c>
      <c r="R3292">
        <v>0.98548570000000002</v>
      </c>
      <c r="S3292">
        <v>-0.29122920000000002</v>
      </c>
      <c r="T3292">
        <v>-0.23619380000000001</v>
      </c>
      <c r="U3292">
        <v>3.0532530000000002</v>
      </c>
      <c r="V3292">
        <v>-6.1671299999999998E-2</v>
      </c>
      <c r="W3292">
        <v>0.15563179999999999</v>
      </c>
      <c r="X3292">
        <v>0.98588810000000004</v>
      </c>
      <c r="Y3292">
        <v>-6.8995529999999999E-2</v>
      </c>
      <c r="Z3292">
        <v>-7.6824260000000005E-2</v>
      </c>
      <c r="AA3292">
        <v>0.9946545</v>
      </c>
      <c r="AB3292">
        <v>37</v>
      </c>
      <c r="AC3292">
        <v>-1.35949999999996</v>
      </c>
      <c r="AD3292">
        <v>-1.1100200567180001</v>
      </c>
      <c r="AE3292">
        <v>13.99686</v>
      </c>
      <c r="AF3292">
        <v>-0.99229261687068804</v>
      </c>
      <c r="AG3292">
        <v>-1.1100200567180001</v>
      </c>
      <c r="AH3292">
        <v>13.940381529302</v>
      </c>
      <c r="AI3292">
        <v>94.541199694335504</v>
      </c>
      <c r="AJ3292">
        <v>94.071513222153001</v>
      </c>
      <c r="AK3292">
        <v>14.019665700233899</v>
      </c>
      <c r="AL3292">
        <v>81.046559374656994</v>
      </c>
      <c r="AM3292">
        <v>93.579419527724298</v>
      </c>
      <c r="AN3292">
        <v>0.99999997606826896</v>
      </c>
    </row>
    <row r="3293" spans="1:40" x14ac:dyDescent="0.3">
      <c r="A3293" t="str">
        <f>"20200111150920623"</f>
        <v>20200111150920623</v>
      </c>
      <c r="B3293" t="str">
        <f>"1578726560617347"</f>
        <v>1578726560617347</v>
      </c>
      <c r="C3293" t="s">
        <v>40</v>
      </c>
      <c r="D3293">
        <v>4.8262239999999998</v>
      </c>
      <c r="E3293">
        <v>0.49733119999999997</v>
      </c>
      <c r="F3293" t="s">
        <v>43</v>
      </c>
      <c r="G3293">
        <v>-188.13550000000001</v>
      </c>
      <c r="H3293" s="1">
        <v>-4.3042339999999999E-6</v>
      </c>
      <c r="I3293">
        <v>58.895110000000003</v>
      </c>
      <c r="J3293">
        <v>-186.74619999999999</v>
      </c>
      <c r="K3293">
        <v>1.1100209999999999</v>
      </c>
      <c r="L3293">
        <v>44.668239999999997</v>
      </c>
      <c r="M3293">
        <v>-2.606847E-2</v>
      </c>
      <c r="N3293">
        <v>0</v>
      </c>
      <c r="O3293">
        <v>0.99960979999999999</v>
      </c>
      <c r="P3293">
        <v>-8.736476E-2</v>
      </c>
      <c r="Q3293">
        <v>0.14620939999999999</v>
      </c>
      <c r="R3293">
        <v>0.98538829999999999</v>
      </c>
      <c r="S3293">
        <v>-0.29270940000000001</v>
      </c>
      <c r="T3293">
        <v>-0.2322497</v>
      </c>
      <c r="U3293">
        <v>3.0527039999999999</v>
      </c>
      <c r="V3293">
        <v>-6.1758220000000003E-2</v>
      </c>
      <c r="W3293">
        <v>0.15606510000000001</v>
      </c>
      <c r="X3293">
        <v>0.98581419999999997</v>
      </c>
      <c r="Y3293">
        <v>-6.9191459999999996E-2</v>
      </c>
      <c r="Z3293">
        <v>-7.5559089999999995E-2</v>
      </c>
      <c r="AA3293">
        <v>0.99473789999999995</v>
      </c>
      <c r="AB3293">
        <v>37</v>
      </c>
      <c r="AC3293">
        <v>-1.38930000000002</v>
      </c>
      <c r="AD3293">
        <v>-1.110025304234</v>
      </c>
      <c r="AE3293">
        <v>14.2268699999999</v>
      </c>
      <c r="AF3293">
        <v>-1.0118349320737201</v>
      </c>
      <c r="AG3293">
        <v>-1.110025304234</v>
      </c>
      <c r="AH3293">
        <v>14.172789931352099</v>
      </c>
      <c r="AI3293">
        <v>94.466990293888401</v>
      </c>
      <c r="AJ3293">
        <v>94.083576721990497</v>
      </c>
      <c r="AK3293">
        <v>14.252155645516901</v>
      </c>
      <c r="AL3293">
        <v>81.021426360286597</v>
      </c>
      <c r="AM3293">
        <v>93.584719247372405</v>
      </c>
      <c r="AN3293">
        <v>1.0000000150485999</v>
      </c>
    </row>
    <row r="3294" spans="1:40" x14ac:dyDescent="0.3">
      <c r="A3294" t="str">
        <f>"20200111150920646"</f>
        <v>20200111150920646</v>
      </c>
      <c r="B3294" t="str">
        <f>"1578726560637844"</f>
        <v>1578726560637844</v>
      </c>
      <c r="C3294" t="s">
        <v>40</v>
      </c>
      <c r="D3294">
        <v>4.7603489999999997</v>
      </c>
      <c r="E3294">
        <v>0.49729370000000001</v>
      </c>
      <c r="F3294" t="s">
        <v>43</v>
      </c>
      <c r="G3294">
        <v>-188.15440000000001</v>
      </c>
      <c r="H3294" s="1">
        <v>-4.4728980000000004E-6</v>
      </c>
      <c r="I3294">
        <v>59.296080000000003</v>
      </c>
      <c r="J3294">
        <v>-186.7567</v>
      </c>
      <c r="K3294">
        <v>1.110033</v>
      </c>
      <c r="L3294">
        <v>45.059330000000003</v>
      </c>
      <c r="M3294">
        <v>-2.640077E-2</v>
      </c>
      <c r="N3294">
        <v>0</v>
      </c>
      <c r="O3294">
        <v>0.99960099999999996</v>
      </c>
      <c r="P3294">
        <v>-8.7407789999999999E-2</v>
      </c>
      <c r="Q3294">
        <v>0.146863299999999</v>
      </c>
      <c r="R3294">
        <v>0.98528729999999998</v>
      </c>
      <c r="S3294">
        <v>-0.29388429999999999</v>
      </c>
      <c r="T3294">
        <v>-0.2316597</v>
      </c>
      <c r="U3294">
        <v>3.0527950000000001</v>
      </c>
      <c r="V3294">
        <v>-6.147623E-2</v>
      </c>
      <c r="W3294">
        <v>0.156726799999999</v>
      </c>
      <c r="X3294">
        <v>0.98572680000000001</v>
      </c>
      <c r="Y3294">
        <v>-6.9237750000000001E-2</v>
      </c>
      <c r="Z3294">
        <v>-7.5363520000000003E-2</v>
      </c>
      <c r="AA3294">
        <v>0.99474940000000001</v>
      </c>
      <c r="AB3294">
        <v>37</v>
      </c>
      <c r="AC3294">
        <v>-1.3977000000000099</v>
      </c>
      <c r="AD3294">
        <v>-1.110037472898</v>
      </c>
      <c r="AE3294">
        <v>14.236750000000001</v>
      </c>
      <c r="AF3294">
        <v>-1.0152197459568</v>
      </c>
      <c r="AG3294">
        <v>-1.110037472898</v>
      </c>
      <c r="AH3294">
        <v>14.183288013730699</v>
      </c>
      <c r="AI3294">
        <v>94.463687303195499</v>
      </c>
      <c r="AJ3294">
        <v>94.094168441360097</v>
      </c>
      <c r="AK3294">
        <v>14.2628367867074</v>
      </c>
      <c r="AL3294">
        <v>80.983040988949696</v>
      </c>
      <c r="AM3294">
        <v>93.568709270383494</v>
      </c>
      <c r="AN3294">
        <v>0.99999997046574596</v>
      </c>
    </row>
    <row r="3295" spans="1:40" x14ac:dyDescent="0.3">
      <c r="A3295" t="str">
        <f>"20200111150920669"</f>
        <v>20200111150920669</v>
      </c>
      <c r="B3295" t="str">
        <f>"1578726560657363"</f>
        <v>1578726560657363</v>
      </c>
      <c r="C3295" t="s">
        <v>40</v>
      </c>
      <c r="D3295">
        <v>4.7569919999999897</v>
      </c>
      <c r="E3295">
        <v>0.49732969999999999</v>
      </c>
      <c r="F3295" t="s">
        <v>43</v>
      </c>
      <c r="G3295">
        <v>-188.17400000000001</v>
      </c>
      <c r="H3295" s="1">
        <v>-5.3234919999999898E-7</v>
      </c>
      <c r="I3295">
        <v>59.784660000000002</v>
      </c>
      <c r="J3295">
        <v>-186.7664</v>
      </c>
      <c r="K3295">
        <v>1.110042</v>
      </c>
      <c r="L3295">
        <v>45.417180000000002</v>
      </c>
      <c r="M3295">
        <v>-2.6702770000000001E-2</v>
      </c>
      <c r="N3295">
        <v>0</v>
      </c>
      <c r="O3295">
        <v>0.99959290000000001</v>
      </c>
      <c r="P3295">
        <v>-8.71865E-2</v>
      </c>
      <c r="Q3295">
        <v>0.147639299999999</v>
      </c>
      <c r="R3295">
        <v>0.98519089999999998</v>
      </c>
      <c r="S3295">
        <v>-0.2938385</v>
      </c>
      <c r="T3295">
        <v>-0.23014589999999999</v>
      </c>
      <c r="U3295">
        <v>3.0530400000000002</v>
      </c>
      <c r="V3295">
        <v>-6.0959480000000003E-2</v>
      </c>
      <c r="W3295">
        <v>0.15751089999999901</v>
      </c>
      <c r="X3295">
        <v>0.98563400000000001</v>
      </c>
      <c r="Y3295">
        <v>-6.8917569999999997E-2</v>
      </c>
      <c r="Z3295">
        <v>-7.4867920000000004E-2</v>
      </c>
      <c r="AA3295">
        <v>0.9948091</v>
      </c>
      <c r="AB3295">
        <v>37</v>
      </c>
      <c r="AC3295">
        <v>-1.4076</v>
      </c>
      <c r="AD3295">
        <v>-1.1100425323492</v>
      </c>
      <c r="AE3295">
        <v>14.367479999999899</v>
      </c>
      <c r="AF3295">
        <v>-1.0174117122030299</v>
      </c>
      <c r="AG3295">
        <v>-1.1100425323492</v>
      </c>
      <c r="AH3295">
        <v>14.3153061021589</v>
      </c>
      <c r="AI3295">
        <v>94.422865097797398</v>
      </c>
      <c r="AJ3295">
        <v>94.065267142516603</v>
      </c>
      <c r="AK3295">
        <v>14.394280454898</v>
      </c>
      <c r="AL3295">
        <v>80.937551193888297</v>
      </c>
      <c r="AM3295">
        <v>93.539120705242397</v>
      </c>
      <c r="AN3295">
        <v>1.00000006188833</v>
      </c>
    </row>
    <row r="3296" spans="1:40" x14ac:dyDescent="0.3">
      <c r="A3296" t="str">
        <f>"20200111150920690"</f>
        <v>20200111150920690</v>
      </c>
      <c r="B3296" t="str">
        <f>"1578726560687619"</f>
        <v>1578726560687619</v>
      </c>
      <c r="C3296" t="s">
        <v>40</v>
      </c>
      <c r="D3296">
        <v>6.5022399999999996</v>
      </c>
      <c r="E3296">
        <v>0.49733660000000002</v>
      </c>
      <c r="F3296" t="s">
        <v>43</v>
      </c>
      <c r="G3296">
        <v>-188.20609999999999</v>
      </c>
      <c r="H3296" s="1">
        <v>-7.4852719999999905E-7</v>
      </c>
      <c r="I3296">
        <v>60.445010000000003</v>
      </c>
      <c r="J3296">
        <v>-186.7766</v>
      </c>
      <c r="K3296">
        <v>1.1100410000000001</v>
      </c>
      <c r="L3296">
        <v>45.786290000000001</v>
      </c>
      <c r="M3296">
        <v>-2.7003070000000001E-2</v>
      </c>
      <c r="N3296">
        <v>0</v>
      </c>
      <c r="O3296">
        <v>0.99958469999999999</v>
      </c>
      <c r="P3296">
        <v>-8.7170650000000002E-2</v>
      </c>
      <c r="Q3296">
        <v>0.14874860000000001</v>
      </c>
      <c r="R3296">
        <v>0.9850255</v>
      </c>
      <c r="S3296">
        <v>-0.29246519999999998</v>
      </c>
      <c r="T3296">
        <v>-0.22551289999999999</v>
      </c>
      <c r="U3296">
        <v>3.0530089999999999</v>
      </c>
      <c r="V3296">
        <v>-6.0650999999999997E-2</v>
      </c>
      <c r="W3296">
        <v>0.1586273</v>
      </c>
      <c r="X3296">
        <v>0.98547390000000001</v>
      </c>
      <c r="Y3296">
        <v>-6.8185990000000002E-2</v>
      </c>
      <c r="Z3296">
        <v>-7.3372209999999993E-2</v>
      </c>
      <c r="AA3296">
        <v>0.99497100000000005</v>
      </c>
      <c r="AB3296">
        <v>37</v>
      </c>
      <c r="AC3296">
        <v>-1.42949999999999</v>
      </c>
      <c r="AD3296">
        <v>-1.1100417485271901</v>
      </c>
      <c r="AE3296">
        <v>14.658719999999899</v>
      </c>
      <c r="AF3296">
        <v>-1.0272928018451</v>
      </c>
      <c r="AG3296">
        <v>-1.1100417485271901</v>
      </c>
      <c r="AH3296">
        <v>14.608992655421099</v>
      </c>
      <c r="AI3296">
        <v>94.334519398404893</v>
      </c>
      <c r="AJ3296">
        <v>94.022372659869802</v>
      </c>
      <c r="AK3296">
        <v>14.687075596943799</v>
      </c>
      <c r="AL3296">
        <v>80.872771082691997</v>
      </c>
      <c r="AM3296">
        <v>93.521827100796003</v>
      </c>
      <c r="AN3296">
        <v>0.99999998584374905</v>
      </c>
    </row>
    <row r="3297" spans="1:40" x14ac:dyDescent="0.3">
      <c r="A3297" t="str">
        <f>"20200111150920712"</f>
        <v>20200111150920712</v>
      </c>
      <c r="B3297" t="str">
        <f>"1578726560707140"</f>
        <v>1578726560707140</v>
      </c>
      <c r="C3297" t="s">
        <v>40</v>
      </c>
      <c r="D3297">
        <v>4.7132969999999998</v>
      </c>
      <c r="E3297">
        <v>0.49775390000000003</v>
      </c>
      <c r="F3297" t="s">
        <v>43</v>
      </c>
      <c r="G3297">
        <v>-188.24010000000001</v>
      </c>
      <c r="H3297" s="1">
        <v>-9.5658050000000007E-7</v>
      </c>
      <c r="I3297">
        <v>61.083039999999997</v>
      </c>
      <c r="J3297">
        <v>-186.78639999999999</v>
      </c>
      <c r="K3297">
        <v>1.1100289999999999</v>
      </c>
      <c r="L3297">
        <v>46.1402</v>
      </c>
      <c r="M3297">
        <v>-2.726576E-2</v>
      </c>
      <c r="N3297">
        <v>0</v>
      </c>
      <c r="O3297">
        <v>0.99957750000000001</v>
      </c>
      <c r="P3297">
        <v>-8.7293339999999997E-2</v>
      </c>
      <c r="Q3297">
        <v>0.14942730000000001</v>
      </c>
      <c r="R3297">
        <v>0.98491189999999995</v>
      </c>
      <c r="S3297">
        <v>-0.29212949999999999</v>
      </c>
      <c r="T3297">
        <v>-0.2215636</v>
      </c>
      <c r="U3297">
        <v>3.053223</v>
      </c>
      <c r="V3297">
        <v>-6.0512179999999999E-2</v>
      </c>
      <c r="W3297">
        <v>0.15931409999999999</v>
      </c>
      <c r="X3297">
        <v>0.98537160000000001</v>
      </c>
      <c r="Y3297">
        <v>-6.7817710000000003E-2</v>
      </c>
      <c r="Z3297">
        <v>-7.208958E-2</v>
      </c>
      <c r="AA3297">
        <v>0.99508989999999997</v>
      </c>
      <c r="AB3297">
        <v>37</v>
      </c>
      <c r="AC3297">
        <v>-1.45370000000002</v>
      </c>
      <c r="AD3297">
        <v>-1.1100299565805001</v>
      </c>
      <c r="AE3297">
        <v>14.94284</v>
      </c>
      <c r="AF3297">
        <v>-1.0400256042726299</v>
      </c>
      <c r="AG3297">
        <v>-1.1100299565805001</v>
      </c>
      <c r="AH3297">
        <v>14.8954954752146</v>
      </c>
      <c r="AI3297">
        <v>94.251559096358605</v>
      </c>
      <c r="AJ3297">
        <v>93.993994494936203</v>
      </c>
      <c r="AK3297">
        <v>14.9729624728772</v>
      </c>
      <c r="AL3297">
        <v>80.832913135079494</v>
      </c>
      <c r="AM3297">
        <v>93.514150329196099</v>
      </c>
      <c r="AN3297">
        <v>0.999999948236859</v>
      </c>
    </row>
    <row r="3298" spans="1:40" x14ac:dyDescent="0.3">
      <c r="A3298" t="str">
        <f>"20200111150920734"</f>
        <v>20200111150920734</v>
      </c>
      <c r="B3298" t="str">
        <f>"1578726560727635"</f>
        <v>1578726560727635</v>
      </c>
      <c r="C3298" t="s">
        <v>40</v>
      </c>
      <c r="D3298">
        <v>4.7225449999999896</v>
      </c>
      <c r="E3298">
        <v>0.49823000000000001</v>
      </c>
      <c r="F3298" t="s">
        <v>43</v>
      </c>
      <c r="G3298">
        <v>-188.27109999999999</v>
      </c>
      <c r="H3298" s="1">
        <v>-1.252283E-6</v>
      </c>
      <c r="I3298">
        <v>61.837009999999999</v>
      </c>
      <c r="J3298">
        <v>-186.79679999999999</v>
      </c>
      <c r="K3298">
        <v>1.1100019999999999</v>
      </c>
      <c r="L3298">
        <v>46.511960000000002</v>
      </c>
      <c r="M3298">
        <v>-2.7499699999999998E-2</v>
      </c>
      <c r="N3298">
        <v>0</v>
      </c>
      <c r="O3298">
        <v>0.99957099999999999</v>
      </c>
      <c r="P3298">
        <v>-8.7626899999999994E-2</v>
      </c>
      <c r="Q3298">
        <v>0.1494616</v>
      </c>
      <c r="R3298">
        <v>0.984877</v>
      </c>
      <c r="S3298">
        <v>-0.28878779999999998</v>
      </c>
      <c r="T3298">
        <v>-0.21590590000000001</v>
      </c>
      <c r="U3298">
        <v>3.0531009999999998</v>
      </c>
      <c r="V3298">
        <v>-6.0604760000000001E-2</v>
      </c>
      <c r="W3298">
        <v>0.1593598</v>
      </c>
      <c r="X3298">
        <v>0.98535859999999997</v>
      </c>
      <c r="Y3298">
        <v>-6.6520789999999996E-2</v>
      </c>
      <c r="Z3298">
        <v>-7.0266750000000003E-2</v>
      </c>
      <c r="AA3298">
        <v>0.99530779999999996</v>
      </c>
      <c r="AB3298">
        <v>37</v>
      </c>
      <c r="AC3298">
        <v>-1.47429999999999</v>
      </c>
      <c r="AD3298">
        <v>-1.1100032522829999</v>
      </c>
      <c r="AE3298">
        <v>15.325049999999999</v>
      </c>
      <c r="AF3298">
        <v>-1.0468451001106001</v>
      </c>
      <c r="AG3298">
        <v>-1.1100032522829999</v>
      </c>
      <c r="AH3298">
        <v>15.280369772939</v>
      </c>
      <c r="AI3298">
        <v>94.145124731822705</v>
      </c>
      <c r="AJ3298">
        <v>93.919161108990593</v>
      </c>
      <c r="AK3298">
        <v>15.3563567385449</v>
      </c>
      <c r="AL3298">
        <v>80.830261558308393</v>
      </c>
      <c r="AM3298">
        <v>93.519559580800504</v>
      </c>
      <c r="AN3298">
        <v>1.0000000266923199</v>
      </c>
    </row>
    <row r="3299" spans="1:40" x14ac:dyDescent="0.3">
      <c r="A3299" t="str">
        <f>"20200111150920757"</f>
        <v>20200111150920757</v>
      </c>
      <c r="B3299" t="str">
        <f>"1578726560747155"</f>
        <v>1578726560747155</v>
      </c>
      <c r="C3299" t="s">
        <v>40</v>
      </c>
      <c r="D3299">
        <v>6.5919509999999999</v>
      </c>
      <c r="E3299">
        <v>0.49823000000000001</v>
      </c>
      <c r="F3299" t="s">
        <v>43</v>
      </c>
      <c r="G3299">
        <v>-188.27269999999999</v>
      </c>
      <c r="H3299" s="1">
        <v>-1.4417769999999999E-6</v>
      </c>
      <c r="I3299">
        <v>62.279359999999997</v>
      </c>
      <c r="J3299">
        <v>-186.8074</v>
      </c>
      <c r="K3299">
        <v>1.109955</v>
      </c>
      <c r="L3299">
        <v>46.893099999999997</v>
      </c>
      <c r="M3299">
        <v>-2.7682350000000001E-2</v>
      </c>
      <c r="N3299">
        <v>0</v>
      </c>
      <c r="O3299">
        <v>0.99956599999999995</v>
      </c>
      <c r="P3299">
        <v>-8.816794E-2</v>
      </c>
      <c r="Q3299">
        <v>0.14871860000000001</v>
      </c>
      <c r="R3299">
        <v>0.98494119999999996</v>
      </c>
      <c r="S3299">
        <v>-0.28579710000000003</v>
      </c>
      <c r="T3299">
        <v>-0.21494479999999999</v>
      </c>
      <c r="U3299">
        <v>3.0532530000000002</v>
      </c>
      <c r="V3299">
        <v>-6.0946529999999999E-2</v>
      </c>
      <c r="W3299">
        <v>0.15863099999999999</v>
      </c>
      <c r="X3299">
        <v>0.98545510000000003</v>
      </c>
      <c r="Y3299">
        <v>-6.5369419999999998E-2</v>
      </c>
      <c r="Z3299">
        <v>-6.9957350000000001E-2</v>
      </c>
      <c r="AA3299">
        <v>0.99540589999999995</v>
      </c>
      <c r="AB3299">
        <v>37</v>
      </c>
      <c r="AC3299">
        <v>-1.4652999999999801</v>
      </c>
      <c r="AD3299">
        <v>-1.109956441777</v>
      </c>
      <c r="AE3299">
        <v>15.38626</v>
      </c>
      <c r="AF3299">
        <v>-1.0334590589343799</v>
      </c>
      <c r="AG3299">
        <v>-1.109956441777</v>
      </c>
      <c r="AH3299">
        <v>15.3418052373267</v>
      </c>
      <c r="AI3299">
        <v>94.128728884189997</v>
      </c>
      <c r="AJ3299">
        <v>93.853752644634994</v>
      </c>
      <c r="AK3299">
        <v>15.416582918053001</v>
      </c>
      <c r="AL3299">
        <v>80.872556627911194</v>
      </c>
      <c r="AM3299">
        <v>93.539011503368698</v>
      </c>
      <c r="AN3299">
        <v>1.0000000138980201</v>
      </c>
    </row>
    <row r="3300" spans="1:40" x14ac:dyDescent="0.3">
      <c r="A3300" t="str">
        <f>"20200111150920781"</f>
        <v>20200111150920781</v>
      </c>
      <c r="B3300" t="str">
        <f>"1578726560777411"</f>
        <v>1578726560777411</v>
      </c>
      <c r="C3300" t="s">
        <v>40</v>
      </c>
      <c r="D3300">
        <v>6.9343059999999896</v>
      </c>
      <c r="E3300">
        <v>0.4988784</v>
      </c>
      <c r="F3300" t="s">
        <v>43</v>
      </c>
      <c r="G3300">
        <v>-188.27449999999999</v>
      </c>
      <c r="H3300" s="1">
        <v>-1.5321450000000001E-6</v>
      </c>
      <c r="I3300">
        <v>62.490780000000001</v>
      </c>
      <c r="J3300">
        <v>-186.81809999999999</v>
      </c>
      <c r="K3300">
        <v>1.109904</v>
      </c>
      <c r="L3300">
        <v>47.273220000000002</v>
      </c>
      <c r="M3300">
        <v>-2.780765E-2</v>
      </c>
      <c r="N3300">
        <v>0</v>
      </c>
      <c r="O3300">
        <v>0.99956239999999996</v>
      </c>
      <c r="P3300">
        <v>-8.8716509999999998E-2</v>
      </c>
      <c r="Q3300">
        <v>0.1477946</v>
      </c>
      <c r="R3300">
        <v>0.98503110000000005</v>
      </c>
      <c r="S3300">
        <v>-0.2871552</v>
      </c>
      <c r="T3300">
        <v>-0.2172549</v>
      </c>
      <c r="U3300">
        <v>3.0529790000000001</v>
      </c>
      <c r="V3300">
        <v>-6.1348880000000001E-2</v>
      </c>
      <c r="W3300">
        <v>0.15772229999999901</v>
      </c>
      <c r="X3300">
        <v>0.98557600000000001</v>
      </c>
      <c r="Y3300">
        <v>-6.5686579999999994E-2</v>
      </c>
      <c r="Z3300">
        <v>-7.07092E-2</v>
      </c>
      <c r="AA3300">
        <v>0.99533179999999999</v>
      </c>
      <c r="AB3300">
        <v>37</v>
      </c>
      <c r="AC3300">
        <v>-1.4563999999999999</v>
      </c>
      <c r="AD3300">
        <v>-1.109905532145</v>
      </c>
      <c r="AE3300">
        <v>15.217560000000001</v>
      </c>
      <c r="AF3300">
        <v>-1.0272357079021499</v>
      </c>
      <c r="AG3300">
        <v>-1.109905532145</v>
      </c>
      <c r="AH3300">
        <v>15.172197754320701</v>
      </c>
      <c r="AI3300">
        <v>94.174434296493402</v>
      </c>
      <c r="AJ3300">
        <v>93.873307349788803</v>
      </c>
      <c r="AK3300">
        <v>15.2473829946679</v>
      </c>
      <c r="AL3300">
        <v>80.925285262714894</v>
      </c>
      <c r="AM3300">
        <v>93.561879126142202</v>
      </c>
      <c r="AN3300">
        <v>1.0000000303852701</v>
      </c>
    </row>
    <row r="3301" spans="1:40" x14ac:dyDescent="0.3">
      <c r="A3301" t="str">
        <f>"20200111150920802"</f>
        <v>20200111150920802</v>
      </c>
      <c r="B3301" t="str">
        <f>"1578726560797907"</f>
        <v>1578726560797907</v>
      </c>
      <c r="C3301" t="s">
        <v>40</v>
      </c>
      <c r="D3301">
        <v>4.7862169999999997</v>
      </c>
      <c r="E3301">
        <v>0.52710349999999995</v>
      </c>
      <c r="F3301" t="s">
        <v>43</v>
      </c>
      <c r="G3301">
        <v>-188.28</v>
      </c>
      <c r="H3301" s="1">
        <v>-1.76155999999999E-6</v>
      </c>
      <c r="I3301">
        <v>63.027810000000002</v>
      </c>
      <c r="J3301">
        <v>-186.82849999999999</v>
      </c>
      <c r="K3301">
        <v>1.1098520000000001</v>
      </c>
      <c r="L3301">
        <v>47.645870000000002</v>
      </c>
      <c r="M3301">
        <v>-2.786928E-2</v>
      </c>
      <c r="N3301">
        <v>0</v>
      </c>
      <c r="O3301">
        <v>0.99956060000000002</v>
      </c>
      <c r="P3301">
        <v>-8.9244019999999993E-2</v>
      </c>
      <c r="Q3301">
        <v>0.14728529999999901</v>
      </c>
      <c r="R3301">
        <v>0.98505969999999998</v>
      </c>
      <c r="S3301">
        <v>-0.28323359999999997</v>
      </c>
      <c r="T3301">
        <v>-0.21503620000000001</v>
      </c>
      <c r="U3301">
        <v>3.0523380000000002</v>
      </c>
      <c r="V3301">
        <v>-6.1796520000000001E-2</v>
      </c>
      <c r="W3301">
        <v>0.1572269</v>
      </c>
      <c r="X3301">
        <v>0.98562720000000004</v>
      </c>
      <c r="Y3301">
        <v>-6.4381330000000001E-2</v>
      </c>
      <c r="Z3301">
        <v>-7.0012169999999999E-2</v>
      </c>
      <c r="AA3301">
        <v>0.99546639999999997</v>
      </c>
      <c r="AB3301">
        <v>37</v>
      </c>
      <c r="AC3301">
        <v>-1.45150000000001</v>
      </c>
      <c r="AD3301">
        <v>-1.1098537615599999</v>
      </c>
      <c r="AE3301">
        <v>15.381939999999901</v>
      </c>
      <c r="AF3301">
        <v>-1.0169829602909199</v>
      </c>
      <c r="AG3301">
        <v>-1.1098537615599999</v>
      </c>
      <c r="AH3301">
        <v>15.337276918556499</v>
      </c>
      <c r="AI3301">
        <v>94.129851655898307</v>
      </c>
      <c r="AJ3301">
        <v>93.793610737038605</v>
      </c>
      <c r="AK3301">
        <v>15.4109731357256</v>
      </c>
      <c r="AL3301">
        <v>80.954028328155999</v>
      </c>
      <c r="AM3301">
        <v>93.587615307051607</v>
      </c>
      <c r="AN3301">
        <v>1.0000000426737701</v>
      </c>
    </row>
    <row r="3302" spans="1:40" x14ac:dyDescent="0.3">
      <c r="A3302" t="str">
        <f>"20200111150925647"</f>
        <v>20200111150925647</v>
      </c>
      <c r="B3302" t="str">
        <f>"1578726565637472"</f>
        <v>1578726565637472</v>
      </c>
      <c r="C3302" t="s">
        <v>40</v>
      </c>
      <c r="D3302">
        <v>3.829072</v>
      </c>
      <c r="E3302">
        <v>0.5328193</v>
      </c>
      <c r="F3302" t="s">
        <v>48</v>
      </c>
      <c r="G3302">
        <v>-192.29429999999999</v>
      </c>
      <c r="H3302">
        <v>119.5296</v>
      </c>
      <c r="I3302">
        <v>391.87</v>
      </c>
      <c r="J3302">
        <v>-177.01820000000001</v>
      </c>
      <c r="K3302">
        <v>1.15377</v>
      </c>
      <c r="L3302">
        <v>128.45949999999999</v>
      </c>
      <c r="M3302">
        <v>0.6761066</v>
      </c>
      <c r="N3302">
        <v>0</v>
      </c>
      <c r="O3302">
        <v>0.73677329999999996</v>
      </c>
      <c r="P3302">
        <v>0.69939209999999996</v>
      </c>
      <c r="Q3302">
        <v>0.1751675</v>
      </c>
      <c r="R3302">
        <v>0.69294100000000003</v>
      </c>
      <c r="S3302">
        <v>-4.5928959999999998E-2</v>
      </c>
      <c r="T3302">
        <v>0.99509190000000003</v>
      </c>
      <c r="U3302">
        <v>2.8925480000000001</v>
      </c>
      <c r="V3302">
        <v>5.2342499999999903E-2</v>
      </c>
      <c r="W3302">
        <v>0.1802329</v>
      </c>
      <c r="X3302">
        <v>0.9822303</v>
      </c>
      <c r="Y3302">
        <v>-0.68158769999999902</v>
      </c>
      <c r="Z3302">
        <v>0.1548505</v>
      </c>
      <c r="AA3302">
        <v>0.71516400000000002</v>
      </c>
      <c r="AB3302">
        <v>35</v>
      </c>
      <c r="AC3302">
        <v>-15.2760999999999</v>
      </c>
      <c r="AD3302">
        <v>118.37582999999999</v>
      </c>
      <c r="AE3302">
        <v>263.41050000000001</v>
      </c>
      <c r="AF3302">
        <v>-157.625847207032</v>
      </c>
      <c r="AG3302">
        <v>118.37582999999999</v>
      </c>
      <c r="AH3302">
        <v>152.96151209853301</v>
      </c>
      <c r="AI3302">
        <v>61.677728032006598</v>
      </c>
      <c r="AJ3302">
        <v>135.86039118976899</v>
      </c>
      <c r="AK3302">
        <v>249.511460697486</v>
      </c>
      <c r="AL3302">
        <v>79.616674126965506</v>
      </c>
      <c r="AM3302">
        <v>86.949625414044306</v>
      </c>
      <c r="AN3302">
        <v>0.99999999889337499</v>
      </c>
    </row>
    <row r="3303" spans="1:40" x14ac:dyDescent="0.3">
      <c r="A3303" t="str">
        <f>"20200111150925659"</f>
        <v>20200111150925659</v>
      </c>
      <c r="B3303" t="str">
        <f>"1578726565657969"</f>
        <v>1578726565657969</v>
      </c>
      <c r="C3303" t="s">
        <v>40</v>
      </c>
      <c r="D3303">
        <v>5.7245809999999997</v>
      </c>
      <c r="E3303">
        <v>0.61099989999999904</v>
      </c>
      <c r="F3303" t="s">
        <v>43</v>
      </c>
      <c r="G3303">
        <v>-157.53559999999999</v>
      </c>
      <c r="H3303" s="1">
        <v>-2.305301E-6</v>
      </c>
      <c r="I3303">
        <v>144.3733</v>
      </c>
      <c r="J3303">
        <v>-176.88040000000001</v>
      </c>
      <c r="K3303">
        <v>1.1558200000000001</v>
      </c>
      <c r="L3303">
        <v>128.6037</v>
      </c>
      <c r="M3303">
        <v>0.6820444</v>
      </c>
      <c r="N3303">
        <v>0</v>
      </c>
      <c r="O3303">
        <v>0.73127909999999996</v>
      </c>
      <c r="P3303">
        <v>0.70543840000000002</v>
      </c>
      <c r="Q3303">
        <v>0.17304649999999999</v>
      </c>
      <c r="R3303">
        <v>0.68732199999999999</v>
      </c>
      <c r="S3303">
        <v>2.390396</v>
      </c>
      <c r="T3303">
        <v>-0.14156009999999999</v>
      </c>
      <c r="U3303">
        <v>1.952515</v>
      </c>
      <c r="V3303">
        <v>5.245354E-2</v>
      </c>
      <c r="W3303">
        <v>0.1782532</v>
      </c>
      <c r="X3303">
        <v>0.9825855</v>
      </c>
      <c r="Y3303">
        <v>0.13422879999999901</v>
      </c>
      <c r="Z3303">
        <v>-3.5621739999999999E-2</v>
      </c>
      <c r="AA3303">
        <v>0.99030989999999997</v>
      </c>
      <c r="AB3303">
        <v>35</v>
      </c>
      <c r="AC3303">
        <v>19.344799999999999</v>
      </c>
      <c r="AD3303">
        <v>-1.1558223053009999</v>
      </c>
      <c r="AE3303">
        <v>15.769599999999899</v>
      </c>
      <c r="AF3303">
        <v>3.3837021274890602</v>
      </c>
      <c r="AG3303">
        <v>-1.1558223053009999</v>
      </c>
      <c r="AH3303">
        <v>24.673646905079199</v>
      </c>
      <c r="AI3303">
        <v>92.657191774739701</v>
      </c>
      <c r="AJ3303">
        <v>82.191263514397704</v>
      </c>
      <c r="AK3303">
        <v>24.931390191594399</v>
      </c>
      <c r="AL3303">
        <v>79.731969028725899</v>
      </c>
      <c r="AM3303">
        <v>86.944269509125903</v>
      </c>
      <c r="AN3303">
        <v>0.99999992098950696</v>
      </c>
    </row>
    <row r="3304" spans="1:40" x14ac:dyDescent="0.3">
      <c r="A3304" t="str">
        <f>"20200111150925672"</f>
        <v>20200111150925672</v>
      </c>
      <c r="B3304" t="str">
        <f>"1578726565667728"</f>
        <v>1578726565667728</v>
      </c>
      <c r="C3304" t="s">
        <v>40</v>
      </c>
      <c r="D3304">
        <v>5.1976440000000004</v>
      </c>
      <c r="E3304">
        <v>0.61099989999999904</v>
      </c>
      <c r="F3304" t="s">
        <v>111</v>
      </c>
      <c r="G3304">
        <v>-111.005</v>
      </c>
      <c r="H3304">
        <v>5.2423859999999998</v>
      </c>
      <c r="I3304">
        <v>163.01820000000001</v>
      </c>
      <c r="J3304">
        <v>-176.72810000000001</v>
      </c>
      <c r="K3304">
        <v>1.1576420000000001</v>
      </c>
      <c r="L3304">
        <v>128.75980000000001</v>
      </c>
      <c r="M3304">
        <v>0.68862719999999999</v>
      </c>
      <c r="N3304">
        <v>0</v>
      </c>
      <c r="O3304">
        <v>0.72508209999999995</v>
      </c>
      <c r="P3304">
        <v>0.71204880000000004</v>
      </c>
      <c r="Q3304">
        <v>0.170964899999999</v>
      </c>
      <c r="R3304">
        <v>0.68099739999999997</v>
      </c>
      <c r="S3304">
        <v>2.7900700000000001</v>
      </c>
      <c r="T3304">
        <v>0.1730815</v>
      </c>
      <c r="U3304">
        <v>1.457581</v>
      </c>
      <c r="V3304">
        <v>5.2600910000000001E-2</v>
      </c>
      <c r="W3304">
        <v>0.17632679999999901</v>
      </c>
      <c r="X3304">
        <v>0.98292520000000005</v>
      </c>
      <c r="Y3304">
        <v>0.32255260000000002</v>
      </c>
      <c r="Z3304">
        <v>4.6094499999999997E-2</v>
      </c>
      <c r="AA3304">
        <v>0.94542859999999995</v>
      </c>
      <c r="AB3304">
        <v>36</v>
      </c>
      <c r="AC3304">
        <v>65.723100000000002</v>
      </c>
      <c r="AD3304">
        <v>4.0847439999999997</v>
      </c>
      <c r="AE3304">
        <v>34.258399999999902</v>
      </c>
      <c r="AF3304">
        <v>23.991089789708099</v>
      </c>
      <c r="AG3304">
        <v>4.0847439999999997</v>
      </c>
      <c r="AH3304">
        <v>69.888286675496602</v>
      </c>
      <c r="AI3304">
        <v>86.835890261597399</v>
      </c>
      <c r="AJ3304">
        <v>71.053797180554994</v>
      </c>
      <c r="AK3304">
        <v>74.004257561844199</v>
      </c>
      <c r="AL3304">
        <v>79.844120801714297</v>
      </c>
      <c r="AM3304">
        <v>86.936757677316905</v>
      </c>
      <c r="AN3304">
        <v>0.99999997246305306</v>
      </c>
    </row>
    <row r="3305" spans="1:40" x14ac:dyDescent="0.3">
      <c r="A3305" t="str">
        <f>"20200111150925687"</f>
        <v>20200111150925687</v>
      </c>
      <c r="B3305" t="str">
        <f>"1578726565677489"</f>
        <v>1578726565677489</v>
      </c>
      <c r="C3305" t="s">
        <v>40</v>
      </c>
      <c r="D3305">
        <v>4.9145450000000004</v>
      </c>
      <c r="E3305">
        <v>0.61781169999999996</v>
      </c>
      <c r="F3305" t="s">
        <v>111</v>
      </c>
      <c r="G3305">
        <v>-111.005</v>
      </c>
      <c r="H3305">
        <v>5.0522619999999998</v>
      </c>
      <c r="I3305">
        <v>162.33410000000001</v>
      </c>
      <c r="J3305">
        <v>-176.5642</v>
      </c>
      <c r="K3305">
        <v>1.159341</v>
      </c>
      <c r="L3305">
        <v>128.92590000000001</v>
      </c>
      <c r="M3305">
        <v>0.69559629999999995</v>
      </c>
      <c r="N3305">
        <v>0</v>
      </c>
      <c r="O3305">
        <v>0.71839640000000005</v>
      </c>
      <c r="P3305">
        <v>0.71883030000000003</v>
      </c>
      <c r="Q3305">
        <v>0.1667854</v>
      </c>
      <c r="R3305">
        <v>0.67488190000000003</v>
      </c>
      <c r="S3305">
        <v>2.8035739999999998</v>
      </c>
      <c r="T3305">
        <v>0.16613420000000001</v>
      </c>
      <c r="U3305">
        <v>1.4321900000000001</v>
      </c>
      <c r="V3305">
        <v>5.210936E-2</v>
      </c>
      <c r="W3305">
        <v>0.17244379999999901</v>
      </c>
      <c r="X3305">
        <v>0.98364010000000002</v>
      </c>
      <c r="Y3305">
        <v>0.32215719999999998</v>
      </c>
      <c r="Z3305">
        <v>4.39441E-2</v>
      </c>
      <c r="AA3305">
        <v>0.94566570000000005</v>
      </c>
      <c r="AB3305">
        <v>36</v>
      </c>
      <c r="AC3305">
        <v>65.559200000000004</v>
      </c>
      <c r="AD3305">
        <v>3.8929209999999999</v>
      </c>
      <c r="AE3305">
        <v>33.408199999999901</v>
      </c>
      <c r="AF3305">
        <v>23.792898588079201</v>
      </c>
      <c r="AG3305">
        <v>3.8929209999999999</v>
      </c>
      <c r="AH3305">
        <v>69.410601702685497</v>
      </c>
      <c r="AI3305">
        <v>86.963023846866307</v>
      </c>
      <c r="AJ3305">
        <v>71.079065084498197</v>
      </c>
      <c r="AK3305">
        <v>73.478489953616403</v>
      </c>
      <c r="AL3305">
        <v>80.070063227282702</v>
      </c>
      <c r="AM3305">
        <v>86.967531049879597</v>
      </c>
      <c r="AN3305">
        <v>1.00000004794302</v>
      </c>
    </row>
    <row r="3306" spans="1:40" x14ac:dyDescent="0.3">
      <c r="A3306" t="str">
        <f>"20200111150925989"</f>
        <v>20200111150925989</v>
      </c>
      <c r="B3306" t="str">
        <f>"1578726565978097"</f>
        <v>1578726565978097</v>
      </c>
      <c r="C3306" t="s">
        <v>40</v>
      </c>
      <c r="D3306">
        <v>5.6472530000000001</v>
      </c>
      <c r="E3306">
        <v>0.62077349999999998</v>
      </c>
      <c r="F3306" t="s">
        <v>43</v>
      </c>
      <c r="G3306">
        <v>-162.0145</v>
      </c>
      <c r="H3306" s="1">
        <v>-4.413846E-6</v>
      </c>
      <c r="I3306">
        <v>135.90360000000001</v>
      </c>
      <c r="J3306">
        <v>-172.84119999999999</v>
      </c>
      <c r="K3306">
        <v>1.14185</v>
      </c>
      <c r="L3306">
        <v>132.0591</v>
      </c>
      <c r="M3306">
        <v>0.81029340000000005</v>
      </c>
      <c r="N3306">
        <v>0</v>
      </c>
      <c r="O3306">
        <v>0.58560599999999996</v>
      </c>
      <c r="P3306">
        <v>0.8239824</v>
      </c>
      <c r="Q3306">
        <v>0.13879520000000001</v>
      </c>
      <c r="R3306">
        <v>0.54935310000000004</v>
      </c>
      <c r="S3306">
        <v>2.9148860000000001</v>
      </c>
      <c r="T3306">
        <v>-0.23226369999999999</v>
      </c>
      <c r="U3306">
        <v>1.3979189999999999</v>
      </c>
      <c r="V3306">
        <v>4.5425460000000001E-2</v>
      </c>
      <c r="W3306">
        <v>0.1585905</v>
      </c>
      <c r="X3306">
        <v>0.98629889999999998</v>
      </c>
      <c r="Y3306">
        <v>0.17599119999999999</v>
      </c>
      <c r="Z3306">
        <v>-4.7170620000000003E-2</v>
      </c>
      <c r="AA3306">
        <v>0.98326089999999999</v>
      </c>
      <c r="AB3306">
        <v>35</v>
      </c>
      <c r="AC3306">
        <v>10.826699999999899</v>
      </c>
      <c r="AD3306">
        <v>-1.1418544138460001</v>
      </c>
      <c r="AE3306">
        <v>3.8445</v>
      </c>
      <c r="AF3306">
        <v>3.1942464974479101</v>
      </c>
      <c r="AG3306">
        <v>-1.1418544138460001</v>
      </c>
      <c r="AH3306">
        <v>10.9190143023628</v>
      </c>
      <c r="AI3306">
        <v>95.731484241944102</v>
      </c>
      <c r="AJ3306">
        <v>73.693700223543303</v>
      </c>
      <c r="AK3306">
        <v>11.433805819764601</v>
      </c>
      <c r="AL3306">
        <v>80.874906450603106</v>
      </c>
      <c r="AM3306">
        <v>87.363021284994602</v>
      </c>
      <c r="AN3306">
        <v>0.99999996962383497</v>
      </c>
    </row>
    <row r="3307" spans="1:40" x14ac:dyDescent="0.3">
      <c r="A3307" t="str">
        <f>"20200111150926060"</f>
        <v>20200111150926060</v>
      </c>
      <c r="B3307" t="str">
        <f>"1578726566058129"</f>
        <v>1578726566058129</v>
      </c>
      <c r="C3307" t="s">
        <v>40</v>
      </c>
      <c r="D3307">
        <v>5.3566609999999999</v>
      </c>
      <c r="E3307">
        <v>0.64225659999999996</v>
      </c>
      <c r="F3307" t="s">
        <v>43</v>
      </c>
      <c r="G3307">
        <v>-161.11779999999999</v>
      </c>
      <c r="H3307" s="1">
        <v>-4.9455039999999996E-6</v>
      </c>
      <c r="I3307">
        <v>135.29589999999999</v>
      </c>
      <c r="J3307">
        <v>-171.8956</v>
      </c>
      <c r="K3307">
        <v>1.129958</v>
      </c>
      <c r="L3307">
        <v>132.67939999999999</v>
      </c>
      <c r="M3307">
        <v>0.83138179999999995</v>
      </c>
      <c r="N3307">
        <v>0</v>
      </c>
      <c r="O3307">
        <v>0.55529240000000002</v>
      </c>
      <c r="P3307">
        <v>0.84457359999999904</v>
      </c>
      <c r="Q3307">
        <v>0.1400081</v>
      </c>
      <c r="R3307">
        <v>0.51681060000000001</v>
      </c>
      <c r="S3307">
        <v>3.1180729999999999</v>
      </c>
      <c r="T3307">
        <v>-0.30370019999999998</v>
      </c>
      <c r="U3307">
        <v>0.86087039999999904</v>
      </c>
      <c r="V3307">
        <v>4.6289049999999998E-2</v>
      </c>
      <c r="W3307">
        <v>0.15921060000000001</v>
      </c>
      <c r="X3307">
        <v>0.9861588</v>
      </c>
      <c r="Y3307">
        <v>0.310629299999999</v>
      </c>
      <c r="Z3307">
        <v>-6.4414170000000007E-2</v>
      </c>
      <c r="AA3307">
        <v>0.94834609999999997</v>
      </c>
      <c r="AB3307">
        <v>35</v>
      </c>
      <c r="AC3307">
        <v>10.777799999999999</v>
      </c>
      <c r="AD3307">
        <v>-1.1299629455039999</v>
      </c>
      <c r="AE3307">
        <v>2.6164999999999998</v>
      </c>
      <c r="AF3307">
        <v>3.77124067533975</v>
      </c>
      <c r="AG3307">
        <v>-1.1299629455039999</v>
      </c>
      <c r="AH3307">
        <v>10.3087522653395</v>
      </c>
      <c r="AI3307">
        <v>95.877323180067805</v>
      </c>
      <c r="AJ3307">
        <v>69.906014165634602</v>
      </c>
      <c r="AK3307">
        <v>11.0349193815674</v>
      </c>
      <c r="AL3307">
        <v>80.838919795613904</v>
      </c>
      <c r="AM3307">
        <v>87.312580912955696</v>
      </c>
      <c r="AN3307">
        <v>0.99999993505984897</v>
      </c>
    </row>
    <row r="3308" spans="1:40" x14ac:dyDescent="0.3">
      <c r="A3308" t="str">
        <f>"20200111150926074"</f>
        <v>20200111150926074</v>
      </c>
      <c r="B3308" t="str">
        <f>"1578726566067889"</f>
        <v>1578726566067889</v>
      </c>
      <c r="C3308" t="s">
        <v>40</v>
      </c>
      <c r="D3308">
        <v>5.3802050000000001</v>
      </c>
      <c r="E3308">
        <v>0.64679709999999901</v>
      </c>
      <c r="F3308" t="s">
        <v>43</v>
      </c>
      <c r="G3308">
        <v>-158.9195</v>
      </c>
      <c r="H3308" s="1">
        <v>-1.561462E-6</v>
      </c>
      <c r="I3308">
        <v>135.0772</v>
      </c>
      <c r="J3308">
        <v>-171.70359999999999</v>
      </c>
      <c r="K3308">
        <v>1.1276170000000001</v>
      </c>
      <c r="L3308">
        <v>132.79810000000001</v>
      </c>
      <c r="M3308">
        <v>0.83567279999999999</v>
      </c>
      <c r="N3308">
        <v>0</v>
      </c>
      <c r="O3308">
        <v>0.54882030000000004</v>
      </c>
      <c r="P3308">
        <v>0.84828289999999995</v>
      </c>
      <c r="Q3308">
        <v>0.14046610000000001</v>
      </c>
      <c r="R3308">
        <v>0.51057370000000002</v>
      </c>
      <c r="S3308">
        <v>3.2331699999999999</v>
      </c>
      <c r="T3308">
        <v>-0.28154370000000001</v>
      </c>
      <c r="U3308">
        <v>0.59744259999999905</v>
      </c>
      <c r="V3308">
        <v>4.5666329999999998E-2</v>
      </c>
      <c r="W3308">
        <v>0.15957440000000001</v>
      </c>
      <c r="X3308">
        <v>0.98612909999999998</v>
      </c>
      <c r="Y3308">
        <v>0.38476559999999999</v>
      </c>
      <c r="Z3308">
        <v>-6.1203010000000002E-2</v>
      </c>
      <c r="AA3308">
        <v>0.920983</v>
      </c>
      <c r="AB3308">
        <v>35</v>
      </c>
      <c r="AC3308">
        <v>12.784099999999899</v>
      </c>
      <c r="AD3308">
        <v>-1.127618561462</v>
      </c>
      <c r="AE3308">
        <v>2.2791000000000001</v>
      </c>
      <c r="AF3308">
        <v>5.0744714934348298</v>
      </c>
      <c r="AG3308">
        <v>-1.127618561462</v>
      </c>
      <c r="AH3308">
        <v>11.8474756153085</v>
      </c>
      <c r="AI3308">
        <v>95.0000996804538</v>
      </c>
      <c r="AJ3308">
        <v>66.813741450083796</v>
      </c>
      <c r="AK3308">
        <v>12.9377147523497</v>
      </c>
      <c r="AL3308">
        <v>80.817806274527896</v>
      </c>
      <c r="AM3308">
        <v>87.348602702368495</v>
      </c>
      <c r="AN3308">
        <v>1.00000000234891</v>
      </c>
    </row>
    <row r="3309" spans="1:40" x14ac:dyDescent="0.3">
      <c r="A3309" t="str">
        <f>"20200111150926087"</f>
        <v>20200111150926087</v>
      </c>
      <c r="B3309" t="str">
        <f>"1578726566077649"</f>
        <v>1578726566077649</v>
      </c>
      <c r="C3309" t="s">
        <v>40</v>
      </c>
      <c r="D3309">
        <v>5.3520560000000001</v>
      </c>
      <c r="E3309">
        <v>0.64957849999999995</v>
      </c>
      <c r="F3309" t="s">
        <v>43</v>
      </c>
      <c r="G3309">
        <v>-158.23849999999999</v>
      </c>
      <c r="H3309" s="1">
        <v>-1.8015419999999999E-6</v>
      </c>
      <c r="I3309">
        <v>135.04589999999999</v>
      </c>
      <c r="J3309">
        <v>-171.53280000000001</v>
      </c>
      <c r="K3309">
        <v>1.1256079999999999</v>
      </c>
      <c r="L3309">
        <v>132.90190000000001</v>
      </c>
      <c r="M3309">
        <v>0.83950789999999997</v>
      </c>
      <c r="N3309">
        <v>0</v>
      </c>
      <c r="O3309">
        <v>0.54294219999999904</v>
      </c>
      <c r="P3309">
        <v>0.85166189999999997</v>
      </c>
      <c r="Q3309">
        <v>0.1407977</v>
      </c>
      <c r="R3309">
        <v>0.50482510000000003</v>
      </c>
      <c r="S3309">
        <v>3.2546689999999998</v>
      </c>
      <c r="T3309">
        <v>-0.27255760000000001</v>
      </c>
      <c r="U3309">
        <v>0.54333500000000001</v>
      </c>
      <c r="V3309">
        <v>4.5220429999999999E-2</v>
      </c>
      <c r="W3309">
        <v>0.15980510000000001</v>
      </c>
      <c r="X3309">
        <v>0.98611230000000005</v>
      </c>
      <c r="Y3309">
        <v>0.39442120000000003</v>
      </c>
      <c r="Z3309">
        <v>-5.9003609999999998E-2</v>
      </c>
      <c r="AA3309">
        <v>0.9170336</v>
      </c>
      <c r="AB3309">
        <v>35</v>
      </c>
      <c r="AC3309">
        <v>13.2943</v>
      </c>
      <c r="AD3309">
        <v>-1.125609801542</v>
      </c>
      <c r="AE3309">
        <v>2.1439999999999699</v>
      </c>
      <c r="AF3309">
        <v>5.3817222679940002</v>
      </c>
      <c r="AG3309">
        <v>-1.125609801542</v>
      </c>
      <c r="AH3309">
        <v>12.2419169869474</v>
      </c>
      <c r="AI3309">
        <v>94.811393308170295</v>
      </c>
      <c r="AJ3309">
        <v>66.269020736568194</v>
      </c>
      <c r="AK3309">
        <v>13.4199278504194</v>
      </c>
      <c r="AL3309">
        <v>80.804416404543403</v>
      </c>
      <c r="AM3309">
        <v>87.374410682474107</v>
      </c>
      <c r="AN3309">
        <v>1.0000000127433399</v>
      </c>
    </row>
    <row r="3310" spans="1:40" x14ac:dyDescent="0.3">
      <c r="A3310" t="str">
        <f>"20200111150926100"</f>
        <v>20200111150926100</v>
      </c>
      <c r="B3310" t="str">
        <f>"1578726566097169"</f>
        <v>1578726566097169</v>
      </c>
      <c r="C3310" t="s">
        <v>40</v>
      </c>
      <c r="D3310">
        <v>5.3593330000000003</v>
      </c>
      <c r="E3310">
        <v>0.65272149999999995</v>
      </c>
      <c r="F3310" t="s">
        <v>43</v>
      </c>
      <c r="G3310">
        <v>-157.6713</v>
      </c>
      <c r="H3310" s="1">
        <v>-1.997493E-6</v>
      </c>
      <c r="I3310">
        <v>135.03489999999999</v>
      </c>
      <c r="J3310">
        <v>-171.35579999999999</v>
      </c>
      <c r="K3310">
        <v>1.1235729999999999</v>
      </c>
      <c r="L3310">
        <v>133.00829999999999</v>
      </c>
      <c r="M3310">
        <v>0.84348230000000002</v>
      </c>
      <c r="N3310">
        <v>0</v>
      </c>
      <c r="O3310">
        <v>0.536753699999999</v>
      </c>
      <c r="P3310">
        <v>0.85466889999999995</v>
      </c>
      <c r="Q3310">
        <v>0.1417341</v>
      </c>
      <c r="R3310">
        <v>0.49945220000000001</v>
      </c>
      <c r="S3310">
        <v>3.2682950000000002</v>
      </c>
      <c r="T3310">
        <v>-0.26539780000000002</v>
      </c>
      <c r="U3310">
        <v>0.50291439999999998</v>
      </c>
      <c r="V3310">
        <v>4.3951669999999998E-2</v>
      </c>
      <c r="W3310">
        <v>0.16066029999999901</v>
      </c>
      <c r="X3310">
        <v>0.98603070000000004</v>
      </c>
      <c r="Y3310">
        <v>0.39950920000000001</v>
      </c>
      <c r="Z3310">
        <v>-5.710283E-2</v>
      </c>
      <c r="AA3310">
        <v>0.91494900000000001</v>
      </c>
      <c r="AB3310">
        <v>35</v>
      </c>
      <c r="AC3310">
        <v>13.6844999999999</v>
      </c>
      <c r="AD3310">
        <v>-1.1235749974929901</v>
      </c>
      <c r="AE3310">
        <v>2.0266000000000002</v>
      </c>
      <c r="AF3310">
        <v>5.6000836762690902</v>
      </c>
      <c r="AG3310">
        <v>-1.1235749974929901</v>
      </c>
      <c r="AH3310">
        <v>12.5503639160862</v>
      </c>
      <c r="AI3310">
        <v>94.673857183875498</v>
      </c>
      <c r="AJ3310">
        <v>65.953147609440904</v>
      </c>
      <c r="AK3310">
        <v>13.788944571010701</v>
      </c>
      <c r="AL3310">
        <v>80.754775644822899</v>
      </c>
      <c r="AM3310">
        <v>87.447767733109799</v>
      </c>
      <c r="AN3310">
        <v>1.0000000113171801</v>
      </c>
    </row>
    <row r="3311" spans="1:40" x14ac:dyDescent="0.3">
      <c r="A3311" t="str">
        <f>"20200111150926114"</f>
        <v>20200111150926114</v>
      </c>
      <c r="B3311" t="str">
        <f>"1578726566108189"</f>
        <v>1578726566108189</v>
      </c>
      <c r="C3311" t="s">
        <v>40</v>
      </c>
      <c r="D3311">
        <v>5.3886799999999999</v>
      </c>
      <c r="E3311">
        <v>0.65402720000000003</v>
      </c>
      <c r="F3311" t="s">
        <v>43</v>
      </c>
      <c r="G3311">
        <v>-156.5625</v>
      </c>
      <c r="H3311" s="1">
        <v>-2.3607850000000001E-6</v>
      </c>
      <c r="I3311">
        <v>135.08770000000001</v>
      </c>
      <c r="J3311">
        <v>-171.18289999999999</v>
      </c>
      <c r="K3311">
        <v>1.121707</v>
      </c>
      <c r="L3311">
        <v>133.10980000000001</v>
      </c>
      <c r="M3311">
        <v>0.84737390000000001</v>
      </c>
      <c r="N3311">
        <v>0</v>
      </c>
      <c r="O3311">
        <v>0.53059590000000001</v>
      </c>
      <c r="P3311">
        <v>0.85782289999999894</v>
      </c>
      <c r="Q3311">
        <v>0.14246589999999901</v>
      </c>
      <c r="R3311">
        <v>0.49380499999999999</v>
      </c>
      <c r="S3311">
        <v>3.28186</v>
      </c>
      <c r="T3311">
        <v>-0.24926129999999999</v>
      </c>
      <c r="U3311">
        <v>0.46131899999999998</v>
      </c>
      <c r="V3311">
        <v>4.3074759999999997E-2</v>
      </c>
      <c r="W3311">
        <v>0.16127629999999901</v>
      </c>
      <c r="X3311">
        <v>0.98596879999999998</v>
      </c>
      <c r="Y3311">
        <v>0.40509230000000002</v>
      </c>
      <c r="Z3311">
        <v>-5.3324770000000001E-2</v>
      </c>
      <c r="AA3311">
        <v>0.91271939999999996</v>
      </c>
      <c r="AB3311">
        <v>35</v>
      </c>
      <c r="AC3311">
        <v>14.620399999999901</v>
      </c>
      <c r="AD3311">
        <v>-1.1217093607849999</v>
      </c>
      <c r="AE3311">
        <v>1.9779</v>
      </c>
      <c r="AF3311">
        <v>6.0478380502229498</v>
      </c>
      <c r="AG3311">
        <v>-1.1217093607849999</v>
      </c>
      <c r="AH3311">
        <v>13.364019918732501</v>
      </c>
      <c r="AI3311">
        <v>94.372847515426898</v>
      </c>
      <c r="AJ3311">
        <v>65.651045242269802</v>
      </c>
      <c r="AK3311">
        <v>14.711614641502701</v>
      </c>
      <c r="AL3311">
        <v>80.719014792815301</v>
      </c>
      <c r="AM3311">
        <v>87.498466900579601</v>
      </c>
      <c r="AN3311">
        <v>0.999999977232093</v>
      </c>
    </row>
    <row r="3312" spans="1:40" x14ac:dyDescent="0.3">
      <c r="A3312" t="str">
        <f>"20200111150926128"</f>
        <v>20200111150926128</v>
      </c>
      <c r="B3312" t="str">
        <f>"1578726566117949"</f>
        <v>1578726566117949</v>
      </c>
      <c r="C3312" t="s">
        <v>40</v>
      </c>
      <c r="D3312">
        <v>5.3900940000000004</v>
      </c>
      <c r="E3312">
        <v>0.65497019999999995</v>
      </c>
      <c r="F3312" t="s">
        <v>43</v>
      </c>
      <c r="G3312">
        <v>-156.14269999999999</v>
      </c>
      <c r="H3312" s="1">
        <v>-2.5052140000000001E-6</v>
      </c>
      <c r="I3312">
        <v>135.08179999999999</v>
      </c>
      <c r="J3312">
        <v>-170.97989999999999</v>
      </c>
      <c r="K3312">
        <v>1.1196170000000001</v>
      </c>
      <c r="L3312">
        <v>133.22710000000001</v>
      </c>
      <c r="M3312">
        <v>0.8519002</v>
      </c>
      <c r="N3312">
        <v>0</v>
      </c>
      <c r="O3312">
        <v>0.52330659999999996</v>
      </c>
      <c r="P3312">
        <v>0.86160110000000001</v>
      </c>
      <c r="Q3312">
        <v>0.1427281</v>
      </c>
      <c r="R3312">
        <v>0.48710609999999999</v>
      </c>
      <c r="S3312">
        <v>3.2896879999999999</v>
      </c>
      <c r="T3312">
        <v>-0.24534639999999999</v>
      </c>
      <c r="U3312">
        <v>0.43133539999999998</v>
      </c>
      <c r="V3312">
        <v>4.2106329999999997E-2</v>
      </c>
      <c r="W3312">
        <v>0.1613926</v>
      </c>
      <c r="X3312">
        <v>0.98599170000000003</v>
      </c>
      <c r="Y3312">
        <v>0.40581830000000002</v>
      </c>
      <c r="Z3312">
        <v>-5.198991E-2</v>
      </c>
      <c r="AA3312">
        <v>0.91247389999999995</v>
      </c>
      <c r="AB3312">
        <v>35</v>
      </c>
      <c r="AC3312">
        <v>14.8371999999999</v>
      </c>
      <c r="AD3312">
        <v>-1.1196195052140001</v>
      </c>
      <c r="AE3312">
        <v>1.85469999999998</v>
      </c>
      <c r="AF3312">
        <v>6.1511853874538298</v>
      </c>
      <c r="AG3312">
        <v>-1.1196195052140001</v>
      </c>
      <c r="AH3312">
        <v>13.537324945061499</v>
      </c>
      <c r="AI3312">
        <v>94.306095318374801</v>
      </c>
      <c r="AJ3312">
        <v>65.563566641150899</v>
      </c>
      <c r="AK3312">
        <v>14.9113981965296</v>
      </c>
      <c r="AL3312">
        <v>80.712263742744994</v>
      </c>
      <c r="AM3312">
        <v>87.554695387511799</v>
      </c>
      <c r="AN3312">
        <v>1.00000007341485</v>
      </c>
    </row>
    <row r="3313" spans="1:40" x14ac:dyDescent="0.3">
      <c r="A3313" t="str">
        <f>"20200111150926147"</f>
        <v>20200111150926147</v>
      </c>
      <c r="B3313" t="str">
        <f>"1578726566138446"</f>
        <v>1578726566138446</v>
      </c>
      <c r="C3313" t="s">
        <v>40</v>
      </c>
      <c r="D3313">
        <v>5.3842540000000003</v>
      </c>
      <c r="E3313">
        <v>0.65498900000000004</v>
      </c>
      <c r="F3313" t="s">
        <v>43</v>
      </c>
      <c r="G3313">
        <v>-155.74369999999999</v>
      </c>
      <c r="H3313" s="1">
        <v>-2.6429199999999998E-6</v>
      </c>
      <c r="I3313">
        <v>135.0744</v>
      </c>
      <c r="J3313">
        <v>-170.7236</v>
      </c>
      <c r="K3313">
        <v>1.117164</v>
      </c>
      <c r="L3313">
        <v>133.37209999999999</v>
      </c>
      <c r="M3313">
        <v>0.85753849999999998</v>
      </c>
      <c r="N3313">
        <v>0</v>
      </c>
      <c r="O3313">
        <v>0.51402650000000005</v>
      </c>
      <c r="P3313">
        <v>0.8663208</v>
      </c>
      <c r="Q3313">
        <v>0.14294999999999999</v>
      </c>
      <c r="R3313">
        <v>0.4785954</v>
      </c>
      <c r="S3313">
        <v>3.2960509999999998</v>
      </c>
      <c r="T3313">
        <v>-0.2422076</v>
      </c>
      <c r="U3313">
        <v>0.39964290000000002</v>
      </c>
      <c r="V3313">
        <v>4.0895880000000003E-2</v>
      </c>
      <c r="W3313">
        <v>0.16141329999999901</v>
      </c>
      <c r="X3313">
        <v>0.9860392</v>
      </c>
      <c r="Y3313">
        <v>0.40485130000000003</v>
      </c>
      <c r="Z3313">
        <v>-5.0667200000000003E-2</v>
      </c>
      <c r="AA3313">
        <v>0.9129777</v>
      </c>
      <c r="AB3313">
        <v>35</v>
      </c>
      <c r="AC3313">
        <v>14.979900000000001</v>
      </c>
      <c r="AD3313">
        <v>-1.11716664292</v>
      </c>
      <c r="AE3313">
        <v>1.7022999999999999</v>
      </c>
      <c r="AF3313">
        <v>6.2074555107901803</v>
      </c>
      <c r="AG3313">
        <v>-1.11716664292</v>
      </c>
      <c r="AH3313">
        <v>13.6487000227678</v>
      </c>
      <c r="AI3313">
        <v>94.261101390139203</v>
      </c>
      <c r="AJ3313">
        <v>65.543866309745496</v>
      </c>
      <c r="AK3313">
        <v>15.035543805862</v>
      </c>
      <c r="AL3313">
        <v>80.711061417417596</v>
      </c>
      <c r="AM3313">
        <v>87.625024273806702</v>
      </c>
      <c r="AN3313">
        <v>1.0000000151772499</v>
      </c>
    </row>
    <row r="3314" spans="1:40" x14ac:dyDescent="0.3">
      <c r="A3314" t="str">
        <f>"20200111150926159"</f>
        <v>20200111150926159</v>
      </c>
      <c r="B3314" t="str">
        <f>"1578726566157965"</f>
        <v>1578726566157965</v>
      </c>
      <c r="C3314" t="s">
        <v>40</v>
      </c>
      <c r="D3314">
        <v>5.3703200000000004</v>
      </c>
      <c r="E3314">
        <v>0.65359060000000002</v>
      </c>
      <c r="F3314" t="s">
        <v>43</v>
      </c>
      <c r="G3314">
        <v>-154.96780000000001</v>
      </c>
      <c r="H3314" s="1">
        <v>-2.9375280000000002E-6</v>
      </c>
      <c r="I3314">
        <v>135.12639999999999</v>
      </c>
      <c r="J3314">
        <v>-170.54300000000001</v>
      </c>
      <c r="K3314">
        <v>1.115545</v>
      </c>
      <c r="L3314">
        <v>133.4726</v>
      </c>
      <c r="M3314">
        <v>0.8614503</v>
      </c>
      <c r="N3314">
        <v>0</v>
      </c>
      <c r="O3314">
        <v>0.50745169999999995</v>
      </c>
      <c r="P3314">
        <v>0.86920980000000003</v>
      </c>
      <c r="Q3314">
        <v>0.1431819</v>
      </c>
      <c r="R3314">
        <v>0.47325810000000001</v>
      </c>
      <c r="S3314">
        <v>3.2986300000000002</v>
      </c>
      <c r="T3314">
        <v>-0.2338884</v>
      </c>
      <c r="U3314">
        <v>0.36727910000000002</v>
      </c>
      <c r="V3314">
        <v>3.9268959999999999E-2</v>
      </c>
      <c r="W3314">
        <v>0.161525799999999</v>
      </c>
      <c r="X3314">
        <v>0.98608689999999999</v>
      </c>
      <c r="Y3314">
        <v>0.40694560000000002</v>
      </c>
      <c r="Z3314">
        <v>-4.8617180000000003E-2</v>
      </c>
      <c r="AA3314">
        <v>0.91215769999999996</v>
      </c>
      <c r="AB3314">
        <v>35</v>
      </c>
      <c r="AC3314">
        <v>15.575199999999899</v>
      </c>
      <c r="AD3314">
        <v>-1.115547937528</v>
      </c>
      <c r="AE3314">
        <v>1.65379999999998</v>
      </c>
      <c r="AF3314">
        <v>6.4475722570785603</v>
      </c>
      <c r="AG3314">
        <v>-1.115547937528</v>
      </c>
      <c r="AH3314">
        <v>14.1873407638132</v>
      </c>
      <c r="AI3314">
        <v>94.094491804186404</v>
      </c>
      <c r="AJ3314">
        <v>65.560125327255903</v>
      </c>
      <c r="AK3314">
        <v>15.623580676648</v>
      </c>
      <c r="AL3314">
        <v>80.704529837058104</v>
      </c>
      <c r="AM3314">
        <v>87.719513941181503</v>
      </c>
      <c r="AN3314">
        <v>1.0000000048183599</v>
      </c>
    </row>
    <row r="3315" spans="1:40" x14ac:dyDescent="0.3">
      <c r="A3315" t="str">
        <f>"20200111150926172"</f>
        <v>20200111150926172</v>
      </c>
      <c r="B3315" t="str">
        <f>"1578726566167724"</f>
        <v>1578726566167724</v>
      </c>
      <c r="C3315" t="s">
        <v>40</v>
      </c>
      <c r="D3315">
        <v>5.3461230000000004</v>
      </c>
      <c r="E3315">
        <v>0.6535453</v>
      </c>
      <c r="F3315" t="s">
        <v>43</v>
      </c>
      <c r="G3315">
        <v>-154.16130000000001</v>
      </c>
      <c r="H3315" s="1">
        <v>-3.2621099999999999E-6</v>
      </c>
      <c r="I3315">
        <v>135.24700000000001</v>
      </c>
      <c r="J3315">
        <v>-170.36869999999999</v>
      </c>
      <c r="K3315">
        <v>1.114128</v>
      </c>
      <c r="L3315">
        <v>133.56710000000001</v>
      </c>
      <c r="M3315">
        <v>0.86516819999999905</v>
      </c>
      <c r="N3315">
        <v>0</v>
      </c>
      <c r="O3315">
        <v>0.50109490000000001</v>
      </c>
      <c r="P3315">
        <v>0.87240519999999999</v>
      </c>
      <c r="Q3315">
        <v>0.1431828</v>
      </c>
      <c r="R3315">
        <v>0.46734120000000001</v>
      </c>
      <c r="S3315">
        <v>3.2940830000000001</v>
      </c>
      <c r="T3315">
        <v>-0.22431709999999999</v>
      </c>
      <c r="U3315">
        <v>0.3568115</v>
      </c>
      <c r="V3315">
        <v>3.8590569999999998E-2</v>
      </c>
      <c r="W3315">
        <v>0.16137089999999901</v>
      </c>
      <c r="X3315">
        <v>0.98613910000000005</v>
      </c>
      <c r="Y3315">
        <v>0.4031303</v>
      </c>
      <c r="Z3315">
        <v>-4.6207900000000003E-2</v>
      </c>
      <c r="AA3315">
        <v>0.91397519999999999</v>
      </c>
      <c r="AB3315">
        <v>35</v>
      </c>
      <c r="AC3315">
        <v>16.2073999999999</v>
      </c>
      <c r="AD3315">
        <v>-1.1141312621099999</v>
      </c>
      <c r="AE3315">
        <v>1.6798999999999999</v>
      </c>
      <c r="AF3315">
        <v>6.63830725766831</v>
      </c>
      <c r="AG3315">
        <v>-1.1141312621099999</v>
      </c>
      <c r="AH3315">
        <v>14.7976173994295</v>
      </c>
      <c r="AI3315">
        <v>93.929788125558105</v>
      </c>
      <c r="AJ3315">
        <v>65.838685989886997</v>
      </c>
      <c r="AK3315">
        <v>16.256626108031199</v>
      </c>
      <c r="AL3315">
        <v>80.713523467973602</v>
      </c>
      <c r="AM3315">
        <v>87.758988410732897</v>
      </c>
      <c r="AN3315">
        <v>1.0000000620042699</v>
      </c>
    </row>
    <row r="3316" spans="1:40" x14ac:dyDescent="0.3">
      <c r="A3316" t="str">
        <f>"20200111150926189"</f>
        <v>20200111150926189</v>
      </c>
      <c r="B3316" t="str">
        <f>"1578726566177484"</f>
        <v>1578726566177484</v>
      </c>
      <c r="C3316" t="s">
        <v>40</v>
      </c>
      <c r="D3316">
        <v>5.379181</v>
      </c>
      <c r="E3316">
        <v>0.6536689</v>
      </c>
      <c r="F3316" t="s">
        <v>43</v>
      </c>
      <c r="G3316">
        <v>-154.15170000000001</v>
      </c>
      <c r="H3316" s="1">
        <v>-3.2714320000000002E-6</v>
      </c>
      <c r="I3316">
        <v>135.21770000000001</v>
      </c>
      <c r="J3316">
        <v>-170.13759999999999</v>
      </c>
      <c r="K3316">
        <v>1.1123689999999999</v>
      </c>
      <c r="L3316">
        <v>133.69049999999999</v>
      </c>
      <c r="M3316">
        <v>0.87001059999999997</v>
      </c>
      <c r="N3316">
        <v>0</v>
      </c>
      <c r="O3316">
        <v>0.49265009999999998</v>
      </c>
      <c r="P3316">
        <v>0.87660959999999999</v>
      </c>
      <c r="Q3316">
        <v>0.14328850000000001</v>
      </c>
      <c r="R3316">
        <v>0.45937339999999999</v>
      </c>
      <c r="S3316">
        <v>3.2961879999999999</v>
      </c>
      <c r="T3316">
        <v>-0.22645190000000001</v>
      </c>
      <c r="U3316">
        <v>0.33549499999999999</v>
      </c>
      <c r="V3316">
        <v>3.7826279999999997E-2</v>
      </c>
      <c r="W3316">
        <v>0.16126409999999999</v>
      </c>
      <c r="X3316">
        <v>0.98618609999999896</v>
      </c>
      <c r="Y3316">
        <v>0.40011910000000001</v>
      </c>
      <c r="Z3316">
        <v>-4.603956E-2</v>
      </c>
      <c r="AA3316">
        <v>0.91530599999999995</v>
      </c>
      <c r="AB3316">
        <v>35</v>
      </c>
      <c r="AC3316">
        <v>15.9858999999999</v>
      </c>
      <c r="AD3316">
        <v>-1.1123722714319999</v>
      </c>
      <c r="AE3316">
        <v>1.5272000000000201</v>
      </c>
      <c r="AF3316">
        <v>6.5167421063420896</v>
      </c>
      <c r="AG3316">
        <v>-1.1123722714319999</v>
      </c>
      <c r="AH3316">
        <v>14.5930245362857</v>
      </c>
      <c r="AI3316">
        <v>93.981455437427698</v>
      </c>
      <c r="AJ3316">
        <v>65.936106557170405</v>
      </c>
      <c r="AK3316">
        <v>16.020663683738501</v>
      </c>
      <c r="AL3316">
        <v>80.719723104238497</v>
      </c>
      <c r="AM3316">
        <v>87.803432532545401</v>
      </c>
      <c r="AN3316">
        <v>0.99999998062032802</v>
      </c>
    </row>
    <row r="3317" spans="1:40" x14ac:dyDescent="0.3">
      <c r="A3317" t="str">
        <f>"20200111150926204"</f>
        <v>20200111150926204</v>
      </c>
      <c r="B3317" t="str">
        <f>"1578726566197981"</f>
        <v>1578726566197981</v>
      </c>
      <c r="C3317" t="s">
        <v>40</v>
      </c>
      <c r="D3317">
        <v>5.366682</v>
      </c>
      <c r="E3317">
        <v>0.65190890000000001</v>
      </c>
      <c r="F3317" t="s">
        <v>43</v>
      </c>
      <c r="G3317">
        <v>-154.14080000000001</v>
      </c>
      <c r="H3317" s="1">
        <v>-3.2843719999999999E-6</v>
      </c>
      <c r="I3317">
        <v>135.17099999999999</v>
      </c>
      <c r="J3317">
        <v>-169.9282</v>
      </c>
      <c r="K3317">
        <v>1.11091299999999</v>
      </c>
      <c r="L3317">
        <v>133.80009999999999</v>
      </c>
      <c r="M3317">
        <v>0.87431170000000002</v>
      </c>
      <c r="N3317">
        <v>0</v>
      </c>
      <c r="O3317">
        <v>0.48498560000000002</v>
      </c>
      <c r="P3317">
        <v>0.88050059999999997</v>
      </c>
      <c r="Q3317">
        <v>0.1431047</v>
      </c>
      <c r="R3317">
        <v>0.45192890000000002</v>
      </c>
      <c r="S3317">
        <v>3.299728</v>
      </c>
      <c r="T3317">
        <v>-0.22945309999999999</v>
      </c>
      <c r="U3317">
        <v>0.30540469999999997</v>
      </c>
      <c r="V3317">
        <v>3.7403899999999997E-2</v>
      </c>
      <c r="W3317">
        <v>0.16087960000000001</v>
      </c>
      <c r="X3317">
        <v>0.98626499999999995</v>
      </c>
      <c r="Y3317">
        <v>0.40039950000000002</v>
      </c>
      <c r="Z3317">
        <v>-4.6181470000000002E-2</v>
      </c>
      <c r="AA3317">
        <v>0.9151762</v>
      </c>
      <c r="AB3317">
        <v>35</v>
      </c>
      <c r="AC3317">
        <v>15.7873999999999</v>
      </c>
      <c r="AD3317">
        <v>-1.11091628437199</v>
      </c>
      <c r="AE3317">
        <v>1.3709</v>
      </c>
      <c r="AF3317">
        <v>6.4276676777197599</v>
      </c>
      <c r="AG3317">
        <v>-1.11091628437199</v>
      </c>
      <c r="AH3317">
        <v>14.3998701649561</v>
      </c>
      <c r="AI3317">
        <v>94.029714968314707</v>
      </c>
      <c r="AJ3317">
        <v>65.945456682597793</v>
      </c>
      <c r="AK3317">
        <v>15.808393578529101</v>
      </c>
      <c r="AL3317">
        <v>80.742044729991704</v>
      </c>
      <c r="AM3317">
        <v>87.828110058259497</v>
      </c>
      <c r="AN3317">
        <v>0.99999997382818395</v>
      </c>
    </row>
    <row r="3318" spans="1:40" x14ac:dyDescent="0.3">
      <c r="A3318" t="str">
        <f>"20200111150926216"</f>
        <v>20200111150926216</v>
      </c>
      <c r="B3318" t="str">
        <f>"1578726566207741"</f>
        <v>1578726566207741</v>
      </c>
      <c r="C3318" t="s">
        <v>40</v>
      </c>
      <c r="D3318">
        <v>5.444985</v>
      </c>
      <c r="E3318">
        <v>0.65175879999999997</v>
      </c>
      <c r="F3318" t="s">
        <v>43</v>
      </c>
      <c r="G3318">
        <v>-153.1045</v>
      </c>
      <c r="H3318" s="1">
        <v>-3.7095510000000002E-6</v>
      </c>
      <c r="I3318">
        <v>135.28030000000001</v>
      </c>
      <c r="J3318">
        <v>-169.75129999999999</v>
      </c>
      <c r="K3318">
        <v>1.1097790000000001</v>
      </c>
      <c r="L3318">
        <v>133.89099999999999</v>
      </c>
      <c r="M3318">
        <v>0.87787649999999995</v>
      </c>
      <c r="N3318">
        <v>0</v>
      </c>
      <c r="O3318">
        <v>0.47851060000000001</v>
      </c>
      <c r="P3318">
        <v>0.88368189999999902</v>
      </c>
      <c r="Q3318">
        <v>0.14326920000000001</v>
      </c>
      <c r="R3318">
        <v>0.44562370000000001</v>
      </c>
      <c r="S3318">
        <v>3.2937620000000001</v>
      </c>
      <c r="T3318">
        <v>-0.21749660000000001</v>
      </c>
      <c r="U3318">
        <v>0.28981020000000002</v>
      </c>
      <c r="V3318">
        <v>3.706309E-2</v>
      </c>
      <c r="W3318">
        <v>0.16087489999999999</v>
      </c>
      <c r="X3318">
        <v>0.98627869999999995</v>
      </c>
      <c r="Y3318">
        <v>0.39798850000000002</v>
      </c>
      <c r="Z3318">
        <v>-4.3421790000000002E-2</v>
      </c>
      <c r="AA3318">
        <v>0.91636220000000002</v>
      </c>
      <c r="AB3318">
        <v>35</v>
      </c>
      <c r="AC3318">
        <v>16.646799999999899</v>
      </c>
      <c r="AD3318">
        <v>-1.109782709551</v>
      </c>
      <c r="AE3318">
        <v>1.38930000000002</v>
      </c>
      <c r="AF3318">
        <v>6.7176032995756403</v>
      </c>
      <c r="AG3318">
        <v>-1.109782709551</v>
      </c>
      <c r="AH3318">
        <v>15.2142330643478</v>
      </c>
      <c r="AI3318">
        <v>93.817612666989305</v>
      </c>
      <c r="AJ3318">
        <v>66.176904660482194</v>
      </c>
      <c r="AK3318">
        <v>16.668254242396799</v>
      </c>
      <c r="AL3318">
        <v>80.742318192865994</v>
      </c>
      <c r="AM3318">
        <v>87.847910659310003</v>
      </c>
      <c r="AN3318">
        <v>1.0000000400820199</v>
      </c>
    </row>
    <row r="3319" spans="1:40" x14ac:dyDescent="0.3">
      <c r="A3319" t="str">
        <f>"20200111150926229"</f>
        <v>20200111150926229</v>
      </c>
      <c r="B3319" t="str">
        <f>"1578726566217501"</f>
        <v>1578726566217501</v>
      </c>
      <c r="C3319" t="s">
        <v>40</v>
      </c>
      <c r="D3319">
        <v>5.4645289999999997</v>
      </c>
      <c r="E3319">
        <v>0.65107919999999997</v>
      </c>
      <c r="F3319" t="s">
        <v>43</v>
      </c>
      <c r="G3319">
        <v>-153.01140000000001</v>
      </c>
      <c r="H3319" s="1">
        <v>-3.75486E-6</v>
      </c>
      <c r="I3319">
        <v>135.2501</v>
      </c>
      <c r="J3319">
        <v>-169.58439999999999</v>
      </c>
      <c r="K3319">
        <v>1.108814</v>
      </c>
      <c r="L3319">
        <v>133.97489999999999</v>
      </c>
      <c r="M3319">
        <v>0.88117179999999995</v>
      </c>
      <c r="N3319">
        <v>0</v>
      </c>
      <c r="O3319">
        <v>0.47242220000000001</v>
      </c>
      <c r="P3319">
        <v>0.88651919999999995</v>
      </c>
      <c r="Q3319">
        <v>0.14315259999999999</v>
      </c>
      <c r="R3319">
        <v>0.4399903</v>
      </c>
      <c r="S3319">
        <v>3.2953800000000002</v>
      </c>
      <c r="T3319">
        <v>-0.21846979999999999</v>
      </c>
      <c r="U3319">
        <v>0.267547599999999</v>
      </c>
      <c r="V3319">
        <v>3.6436459999999997E-2</v>
      </c>
      <c r="W3319">
        <v>0.16061610000000001</v>
      </c>
      <c r="X3319">
        <v>0.9863442</v>
      </c>
      <c r="Y3319">
        <v>0.3978218</v>
      </c>
      <c r="Z3319">
        <v>-4.3256940000000001E-2</v>
      </c>
      <c r="AA3319">
        <v>0.91644239999999999</v>
      </c>
      <c r="AB3319">
        <v>35</v>
      </c>
      <c r="AC3319">
        <v>16.572999999999901</v>
      </c>
      <c r="AD3319">
        <v>-1.10881775486</v>
      </c>
      <c r="AE3319">
        <v>1.2752000000000101</v>
      </c>
      <c r="AF3319">
        <v>6.6772550782129096</v>
      </c>
      <c r="AG3319">
        <v>-1.10881775486</v>
      </c>
      <c r="AH3319">
        <v>15.141403220742999</v>
      </c>
      <c r="AI3319">
        <v>93.833358828928496</v>
      </c>
      <c r="AJ3319">
        <v>66.202849360807804</v>
      </c>
      <c r="AK3319">
        <v>16.585454581835801</v>
      </c>
      <c r="AL3319">
        <v>80.757341464643602</v>
      </c>
      <c r="AM3319">
        <v>87.884403306192894</v>
      </c>
      <c r="AN3319">
        <v>1.00000001403509</v>
      </c>
    </row>
    <row r="3320" spans="1:40" x14ac:dyDescent="0.3">
      <c r="A3320" t="str">
        <f>"20200111150926243"</f>
        <v>20200111150926243</v>
      </c>
      <c r="B3320" t="str">
        <f>"1578726566237997"</f>
        <v>1578726566237997</v>
      </c>
      <c r="C3320" t="s">
        <v>40</v>
      </c>
      <c r="D3320">
        <v>4.3910410000000004</v>
      </c>
      <c r="E3320">
        <v>0.65107919999999997</v>
      </c>
      <c r="F3320" t="s">
        <v>43</v>
      </c>
      <c r="G3320">
        <v>-152.69370000000001</v>
      </c>
      <c r="H3320" s="1">
        <v>-3.888627E-6</v>
      </c>
      <c r="I3320">
        <v>135.26439999999999</v>
      </c>
      <c r="J3320">
        <v>-169.37569999999999</v>
      </c>
      <c r="K3320">
        <v>1.1076919999999999</v>
      </c>
      <c r="L3320">
        <v>134.07830000000001</v>
      </c>
      <c r="M3320">
        <v>0.88521659999999902</v>
      </c>
      <c r="N3320">
        <v>0</v>
      </c>
      <c r="O3320">
        <v>0.46480759999999999</v>
      </c>
      <c r="P3320">
        <v>0.89017080000000004</v>
      </c>
      <c r="Q3320">
        <v>0.14302819999999999</v>
      </c>
      <c r="R3320">
        <v>0.43259579999999997</v>
      </c>
      <c r="S3320">
        <v>3.2941129999999998</v>
      </c>
      <c r="T3320">
        <v>-0.21624640000000001</v>
      </c>
      <c r="U3320">
        <v>0.25149539999999998</v>
      </c>
      <c r="V3320">
        <v>3.6052800000000003E-2</v>
      </c>
      <c r="W3320">
        <v>0.1603059</v>
      </c>
      <c r="X3320">
        <v>0.98640879999999997</v>
      </c>
      <c r="Y3320">
        <v>0.39437749999999999</v>
      </c>
      <c r="Z3320">
        <v>-4.2293999999999998E-2</v>
      </c>
      <c r="AA3320">
        <v>0.91797470000000003</v>
      </c>
      <c r="AB3320">
        <v>34</v>
      </c>
      <c r="AC3320">
        <v>16.681999999999899</v>
      </c>
      <c r="AD3320">
        <v>-1.1076958886270001</v>
      </c>
      <c r="AE3320">
        <v>1.1860999999999799</v>
      </c>
      <c r="AF3320">
        <v>6.6758372311745404</v>
      </c>
      <c r="AG3320">
        <v>-1.1076958886270001</v>
      </c>
      <c r="AH3320">
        <v>15.254220010115599</v>
      </c>
      <c r="AI3320">
        <v>93.805937791399202</v>
      </c>
      <c r="AJ3320">
        <v>66.363951721239602</v>
      </c>
      <c r="AK3320">
        <v>16.687870476361802</v>
      </c>
      <c r="AL3320">
        <v>80.775348305655299</v>
      </c>
      <c r="AM3320">
        <v>87.906796662106203</v>
      </c>
      <c r="AN3320">
        <v>1.0000000533400399</v>
      </c>
    </row>
    <row r="3321" spans="1:40" x14ac:dyDescent="0.3">
      <c r="A3321" t="str">
        <f>"20200111150926258"</f>
        <v>20200111150926258</v>
      </c>
      <c r="B3321" t="str">
        <f>"1578726566247756"</f>
        <v>1578726566247756</v>
      </c>
      <c r="C3321" t="s">
        <v>40</v>
      </c>
      <c r="D3321">
        <v>5.6077070000000004</v>
      </c>
      <c r="E3321">
        <v>0.65071959999999995</v>
      </c>
      <c r="F3321" t="s">
        <v>43</v>
      </c>
      <c r="G3321">
        <v>-152.57550000000001</v>
      </c>
      <c r="H3321" s="1">
        <v>-3.9469070000000003E-6</v>
      </c>
      <c r="I3321">
        <v>135.2218</v>
      </c>
      <c r="J3321">
        <v>-169.17830000000001</v>
      </c>
      <c r="K3321">
        <v>1.10673</v>
      </c>
      <c r="L3321">
        <v>134.17439999999999</v>
      </c>
      <c r="M3321">
        <v>0.8889591</v>
      </c>
      <c r="N3321">
        <v>0</v>
      </c>
      <c r="O3321">
        <v>0.4576173</v>
      </c>
      <c r="P3321">
        <v>0.89349109999999998</v>
      </c>
      <c r="Q3321">
        <v>0.14254320000000001</v>
      </c>
      <c r="R3321">
        <v>0.42585830000000002</v>
      </c>
      <c r="S3321">
        <v>3.2960509999999998</v>
      </c>
      <c r="T3321">
        <v>-0.2173185</v>
      </c>
      <c r="U3321">
        <v>0.2243347</v>
      </c>
      <c r="V3321">
        <v>3.5445780000000003E-2</v>
      </c>
      <c r="W3321">
        <v>0.15966150000000001</v>
      </c>
      <c r="X3321">
        <v>0.9865353</v>
      </c>
      <c r="Y3321">
        <v>0.39449410000000001</v>
      </c>
      <c r="Z3321">
        <v>-4.2085520000000001E-2</v>
      </c>
      <c r="AA3321">
        <v>0.91793420000000003</v>
      </c>
      <c r="AB3321">
        <v>34</v>
      </c>
      <c r="AC3321">
        <v>16.602799999999998</v>
      </c>
      <c r="AD3321">
        <v>-1.1067339469070001</v>
      </c>
      <c r="AE3321">
        <v>1.0474000000000101</v>
      </c>
      <c r="AF3321">
        <v>6.6383794962266096</v>
      </c>
      <c r="AG3321">
        <v>-1.1067339469070001</v>
      </c>
      <c r="AH3321">
        <v>15.173937523974899</v>
      </c>
      <c r="AI3321">
        <v>93.822916223182304</v>
      </c>
      <c r="AJ3321">
        <v>66.371313722575906</v>
      </c>
      <c r="AK3321">
        <v>16.599437410546599</v>
      </c>
      <c r="AL3321">
        <v>80.812751421015605</v>
      </c>
      <c r="AM3321">
        <v>87.942272967075198</v>
      </c>
      <c r="AN3321">
        <v>1.0000000480240701</v>
      </c>
    </row>
    <row r="3322" spans="1:40" x14ac:dyDescent="0.3">
      <c r="A3322" t="str">
        <f>"20200111150926272"</f>
        <v>20200111150926272</v>
      </c>
      <c r="B3322" t="str">
        <f>"1578726566268253"</f>
        <v>1578726566268253</v>
      </c>
      <c r="C3322" t="s">
        <v>40</v>
      </c>
      <c r="D3322">
        <v>6.6263889999999996</v>
      </c>
      <c r="E3322">
        <v>0.65071959999999995</v>
      </c>
      <c r="F3322" t="s">
        <v>43</v>
      </c>
      <c r="G3322">
        <v>-152.6369</v>
      </c>
      <c r="H3322" s="1">
        <v>-3.9255540000000002E-6</v>
      </c>
      <c r="I3322">
        <v>135.1935</v>
      </c>
      <c r="J3322">
        <v>-168.9863</v>
      </c>
      <c r="K3322">
        <v>1.1059110000000001</v>
      </c>
      <c r="L3322">
        <v>134.2654</v>
      </c>
      <c r="M3322">
        <v>0.892509199999999</v>
      </c>
      <c r="N3322">
        <v>0</v>
      </c>
      <c r="O3322">
        <v>0.45066139999999999</v>
      </c>
      <c r="P3322">
        <v>0.89671250000000002</v>
      </c>
      <c r="Q3322">
        <v>0.14229269999999999</v>
      </c>
      <c r="R3322">
        <v>0.41911720000000002</v>
      </c>
      <c r="S3322">
        <v>3.2960050000000001</v>
      </c>
      <c r="T3322">
        <v>-0.22052530000000001</v>
      </c>
      <c r="U3322">
        <v>0.20307919999999999</v>
      </c>
      <c r="V3322">
        <v>3.5109229999999998E-2</v>
      </c>
      <c r="W3322">
        <v>0.1592539</v>
      </c>
      <c r="X3322">
        <v>0.98661319999999997</v>
      </c>
      <c r="Y3322">
        <v>0.39317730000000001</v>
      </c>
      <c r="Z3322">
        <v>-4.2263780000000001E-2</v>
      </c>
      <c r="AA3322">
        <v>0.91849080000000005</v>
      </c>
      <c r="AB3322">
        <v>34</v>
      </c>
      <c r="AC3322">
        <v>16.349399999999999</v>
      </c>
      <c r="AD3322">
        <v>-1.105914925554</v>
      </c>
      <c r="AE3322">
        <v>0.92810000000000004</v>
      </c>
      <c r="AF3322">
        <v>6.5110944529879298</v>
      </c>
      <c r="AG3322">
        <v>-1.105914925554</v>
      </c>
      <c r="AH3322">
        <v>14.9445788315352</v>
      </c>
      <c r="AI3322">
        <v>93.881103182792302</v>
      </c>
      <c r="AJ3322">
        <v>66.458076134415904</v>
      </c>
      <c r="AK3322">
        <v>16.338844367037201</v>
      </c>
      <c r="AL3322">
        <v>80.836407745181006</v>
      </c>
      <c r="AM3322">
        <v>87.961954876656193</v>
      </c>
      <c r="AN3322">
        <v>1.0000000345553199</v>
      </c>
    </row>
    <row r="3323" spans="1:40" x14ac:dyDescent="0.3">
      <c r="A3323" t="str">
        <f>"20200111150926289"</f>
        <v>20200111150926289</v>
      </c>
      <c r="B3323" t="str">
        <f>"1578726566287772"</f>
        <v>1578726566287772</v>
      </c>
      <c r="C3323" t="s">
        <v>40</v>
      </c>
      <c r="D3323">
        <v>5.3473139999999999</v>
      </c>
      <c r="E3323">
        <v>0.64873309999999995</v>
      </c>
      <c r="F3323" t="s">
        <v>43</v>
      </c>
      <c r="G3323">
        <v>-152.6224</v>
      </c>
      <c r="H3323" s="1">
        <v>-3.9388140000000003E-6</v>
      </c>
      <c r="I3323">
        <v>135.15389999999999</v>
      </c>
      <c r="J3323">
        <v>-168.72819999999999</v>
      </c>
      <c r="K3323">
        <v>1.104914</v>
      </c>
      <c r="L3323">
        <v>134.3854</v>
      </c>
      <c r="M3323">
        <v>0.89716200000000002</v>
      </c>
      <c r="N3323">
        <v>0</v>
      </c>
      <c r="O3323">
        <v>0.44133600000000001</v>
      </c>
      <c r="P3323">
        <v>0.90088509999999999</v>
      </c>
      <c r="Q3323">
        <v>0.141209</v>
      </c>
      <c r="R3323">
        <v>0.41044589999999997</v>
      </c>
      <c r="S3323">
        <v>3.2972410000000001</v>
      </c>
      <c r="T3323">
        <v>-0.2228349</v>
      </c>
      <c r="U3323">
        <v>0.1790466</v>
      </c>
      <c r="V3323">
        <v>3.429691E-2</v>
      </c>
      <c r="W3323">
        <v>0.15797900000000001</v>
      </c>
      <c r="X3323">
        <v>0.98684669999999997</v>
      </c>
      <c r="Y3323">
        <v>0.39027810000000002</v>
      </c>
      <c r="Z3323">
        <v>-4.2043789999999998E-2</v>
      </c>
      <c r="AA3323">
        <v>0.91973660000000002</v>
      </c>
      <c r="AB3323">
        <v>34</v>
      </c>
      <c r="AC3323">
        <v>16.105799999999899</v>
      </c>
      <c r="AD3323">
        <v>-1.104917938814</v>
      </c>
      <c r="AE3323">
        <v>0.76849999999998797</v>
      </c>
      <c r="AF3323">
        <v>6.3896325137558296</v>
      </c>
      <c r="AG3323">
        <v>-1.104917938814</v>
      </c>
      <c r="AH3323">
        <v>14.7219355492171</v>
      </c>
      <c r="AI3323">
        <v>93.938458910415903</v>
      </c>
      <c r="AJ3323">
        <v>66.538133103675307</v>
      </c>
      <c r="AK3323">
        <v>16.086753358824801</v>
      </c>
      <c r="AL3323">
        <v>80.910390662188505</v>
      </c>
      <c r="AM3323">
        <v>88.009541298178803</v>
      </c>
      <c r="AN3323">
        <v>1.0000000258887101</v>
      </c>
    </row>
    <row r="3324" spans="1:40" x14ac:dyDescent="0.3">
      <c r="A3324" t="str">
        <f>"20200111150926303"</f>
        <v>20200111150926303</v>
      </c>
      <c r="B3324" t="str">
        <f>"1578726566297533"</f>
        <v>1578726566297533</v>
      </c>
      <c r="C3324" t="s">
        <v>40</v>
      </c>
      <c r="D3324">
        <v>5.4735469999999999</v>
      </c>
      <c r="E3324">
        <v>0.64770240000000001</v>
      </c>
      <c r="F3324" t="s">
        <v>43</v>
      </c>
      <c r="G3324">
        <v>-152.5478</v>
      </c>
      <c r="H3324" s="1">
        <v>-3.9666149999999996E-6</v>
      </c>
      <c r="I3324">
        <v>135.17760000000001</v>
      </c>
      <c r="J3324">
        <v>-168.54480000000001</v>
      </c>
      <c r="K3324">
        <v>1.1042780000000001</v>
      </c>
      <c r="L3324">
        <v>134.46899999999999</v>
      </c>
      <c r="M3324">
        <v>0.90038339999999994</v>
      </c>
      <c r="N3324">
        <v>0</v>
      </c>
      <c r="O3324">
        <v>0.43473279999999997</v>
      </c>
      <c r="P3324">
        <v>0.90362319999999996</v>
      </c>
      <c r="Q3324">
        <v>0.14078289999999999</v>
      </c>
      <c r="R3324">
        <v>0.40453119999999998</v>
      </c>
      <c r="S3324">
        <v>3.2918699999999999</v>
      </c>
      <c r="T3324">
        <v>-0.2247923</v>
      </c>
      <c r="U3324">
        <v>0.16116329999999901</v>
      </c>
      <c r="V3324">
        <v>3.3471149999999998E-2</v>
      </c>
      <c r="W3324">
        <v>0.1574294</v>
      </c>
      <c r="X3324">
        <v>0.98696289999999998</v>
      </c>
      <c r="Y3324">
        <v>0.38839679999999999</v>
      </c>
      <c r="Z3324">
        <v>-4.2022490000000003E-2</v>
      </c>
      <c r="AA3324">
        <v>0.9205335</v>
      </c>
      <c r="AB3324">
        <v>34</v>
      </c>
      <c r="AC3324">
        <v>15.997</v>
      </c>
      <c r="AD3324">
        <v>-1.1042819666150001</v>
      </c>
      <c r="AE3324">
        <v>0.70860000000001799</v>
      </c>
      <c r="AF3324">
        <v>6.2875080296296897</v>
      </c>
      <c r="AG3324">
        <v>-1.1042819666150001</v>
      </c>
      <c r="AH3324">
        <v>14.644172126742699</v>
      </c>
      <c r="AI3324">
        <v>93.963741908270606</v>
      </c>
      <c r="AJ3324">
        <v>66.763625204425097</v>
      </c>
      <c r="AK3324">
        <v>15.975104793462799</v>
      </c>
      <c r="AL3324">
        <v>80.942279685539305</v>
      </c>
      <c r="AM3324">
        <v>88.057656547164598</v>
      </c>
      <c r="AN3324">
        <v>1.00000004992154</v>
      </c>
    </row>
    <row r="3325" spans="1:40" x14ac:dyDescent="0.3">
      <c r="A3325" t="str">
        <f>"20200111150926316"</f>
        <v>20200111150926316</v>
      </c>
      <c r="B3325" t="str">
        <f>"1578726566308269"</f>
        <v>1578726566308269</v>
      </c>
      <c r="C3325" t="s">
        <v>40</v>
      </c>
      <c r="D3325">
        <v>5.5303950000000004</v>
      </c>
      <c r="E3325">
        <v>0.646873699999999</v>
      </c>
      <c r="F3325" t="s">
        <v>43</v>
      </c>
      <c r="G3325">
        <v>-152.3288</v>
      </c>
      <c r="H3325" s="1">
        <v>-4.0578719999999998E-6</v>
      </c>
      <c r="I3325">
        <v>135.19280000000001</v>
      </c>
      <c r="J3325">
        <v>-168.35319999999999</v>
      </c>
      <c r="K3325">
        <v>1.103688</v>
      </c>
      <c r="L3325">
        <v>134.55449999999999</v>
      </c>
      <c r="M3325">
        <v>0.90366869999999999</v>
      </c>
      <c r="N3325">
        <v>0</v>
      </c>
      <c r="O3325">
        <v>0.42786869999999999</v>
      </c>
      <c r="P3325">
        <v>0.90641879999999997</v>
      </c>
      <c r="Q3325">
        <v>0.14068639999999999</v>
      </c>
      <c r="R3325">
        <v>0.398262</v>
      </c>
      <c r="S3325">
        <v>3.2891689999999998</v>
      </c>
      <c r="T3325">
        <v>-0.22398560000000001</v>
      </c>
      <c r="U3325">
        <v>0.14680480000000001</v>
      </c>
      <c r="V3325">
        <v>3.2742750000000001E-2</v>
      </c>
      <c r="W3325">
        <v>0.15720290000000001</v>
      </c>
      <c r="X3325">
        <v>0.9870234</v>
      </c>
      <c r="Y3325">
        <v>0.38538919999999999</v>
      </c>
      <c r="Z3325">
        <v>-4.1389189999999999E-2</v>
      </c>
      <c r="AA3325">
        <v>0.92182540000000002</v>
      </c>
      <c r="AB3325">
        <v>34</v>
      </c>
      <c r="AC3325">
        <v>16.024399999999901</v>
      </c>
      <c r="AD3325">
        <v>-1.103692057872</v>
      </c>
      <c r="AE3325">
        <v>0.63830000000001497</v>
      </c>
      <c r="AF3325">
        <v>6.2508985238802</v>
      </c>
      <c r="AG3325">
        <v>-1.103692057872</v>
      </c>
      <c r="AH3325">
        <v>14.6865931199332</v>
      </c>
      <c r="AI3325">
        <v>93.955540924964595</v>
      </c>
      <c r="AJ3325">
        <v>66.944456601021002</v>
      </c>
      <c r="AK3325">
        <v>15.9996214325504</v>
      </c>
      <c r="AL3325">
        <v>80.955420497156595</v>
      </c>
      <c r="AM3325">
        <v>88.100010927101195</v>
      </c>
      <c r="AN3325">
        <v>1.0000000157967599</v>
      </c>
    </row>
    <row r="3326" spans="1:40" x14ac:dyDescent="0.3">
      <c r="A3326" t="str">
        <f>"20200111150926329"</f>
        <v>20200111150926329</v>
      </c>
      <c r="B3326" t="str">
        <f>"1578726566327789"</f>
        <v>1578726566327789</v>
      </c>
      <c r="C3326" t="s">
        <v>40</v>
      </c>
      <c r="D3326">
        <v>5.5540699999999896</v>
      </c>
      <c r="E3326">
        <v>0.64548269999999996</v>
      </c>
      <c r="F3326" t="s">
        <v>43</v>
      </c>
      <c r="G3326">
        <v>-152.02430000000001</v>
      </c>
      <c r="H3326" s="1">
        <v>-4.1873370000000001E-6</v>
      </c>
      <c r="I3326">
        <v>135.19929999999999</v>
      </c>
      <c r="J3326">
        <v>-168.1602</v>
      </c>
      <c r="K3326">
        <v>1.103162</v>
      </c>
      <c r="L3326">
        <v>134.6387</v>
      </c>
      <c r="M3326">
        <v>0.9068948</v>
      </c>
      <c r="N3326">
        <v>0</v>
      </c>
      <c r="O3326">
        <v>0.42099399999999998</v>
      </c>
      <c r="P3326">
        <v>0.90926799999999997</v>
      </c>
      <c r="Q3326">
        <v>0.140629</v>
      </c>
      <c r="R3326">
        <v>0.39173360000000002</v>
      </c>
      <c r="S3326">
        <v>3.2871700000000001</v>
      </c>
      <c r="T3326">
        <v>-0.22218350000000001</v>
      </c>
      <c r="U3326">
        <v>0.12980649999999999</v>
      </c>
      <c r="V3326">
        <v>3.2292950000000001E-2</v>
      </c>
      <c r="W3326">
        <v>0.15701219999999999</v>
      </c>
      <c r="X3326">
        <v>0.98706850000000002</v>
      </c>
      <c r="Y3326">
        <v>0.38316299999999998</v>
      </c>
      <c r="Z3326">
        <v>-4.0593810000000001E-2</v>
      </c>
      <c r="AA3326">
        <v>0.92278830000000001</v>
      </c>
      <c r="AB3326">
        <v>34</v>
      </c>
      <c r="AC3326">
        <v>16.1358999999999</v>
      </c>
      <c r="AD3326">
        <v>-1.103166187337</v>
      </c>
      <c r="AE3326">
        <v>0.56059999999999299</v>
      </c>
      <c r="AF3326">
        <v>6.25646532325647</v>
      </c>
      <c r="AG3326">
        <v>-1.103166187337</v>
      </c>
      <c r="AH3326">
        <v>14.8027419826343</v>
      </c>
      <c r="AI3326">
        <v>93.926905334316004</v>
      </c>
      <c r="AJ3326">
        <v>67.088366179172397</v>
      </c>
      <c r="AK3326">
        <v>16.108429600132901</v>
      </c>
      <c r="AL3326">
        <v>80.966483548448906</v>
      </c>
      <c r="AM3326">
        <v>88.126178643217898</v>
      </c>
      <c r="AN3326">
        <v>0.99999994463039399</v>
      </c>
    </row>
    <row r="3327" spans="1:40" x14ac:dyDescent="0.3">
      <c r="A3327" t="str">
        <f>"20200111150926345"</f>
        <v>20200111150926345</v>
      </c>
      <c r="B3327" t="str">
        <f>"1578726566337549"</f>
        <v>1578726566337549</v>
      </c>
      <c r="C3327" t="s">
        <v>40</v>
      </c>
      <c r="D3327">
        <v>5.4640659999999999</v>
      </c>
      <c r="E3327">
        <v>0.64439799999999903</v>
      </c>
      <c r="F3327" t="s">
        <v>43</v>
      </c>
      <c r="G3327">
        <v>-151.6902</v>
      </c>
      <c r="H3327" s="1">
        <v>-4.3263490000000003E-6</v>
      </c>
      <c r="I3327">
        <v>135.22370000000001</v>
      </c>
      <c r="J3327">
        <v>-167.94130000000001</v>
      </c>
      <c r="K3327">
        <v>1.1026279999999999</v>
      </c>
      <c r="L3327">
        <v>134.73249999999999</v>
      </c>
      <c r="M3327">
        <v>0.91046280000000002</v>
      </c>
      <c r="N3327">
        <v>0</v>
      </c>
      <c r="O3327">
        <v>0.4132284</v>
      </c>
      <c r="P3327">
        <v>0.91246959999999999</v>
      </c>
      <c r="Q3327">
        <v>0.14073359999999999</v>
      </c>
      <c r="R3327">
        <v>0.38417849999999998</v>
      </c>
      <c r="S3327">
        <v>3.2831269999999901</v>
      </c>
      <c r="T3327">
        <v>-0.2199043</v>
      </c>
      <c r="U3327">
        <v>0.1166229</v>
      </c>
      <c r="V3327">
        <v>3.1982190000000001E-2</v>
      </c>
      <c r="W3327">
        <v>0.1569642</v>
      </c>
      <c r="X3327">
        <v>0.98708629999999997</v>
      </c>
      <c r="Y3327">
        <v>0.37898080000000001</v>
      </c>
      <c r="Z3327">
        <v>-3.9618729999999998E-2</v>
      </c>
      <c r="AA3327">
        <v>0.92455609999999999</v>
      </c>
      <c r="AB3327">
        <v>34</v>
      </c>
      <c r="AC3327">
        <v>16.251100000000001</v>
      </c>
      <c r="AD3327">
        <v>-1.1026323263490001</v>
      </c>
      <c r="AE3327">
        <v>0.49120000000002001</v>
      </c>
      <c r="AF3327">
        <v>6.2404343414286796</v>
      </c>
      <c r="AG3327">
        <v>-1.1026323263490001</v>
      </c>
      <c r="AH3327">
        <v>14.932567938905001</v>
      </c>
      <c r="AI3327">
        <v>93.897575923631194</v>
      </c>
      <c r="AJ3327">
        <v>67.319576971630497</v>
      </c>
      <c r="AK3327">
        <v>16.221603005461802</v>
      </c>
      <c r="AL3327">
        <v>80.969268707603007</v>
      </c>
      <c r="AM3327">
        <v>88.144231484737901</v>
      </c>
      <c r="AN3327">
        <v>0.99999999210326296</v>
      </c>
    </row>
    <row r="3328" spans="1:40" x14ac:dyDescent="0.3">
      <c r="A3328" t="str">
        <f>"20200111150926358"</f>
        <v>20200111150926358</v>
      </c>
      <c r="B3328" t="str">
        <f>"1578726566348284"</f>
        <v>1578726566348284</v>
      </c>
      <c r="C3328" t="s">
        <v>40</v>
      </c>
      <c r="D3328">
        <v>5.4472269999999998</v>
      </c>
      <c r="E3328">
        <v>0.643366199999999</v>
      </c>
      <c r="F3328" t="s">
        <v>43</v>
      </c>
      <c r="G3328">
        <v>-151.44829999999999</v>
      </c>
      <c r="H3328" s="1">
        <v>-4.4297250000000002E-6</v>
      </c>
      <c r="I3328">
        <v>135.22579999999999</v>
      </c>
      <c r="J3328">
        <v>-167.7473</v>
      </c>
      <c r="K3328">
        <v>1.102201</v>
      </c>
      <c r="L3328">
        <v>134.81399999999999</v>
      </c>
      <c r="M3328">
        <v>0.91354360000000001</v>
      </c>
      <c r="N3328">
        <v>0</v>
      </c>
      <c r="O3328">
        <v>0.40637839999999997</v>
      </c>
      <c r="P3328">
        <v>0.91497410000000001</v>
      </c>
      <c r="Q3328">
        <v>0.1405313</v>
      </c>
      <c r="R3328">
        <v>0.37825039999999999</v>
      </c>
      <c r="S3328">
        <v>3.2802889999999998</v>
      </c>
      <c r="T3328">
        <v>-0.21930250000000001</v>
      </c>
      <c r="U3328">
        <v>9.8129270000000005E-2</v>
      </c>
      <c r="V3328">
        <v>3.092721E-2</v>
      </c>
      <c r="W3328">
        <v>0.1566562</v>
      </c>
      <c r="X3328">
        <v>0.98716879999999996</v>
      </c>
      <c r="Y3328">
        <v>0.37723469999999998</v>
      </c>
      <c r="Z3328">
        <v>-3.9075390000000002E-2</v>
      </c>
      <c r="AA3328">
        <v>0.92529300000000003</v>
      </c>
      <c r="AB3328">
        <v>34</v>
      </c>
      <c r="AC3328">
        <v>16.298999999999999</v>
      </c>
      <c r="AD3328">
        <v>-1.1022054297249999</v>
      </c>
      <c r="AE3328">
        <v>0.411799999999999</v>
      </c>
      <c r="AF3328">
        <v>6.2198595968310197</v>
      </c>
      <c r="AG3328">
        <v>-1.1022054297249999</v>
      </c>
      <c r="AH3328">
        <v>14.990902853546901</v>
      </c>
      <c r="AI3328">
        <v>93.885076531062893</v>
      </c>
      <c r="AJ3328">
        <v>67.466000966595999</v>
      </c>
      <c r="AK3328">
        <v>16.267411551260601</v>
      </c>
      <c r="AL3328">
        <v>80.987136462944605</v>
      </c>
      <c r="AM3328">
        <v>88.205555933002003</v>
      </c>
      <c r="AN3328">
        <v>0.99999994850512997</v>
      </c>
    </row>
    <row r="3329" spans="1:40" x14ac:dyDescent="0.3">
      <c r="A3329" t="str">
        <f>"20200111150926373"</f>
        <v>20200111150926373</v>
      </c>
      <c r="B3329" t="str">
        <f>"1578726566367805"</f>
        <v>1578726566367805</v>
      </c>
      <c r="C3329" t="s">
        <v>40</v>
      </c>
      <c r="D3329">
        <v>5.4492200000000004</v>
      </c>
      <c r="E3329">
        <v>0.6418024</v>
      </c>
      <c r="F3329" t="s">
        <v>43</v>
      </c>
      <c r="G3329">
        <v>-151.37029999999999</v>
      </c>
      <c r="H3329" s="1">
        <v>-4.4604630000000004E-6</v>
      </c>
      <c r="I3329">
        <v>135.24109999999999</v>
      </c>
      <c r="J3329">
        <v>-167.5412</v>
      </c>
      <c r="K3329">
        <v>1.101831</v>
      </c>
      <c r="L3329">
        <v>134.8981</v>
      </c>
      <c r="M3329">
        <v>0.91671930000000001</v>
      </c>
      <c r="N3329">
        <v>0</v>
      </c>
      <c r="O3329">
        <v>0.3991693</v>
      </c>
      <c r="P3329">
        <v>0.91750810000000005</v>
      </c>
      <c r="Q3329">
        <v>0.14043729999999999</v>
      </c>
      <c r="R3329">
        <v>0.37209720000000002</v>
      </c>
      <c r="S3329">
        <v>3.2773279999999998</v>
      </c>
      <c r="T3329">
        <v>-0.22057160000000001</v>
      </c>
      <c r="U3329">
        <v>8.5479739999999999E-2</v>
      </c>
      <c r="V3329">
        <v>2.973023E-2</v>
      </c>
      <c r="W3329">
        <v>0.15645889999999901</v>
      </c>
      <c r="X3329">
        <v>0.98723689999999997</v>
      </c>
      <c r="Y3329">
        <v>0.37348290000000001</v>
      </c>
      <c r="Z3329">
        <v>-3.876843E-2</v>
      </c>
      <c r="AA3329">
        <v>0.92682659999999994</v>
      </c>
      <c r="AB3329">
        <v>34</v>
      </c>
      <c r="AC3329">
        <v>16.1709</v>
      </c>
      <c r="AD3329">
        <v>-1.1018354604629901</v>
      </c>
      <c r="AE3329">
        <v>0.34299999999998898</v>
      </c>
      <c r="AF3329">
        <v>6.1130136689185504</v>
      </c>
      <c r="AG3329">
        <v>-1.1018354604629901</v>
      </c>
      <c r="AH3329">
        <v>14.8941409429282</v>
      </c>
      <c r="AI3329">
        <v>93.915088209931298</v>
      </c>
      <c r="AJ3329">
        <v>67.685244811888396</v>
      </c>
      <c r="AK3329">
        <v>16.137484683993598</v>
      </c>
      <c r="AL3329">
        <v>80.998582392702104</v>
      </c>
      <c r="AM3329">
        <v>88.275082660743706</v>
      </c>
      <c r="AN3329">
        <v>0.99999998534333601</v>
      </c>
    </row>
    <row r="3330" spans="1:40" x14ac:dyDescent="0.3">
      <c r="A3330" t="str">
        <f>"20200111150926387"</f>
        <v>20200111150926387</v>
      </c>
      <c r="B3330" t="str">
        <f>"1578726566377565"</f>
        <v>1578726566377565</v>
      </c>
      <c r="C3330" t="s">
        <v>40</v>
      </c>
      <c r="D3330">
        <v>5.4636380000000004</v>
      </c>
      <c r="E3330">
        <v>0.64103599999999905</v>
      </c>
      <c r="F3330" t="s">
        <v>43</v>
      </c>
      <c r="G3330">
        <v>-151.04750000000001</v>
      </c>
      <c r="H3330" s="1">
        <v>-4.5928490000000002E-6</v>
      </c>
      <c r="I3330">
        <v>135.27539999999999</v>
      </c>
      <c r="J3330">
        <v>-167.32859999999999</v>
      </c>
      <c r="K3330">
        <v>1.10149599999999</v>
      </c>
      <c r="L3330">
        <v>134.98330000000001</v>
      </c>
      <c r="M3330">
        <v>0.91991009999999995</v>
      </c>
      <c r="N3330">
        <v>0</v>
      </c>
      <c r="O3330">
        <v>0.39176620000000001</v>
      </c>
      <c r="P3330">
        <v>0.92009529999999995</v>
      </c>
      <c r="Q3330">
        <v>0.14003550000000001</v>
      </c>
      <c r="R3330">
        <v>0.36580699999999999</v>
      </c>
      <c r="S3330">
        <v>3.2728269999999999</v>
      </c>
      <c r="T3330">
        <v>-0.21863569999999999</v>
      </c>
      <c r="U3330">
        <v>7.4874880000000005E-2</v>
      </c>
      <c r="V3330">
        <v>2.8489199999999999E-2</v>
      </c>
      <c r="W3330">
        <v>0.15595580000000001</v>
      </c>
      <c r="X3330">
        <v>0.98735309999999998</v>
      </c>
      <c r="Y3330">
        <v>0.36902170000000001</v>
      </c>
      <c r="Z3330">
        <v>-3.7879009999999998E-2</v>
      </c>
      <c r="AA3330">
        <v>0.92864860000000005</v>
      </c>
      <c r="AB3330">
        <v>34</v>
      </c>
      <c r="AC3330">
        <v>16.281099999999899</v>
      </c>
      <c r="AD3330">
        <v>-1.10150059284899</v>
      </c>
      <c r="AE3330">
        <v>0.29209999999997599</v>
      </c>
      <c r="AF3330">
        <v>6.08271571019979</v>
      </c>
      <c r="AG3330">
        <v>-1.10150059284899</v>
      </c>
      <c r="AH3330">
        <v>15.024981077496699</v>
      </c>
      <c r="AI3330">
        <v>93.887489955115299</v>
      </c>
      <c r="AJ3330">
        <v>67.9599207466091</v>
      </c>
      <c r="AK3330">
        <v>16.246931720983198</v>
      </c>
      <c r="AL3330">
        <v>81.027766239676396</v>
      </c>
      <c r="AM3330">
        <v>88.347239554973399</v>
      </c>
      <c r="AN3330">
        <v>0.99999999507494497</v>
      </c>
    </row>
    <row r="3331" spans="1:40" x14ac:dyDescent="0.3">
      <c r="A3331" t="str">
        <f>"20200111150926402"</f>
        <v>20200111150926402</v>
      </c>
      <c r="B3331" t="str">
        <f>"1578726566398060"</f>
        <v>1578726566398060</v>
      </c>
      <c r="C3331" t="s">
        <v>40</v>
      </c>
      <c r="D3331">
        <v>5.4518950000000004</v>
      </c>
      <c r="E3331">
        <v>0.63937339999999998</v>
      </c>
      <c r="F3331" t="s">
        <v>43</v>
      </c>
      <c r="G3331">
        <v>-150.85249999999999</v>
      </c>
      <c r="H3331" s="1">
        <v>-4.6768270000000004E-6</v>
      </c>
      <c r="I3331">
        <v>135.27379999999999</v>
      </c>
      <c r="J3331">
        <v>-167.12299999999999</v>
      </c>
      <c r="K3331">
        <v>1.101208</v>
      </c>
      <c r="L3331">
        <v>135.0642</v>
      </c>
      <c r="M3331">
        <v>0.92291369999999895</v>
      </c>
      <c r="N3331">
        <v>0</v>
      </c>
      <c r="O3331">
        <v>0.38464320000000002</v>
      </c>
      <c r="P3331">
        <v>0.92202260000000003</v>
      </c>
      <c r="Q3331">
        <v>0.13905290000000001</v>
      </c>
      <c r="R3331">
        <v>0.36130129999999999</v>
      </c>
      <c r="S3331">
        <v>3.2708889999999999</v>
      </c>
      <c r="T3331">
        <v>-0.2186728</v>
      </c>
      <c r="U3331">
        <v>5.7662959999999999E-2</v>
      </c>
      <c r="V3331">
        <v>2.5661699999999999E-2</v>
      </c>
      <c r="W3331">
        <v>0.1549285</v>
      </c>
      <c r="X3331">
        <v>0.98759229999999998</v>
      </c>
      <c r="Y3331">
        <v>0.36672779999999999</v>
      </c>
      <c r="Z3331">
        <v>-3.7395780000000003E-2</v>
      </c>
      <c r="AA3331">
        <v>0.92957639999999997</v>
      </c>
      <c r="AB3331">
        <v>34</v>
      </c>
      <c r="AC3331">
        <v>16.270499999999998</v>
      </c>
      <c r="AD3331">
        <v>-1.1012126768270001</v>
      </c>
      <c r="AE3331">
        <v>0.20959999999999401</v>
      </c>
      <c r="AF3331">
        <v>6.0380888259778098</v>
      </c>
      <c r="AG3331">
        <v>-1.1012126768270001</v>
      </c>
      <c r="AH3331">
        <v>15.030163273997999</v>
      </c>
      <c r="AI3331">
        <v>93.889319899166097</v>
      </c>
      <c r="AJ3331">
        <v>68.113121756679703</v>
      </c>
      <c r="AK3331">
        <v>16.2350544832175</v>
      </c>
      <c r="AL3331">
        <v>81.0873501010837</v>
      </c>
      <c r="AM3331">
        <v>88.511555492146499</v>
      </c>
      <c r="AN3331">
        <v>0.99999995698921396</v>
      </c>
    </row>
    <row r="3332" spans="1:40" x14ac:dyDescent="0.3">
      <c r="A3332" t="str">
        <f>"20200111150926415"</f>
        <v>20200111150926415</v>
      </c>
      <c r="B3332" t="str">
        <f>"1578726566408397"</f>
        <v>1578726566408397</v>
      </c>
      <c r="C3332" t="s">
        <v>40</v>
      </c>
      <c r="D3332">
        <v>5.2792450000000004</v>
      </c>
      <c r="E3332">
        <v>0.63937339999999998</v>
      </c>
      <c r="F3332" t="s">
        <v>43</v>
      </c>
      <c r="G3332">
        <v>-150.62880000000001</v>
      </c>
      <c r="H3332" s="1">
        <v>-4.7627979999999999E-6</v>
      </c>
      <c r="I3332">
        <v>135.33000000000001</v>
      </c>
      <c r="J3332">
        <v>-166.91820000000001</v>
      </c>
      <c r="K3332">
        <v>1.100975</v>
      </c>
      <c r="L3332">
        <v>135.14259999999999</v>
      </c>
      <c r="M3332">
        <v>0.92581829999999998</v>
      </c>
      <c r="N3332">
        <v>0</v>
      </c>
      <c r="O3332">
        <v>0.37760369999999999</v>
      </c>
      <c r="P3332">
        <v>0.92446709999999999</v>
      </c>
      <c r="Q3332">
        <v>0.13836579999999901</v>
      </c>
      <c r="R3332">
        <v>0.35526809999999998</v>
      </c>
      <c r="S3332">
        <v>3.2659760000000002</v>
      </c>
      <c r="T3332">
        <v>-0.21804879999999999</v>
      </c>
      <c r="U3332">
        <v>5.264282E-2</v>
      </c>
      <c r="V3332">
        <v>2.4565549999999998E-2</v>
      </c>
      <c r="W3332">
        <v>0.1541526</v>
      </c>
      <c r="X3332">
        <v>0.9877416</v>
      </c>
      <c r="Y3332">
        <v>0.36107450000000002</v>
      </c>
      <c r="Z3332">
        <v>-3.6719450000000001E-2</v>
      </c>
      <c r="AA3332">
        <v>0.93181380000000003</v>
      </c>
      <c r="AB3332">
        <v>34</v>
      </c>
      <c r="AC3332">
        <v>16.289400000000001</v>
      </c>
      <c r="AD3332">
        <v>-1.100979762798</v>
      </c>
      <c r="AE3332">
        <v>0.18740000000002499</v>
      </c>
      <c r="AF3332">
        <v>5.9510818365168303</v>
      </c>
      <c r="AG3332">
        <v>-1.100979762798</v>
      </c>
      <c r="AH3332">
        <v>15.084975727044601</v>
      </c>
      <c r="AI3332">
        <v>93.884019178172494</v>
      </c>
      <c r="AJ3332">
        <v>68.470572062035103</v>
      </c>
      <c r="AK3332">
        <v>16.253738774464601</v>
      </c>
      <c r="AL3332">
        <v>81.132346665734303</v>
      </c>
      <c r="AM3332">
        <v>88.575323499347405</v>
      </c>
      <c r="AN3332">
        <v>0.99999997935206097</v>
      </c>
    </row>
    <row r="3333" spans="1:40" x14ac:dyDescent="0.3">
      <c r="A3333" t="str">
        <f>"20200111150926429"</f>
        <v>20200111150926429</v>
      </c>
      <c r="B3333" t="str">
        <f>"1578726566418157"</f>
        <v>1578726566418157</v>
      </c>
      <c r="C3333" t="s">
        <v>40</v>
      </c>
      <c r="D3333">
        <v>5.476934</v>
      </c>
      <c r="E3333">
        <v>0.60433169999999903</v>
      </c>
      <c r="F3333" t="s">
        <v>43</v>
      </c>
      <c r="G3333">
        <v>-150.54900000000001</v>
      </c>
      <c r="H3333" s="1">
        <v>-4.8029089999999998E-6</v>
      </c>
      <c r="I3333">
        <v>135.29679999999999</v>
      </c>
      <c r="J3333">
        <v>-166.72409999999999</v>
      </c>
      <c r="K3333">
        <v>1.1007899999999999</v>
      </c>
      <c r="L3333">
        <v>135.21520000000001</v>
      </c>
      <c r="M3333">
        <v>0.92849519999999997</v>
      </c>
      <c r="N3333">
        <v>0</v>
      </c>
      <c r="O3333">
        <v>0.37097809999999998</v>
      </c>
      <c r="P3333">
        <v>0.92677489999999996</v>
      </c>
      <c r="Q3333">
        <v>0.13791919999999999</v>
      </c>
      <c r="R3333">
        <v>0.34938039999999998</v>
      </c>
      <c r="S3333">
        <v>3.266159</v>
      </c>
      <c r="T3333">
        <v>-0.21968009999999999</v>
      </c>
      <c r="U3333">
        <v>3.0776979999999999E-2</v>
      </c>
      <c r="V3333">
        <v>2.3758700000000001E-2</v>
      </c>
      <c r="W3333">
        <v>0.15361920000000001</v>
      </c>
      <c r="X3333">
        <v>0.98784450000000001</v>
      </c>
      <c r="Y3333">
        <v>0.36064170000000001</v>
      </c>
      <c r="Z3333">
        <v>-3.6568179999999999E-2</v>
      </c>
      <c r="AA3333">
        <v>0.93198729999999996</v>
      </c>
      <c r="AB3333">
        <v>34</v>
      </c>
      <c r="AC3333">
        <v>16.175099999999901</v>
      </c>
      <c r="AD3333">
        <v>-1.100794802909</v>
      </c>
      <c r="AE3333">
        <v>8.1599999999980299E-2</v>
      </c>
      <c r="AF3333">
        <v>5.8983310975175103</v>
      </c>
      <c r="AG3333">
        <v>-1.100794802909</v>
      </c>
      <c r="AH3333">
        <v>14.981436619376201</v>
      </c>
      <c r="AI3333">
        <v>93.911181001177994</v>
      </c>
      <c r="AJ3333">
        <v>68.509978347325301</v>
      </c>
      <c r="AK3333">
        <v>16.138324018138999</v>
      </c>
      <c r="AL3333">
        <v>81.163277241773798</v>
      </c>
      <c r="AM3333">
        <v>88.622241810132607</v>
      </c>
      <c r="AN3333">
        <v>1.0000000453072799</v>
      </c>
    </row>
    <row r="3334" spans="1:40" x14ac:dyDescent="0.3">
      <c r="A3334" t="str">
        <f>"20200111150926445"</f>
        <v>20200111150926445</v>
      </c>
      <c r="B3334" t="str">
        <f>"1578726566437676"</f>
        <v>1578726566437676</v>
      </c>
      <c r="C3334" t="s">
        <v>40</v>
      </c>
      <c r="D3334">
        <v>5.5004900000000001</v>
      </c>
      <c r="E3334">
        <v>0.60869659999999903</v>
      </c>
      <c r="F3334" t="s">
        <v>43</v>
      </c>
      <c r="G3334">
        <v>-147.041</v>
      </c>
      <c r="H3334" s="1">
        <v>-1.732817E-6</v>
      </c>
      <c r="I3334">
        <v>136.904</v>
      </c>
      <c r="J3334">
        <v>-166.49029999999999</v>
      </c>
      <c r="K3334">
        <v>1.1006</v>
      </c>
      <c r="L3334">
        <v>135.30090000000001</v>
      </c>
      <c r="M3334">
        <v>0.93163090000000004</v>
      </c>
      <c r="N3334">
        <v>0</v>
      </c>
      <c r="O3334">
        <v>0.36303790000000002</v>
      </c>
      <c r="P3334">
        <v>0.92950639999999995</v>
      </c>
      <c r="Q3334">
        <v>0.13765250000000001</v>
      </c>
      <c r="R3334">
        <v>0.34215449999999997</v>
      </c>
      <c r="S3334">
        <v>3.1610719999999999</v>
      </c>
      <c r="T3334">
        <v>-0.17678489999999999</v>
      </c>
      <c r="U3334">
        <v>0.27122499999999999</v>
      </c>
      <c r="V3334">
        <v>2.2972860000000001E-2</v>
      </c>
      <c r="W3334">
        <v>0.15324839999999901</v>
      </c>
      <c r="X3334">
        <v>0.98792060000000004</v>
      </c>
      <c r="Y3334">
        <v>0.2811321</v>
      </c>
      <c r="Z3334">
        <v>-2.7657649999999999E-2</v>
      </c>
      <c r="AA3334">
        <v>0.95927039999999997</v>
      </c>
      <c r="AB3334">
        <v>34</v>
      </c>
      <c r="AC3334">
        <v>19.449299999999901</v>
      </c>
      <c r="AD3334">
        <v>-1.1006017328169999</v>
      </c>
      <c r="AE3334">
        <v>1.60309999999998</v>
      </c>
      <c r="AF3334">
        <v>5.5504260928308202</v>
      </c>
      <c r="AG3334">
        <v>-1.1006017328169999</v>
      </c>
      <c r="AH3334">
        <v>18.6447534552101</v>
      </c>
      <c r="AI3334">
        <v>93.238135226667595</v>
      </c>
      <c r="AJ3334">
        <v>73.422061822876998</v>
      </c>
      <c r="AK3334">
        <v>19.484490893832099</v>
      </c>
      <c r="AL3334">
        <v>81.1847764117189</v>
      </c>
      <c r="AM3334">
        <v>88.667898259915603</v>
      </c>
      <c r="AN3334">
        <v>0.99999996815174896</v>
      </c>
    </row>
    <row r="3335" spans="1:40" x14ac:dyDescent="0.3">
      <c r="A3335" t="str">
        <f>"20200111150926458"</f>
        <v>20200111150926458</v>
      </c>
      <c r="B3335" t="str">
        <f>"1578726566448413"</f>
        <v>1578726566448413</v>
      </c>
      <c r="C3335" t="s">
        <v>40</v>
      </c>
      <c r="D3335">
        <v>5.4759460000000004</v>
      </c>
      <c r="E3335">
        <v>0.61019209999999902</v>
      </c>
      <c r="F3335" t="s">
        <v>43</v>
      </c>
      <c r="G3335">
        <v>-147.4264</v>
      </c>
      <c r="H3335" s="1">
        <v>-1.6686509999999999E-6</v>
      </c>
      <c r="I3335">
        <v>136.58410000000001</v>
      </c>
      <c r="J3335">
        <v>-166.3004</v>
      </c>
      <c r="K3335">
        <v>1.1004719999999999</v>
      </c>
      <c r="L3335">
        <v>135.3691</v>
      </c>
      <c r="M3335">
        <v>0.93410789999999999</v>
      </c>
      <c r="N3335">
        <v>0</v>
      </c>
      <c r="O3335">
        <v>0.35662059999999901</v>
      </c>
      <c r="P3335">
        <v>0.93158969999999997</v>
      </c>
      <c r="Q3335">
        <v>0.13842090000000001</v>
      </c>
      <c r="R3335">
        <v>0.33612560000000002</v>
      </c>
      <c r="S3335">
        <v>3.17598</v>
      </c>
      <c r="T3335">
        <v>-0.1833555</v>
      </c>
      <c r="U3335">
        <v>0.21377560000000001</v>
      </c>
      <c r="V3335">
        <v>2.251854E-2</v>
      </c>
      <c r="W3335">
        <v>0.1539297</v>
      </c>
      <c r="X3335">
        <v>0.98782519999999996</v>
      </c>
      <c r="Y3335">
        <v>0.29207240000000001</v>
      </c>
      <c r="Z3335">
        <v>-2.8554469999999998E-2</v>
      </c>
      <c r="AA3335">
        <v>0.95596990000000004</v>
      </c>
      <c r="AB3335">
        <v>34</v>
      </c>
      <c r="AC3335">
        <v>18.873999999999899</v>
      </c>
      <c r="AD3335">
        <v>-1.1004736686509999</v>
      </c>
      <c r="AE3335">
        <v>1.2150000000000001</v>
      </c>
      <c r="AF3335">
        <v>5.5777713220899798</v>
      </c>
      <c r="AG3335">
        <v>-1.1004736686509999</v>
      </c>
      <c r="AH3335">
        <v>18.005075076314</v>
      </c>
      <c r="AI3335">
        <v>93.341300063513899</v>
      </c>
      <c r="AJ3335">
        <v>72.787602308052101</v>
      </c>
      <c r="AK3335">
        <v>18.881348037696501</v>
      </c>
      <c r="AL3335">
        <v>81.145272633692301</v>
      </c>
      <c r="AM3335">
        <v>88.694107135031999</v>
      </c>
      <c r="AN3335">
        <v>1.00000003147043</v>
      </c>
    </row>
    <row r="3336" spans="1:40" x14ac:dyDescent="0.3">
      <c r="A3336" t="str">
        <f>"20200111150926472"</f>
        <v>20200111150926472</v>
      </c>
      <c r="B3336" t="str">
        <f>"1578726566467933"</f>
        <v>1578726566467933</v>
      </c>
      <c r="C3336" t="s">
        <v>40</v>
      </c>
      <c r="D3336">
        <v>5.556362</v>
      </c>
      <c r="E3336">
        <v>0.6109578</v>
      </c>
      <c r="F3336" t="s">
        <v>43</v>
      </c>
      <c r="G3336">
        <v>-148.17009999999999</v>
      </c>
      <c r="H3336" s="1">
        <v>-1.4637930000000001E-6</v>
      </c>
      <c r="I3336">
        <v>136.40280000000001</v>
      </c>
      <c r="J3336">
        <v>-166.09110000000001</v>
      </c>
      <c r="K3336">
        <v>1.1003620000000001</v>
      </c>
      <c r="L3336">
        <v>135.44210000000001</v>
      </c>
      <c r="M3336">
        <v>0.93675620000000004</v>
      </c>
      <c r="N3336">
        <v>0</v>
      </c>
      <c r="O3336">
        <v>0.34960999999999998</v>
      </c>
      <c r="P3336">
        <v>0.9340522</v>
      </c>
      <c r="Q3336">
        <v>0.13907429999999901</v>
      </c>
      <c r="R3336">
        <v>0.32894479999999998</v>
      </c>
      <c r="S3336">
        <v>3.1835170000000002</v>
      </c>
      <c r="T3336">
        <v>-0.19323270000000001</v>
      </c>
      <c r="U3336">
        <v>0.18150330000000001</v>
      </c>
      <c r="V3336">
        <v>2.2663349999999999E-2</v>
      </c>
      <c r="W3336">
        <v>0.15447669999999999</v>
      </c>
      <c r="X3336">
        <v>0.98773650000000002</v>
      </c>
      <c r="Y3336">
        <v>0.29460550000000002</v>
      </c>
      <c r="Z3336">
        <v>-2.9714270000000001E-2</v>
      </c>
      <c r="AA3336">
        <v>0.95515689999999998</v>
      </c>
      <c r="AB3336">
        <v>34</v>
      </c>
      <c r="AC3336">
        <v>17.920999999999999</v>
      </c>
      <c r="AD3336">
        <v>-1.100363463793</v>
      </c>
      <c r="AE3336">
        <v>0.960700000000002</v>
      </c>
      <c r="AF3336">
        <v>5.3460215180950996</v>
      </c>
      <c r="AG3336">
        <v>-1.100363463793</v>
      </c>
      <c r="AH3336">
        <v>17.061571642076999</v>
      </c>
      <c r="AI3336">
        <v>93.521726068464403</v>
      </c>
      <c r="AJ3336">
        <v>72.602296287324805</v>
      </c>
      <c r="AK3336">
        <v>17.913346217893299</v>
      </c>
      <c r="AL3336">
        <v>81.113552481882707</v>
      </c>
      <c r="AM3336">
        <v>88.685594281162693</v>
      </c>
      <c r="AN3336">
        <v>1.0000000358541801</v>
      </c>
    </row>
    <row r="3337" spans="1:40" x14ac:dyDescent="0.3">
      <c r="A3337" t="str">
        <f>"20200111150926488"</f>
        <v>20200111150926488</v>
      </c>
      <c r="B3337" t="str">
        <f>"1578726566477692"</f>
        <v>1578726566477692</v>
      </c>
      <c r="C3337" t="s">
        <v>40</v>
      </c>
      <c r="D3337">
        <v>5.5282249999999999</v>
      </c>
      <c r="E3337">
        <v>0.61097040000000002</v>
      </c>
      <c r="F3337" t="s">
        <v>43</v>
      </c>
      <c r="G3337">
        <v>-148.69399999999999</v>
      </c>
      <c r="H3337" s="1">
        <v>-1.3213650000000001E-6</v>
      </c>
      <c r="I3337">
        <v>136.268</v>
      </c>
      <c r="J3337">
        <v>-165.85650000000001</v>
      </c>
      <c r="K3337">
        <v>1.100263</v>
      </c>
      <c r="L3337">
        <v>135.52199999999999</v>
      </c>
      <c r="M3337">
        <v>0.9396369</v>
      </c>
      <c r="N3337">
        <v>0</v>
      </c>
      <c r="O3337">
        <v>0.34179779999999998</v>
      </c>
      <c r="P3337">
        <v>0.93677010000000005</v>
      </c>
      <c r="Q3337">
        <v>0.1402322</v>
      </c>
      <c r="R3337">
        <v>0.3206196</v>
      </c>
      <c r="S3337">
        <v>3.1885379999999999</v>
      </c>
      <c r="T3337">
        <v>-0.20167470000000001</v>
      </c>
      <c r="U3337">
        <v>0.151382399999999</v>
      </c>
      <c r="V3337">
        <v>2.3158020000000001E-2</v>
      </c>
      <c r="W3337">
        <v>0.15551119999999999</v>
      </c>
      <c r="X3337">
        <v>0.98756270000000002</v>
      </c>
      <c r="Y3337">
        <v>0.29564559999999901</v>
      </c>
      <c r="Z3337">
        <v>-3.0543910000000001E-2</v>
      </c>
      <c r="AA3337">
        <v>0.95480920000000002</v>
      </c>
      <c r="AB3337">
        <v>34</v>
      </c>
      <c r="AC3337">
        <v>17.162500000000001</v>
      </c>
      <c r="AD3337">
        <v>-1.1002643213650001</v>
      </c>
      <c r="AE3337">
        <v>0.74599999999998001</v>
      </c>
      <c r="AF3337">
        <v>5.1446944543346804</v>
      </c>
      <c r="AG3337">
        <v>-1.1002643213650001</v>
      </c>
      <c r="AH3337">
        <v>16.3166692378222</v>
      </c>
      <c r="AI3337">
        <v>93.679675075322507</v>
      </c>
      <c r="AJ3337">
        <v>72.499781516747902</v>
      </c>
      <c r="AK3337">
        <v>17.143866472351601</v>
      </c>
      <c r="AL3337">
        <v>81.053555141391101</v>
      </c>
      <c r="AM3337">
        <v>88.656679033174896</v>
      </c>
      <c r="AN3337">
        <v>1.0000000568235199</v>
      </c>
    </row>
    <row r="3338" spans="1:40" x14ac:dyDescent="0.3">
      <c r="A3338" t="str">
        <f>"20200111150926503"</f>
        <v>20200111150926503</v>
      </c>
      <c r="B3338" t="str">
        <f>"1578726566498191"</f>
        <v>1578726566498191</v>
      </c>
      <c r="C3338" t="s">
        <v>40</v>
      </c>
      <c r="D3338">
        <v>5.5484309999999999</v>
      </c>
      <c r="E3338">
        <v>0.61040059999999996</v>
      </c>
      <c r="F3338" t="s">
        <v>43</v>
      </c>
      <c r="G3338">
        <v>-148.13229999999999</v>
      </c>
      <c r="H3338" s="1">
        <v>-1.528545E-6</v>
      </c>
      <c r="I3338">
        <v>136.20779999999999</v>
      </c>
      <c r="J3338">
        <v>-165.6592</v>
      </c>
      <c r="K3338">
        <v>1.100201</v>
      </c>
      <c r="L3338">
        <v>135.58789999999999</v>
      </c>
      <c r="M3338">
        <v>0.94199049999999995</v>
      </c>
      <c r="N3338">
        <v>0</v>
      </c>
      <c r="O3338">
        <v>0.33526099999999998</v>
      </c>
      <c r="P3338">
        <v>0.93895499999999998</v>
      </c>
      <c r="Q3338">
        <v>0.1417445</v>
      </c>
      <c r="R3338">
        <v>0.31348359999999997</v>
      </c>
      <c r="S3338">
        <v>3.1898960000000001</v>
      </c>
      <c r="T3338">
        <v>-0.19801859999999999</v>
      </c>
      <c r="U3338">
        <v>0.1234283</v>
      </c>
      <c r="V3338">
        <v>2.3739320000000001E-2</v>
      </c>
      <c r="W3338">
        <v>0.156919</v>
      </c>
      <c r="X3338">
        <v>0.98732609999999998</v>
      </c>
      <c r="Y3338">
        <v>0.29743360000000002</v>
      </c>
      <c r="Z3338">
        <v>-2.9662750000000002E-2</v>
      </c>
      <c r="AA3338">
        <v>0.95428159999999895</v>
      </c>
      <c r="AB3338">
        <v>34</v>
      </c>
      <c r="AC3338">
        <v>17.526900000000001</v>
      </c>
      <c r="AD3338">
        <v>-1.1002025285449999</v>
      </c>
      <c r="AE3338">
        <v>0.61990000000000101</v>
      </c>
      <c r="AF3338">
        <v>5.2720703733036798</v>
      </c>
      <c r="AG3338">
        <v>-1.1002025285449999</v>
      </c>
      <c r="AH3338">
        <v>16.654581911310199</v>
      </c>
      <c r="AI3338">
        <v>93.603721799678695</v>
      </c>
      <c r="AJ3338">
        <v>72.434621380838095</v>
      </c>
      <c r="AK3338">
        <v>17.503721611857902</v>
      </c>
      <c r="AL3338">
        <v>80.971890842127095</v>
      </c>
      <c r="AM3338">
        <v>88.622642686584399</v>
      </c>
      <c r="AN3338">
        <v>0.99999997780813499</v>
      </c>
    </row>
    <row r="3339" spans="1:40" x14ac:dyDescent="0.3">
      <c r="A3339" t="str">
        <f>"20200111150926515"</f>
        <v>20200111150926515</v>
      </c>
      <c r="B3339" t="str">
        <f>"1578726566507949"</f>
        <v>1578726566507949</v>
      </c>
      <c r="C3339" t="s">
        <v>40</v>
      </c>
      <c r="D3339">
        <v>5.5473330000000001</v>
      </c>
      <c r="E3339">
        <v>0.60992159999999995</v>
      </c>
      <c r="F3339" t="s">
        <v>43</v>
      </c>
      <c r="G3339">
        <v>-147.71729999999999</v>
      </c>
      <c r="H3339" s="1">
        <v>-1.678682E-6</v>
      </c>
      <c r="I3339">
        <v>136.17429999999999</v>
      </c>
      <c r="J3339">
        <v>-165.4521</v>
      </c>
      <c r="K3339">
        <v>1.1001479999999999</v>
      </c>
      <c r="L3339">
        <v>135.6551</v>
      </c>
      <c r="M3339">
        <v>0.94438800000000001</v>
      </c>
      <c r="N3339">
        <v>0</v>
      </c>
      <c r="O3339">
        <v>0.3284511</v>
      </c>
      <c r="P3339">
        <v>0.9412336</v>
      </c>
      <c r="Q3339">
        <v>0.14218610000000001</v>
      </c>
      <c r="R3339">
        <v>0.30636950000000002</v>
      </c>
      <c r="S3339">
        <v>3.1897739999999999</v>
      </c>
      <c r="T3339">
        <v>-0.19559750000000001</v>
      </c>
      <c r="U3339">
        <v>0.1042633</v>
      </c>
      <c r="V3339">
        <v>2.4035029999999999E-2</v>
      </c>
      <c r="W3339">
        <v>0.1572674</v>
      </c>
      <c r="X3339">
        <v>0.98726349999999996</v>
      </c>
      <c r="Y3339">
        <v>0.29630909999999999</v>
      </c>
      <c r="Z3339">
        <v>-2.8878649999999999E-2</v>
      </c>
      <c r="AA3339">
        <v>0.95465540000000004</v>
      </c>
      <c r="AB3339">
        <v>34</v>
      </c>
      <c r="AC3339">
        <v>17.7348</v>
      </c>
      <c r="AD3339">
        <v>-1.100149678682</v>
      </c>
      <c r="AE3339">
        <v>0.51919999999998301</v>
      </c>
      <c r="AF3339">
        <v>5.3149233698495904</v>
      </c>
      <c r="AG3339">
        <v>-1.100149678682</v>
      </c>
      <c r="AH3339">
        <v>16.856379207395001</v>
      </c>
      <c r="AI3339">
        <v>93.561793431918005</v>
      </c>
      <c r="AJ3339">
        <v>72.499606053743605</v>
      </c>
      <c r="AK3339">
        <v>17.708649291416201</v>
      </c>
      <c r="AL3339">
        <v>80.951677936668403</v>
      </c>
      <c r="AM3339">
        <v>88.605403913603993</v>
      </c>
      <c r="AN3339">
        <v>0.99999996810105396</v>
      </c>
    </row>
    <row r="3340" spans="1:40" x14ac:dyDescent="0.3">
      <c r="A3340" t="str">
        <f>"20200111150926533"</f>
        <v>20200111150926533</v>
      </c>
      <c r="B3340" t="str">
        <f>"1578726566527469"</f>
        <v>1578726566527469</v>
      </c>
      <c r="C3340" t="s">
        <v>40</v>
      </c>
      <c r="D3340">
        <v>5.5303019999999998</v>
      </c>
      <c r="E3340">
        <v>0.60887749999999996</v>
      </c>
      <c r="F3340" t="s">
        <v>43</v>
      </c>
      <c r="G3340">
        <v>-147.63220000000001</v>
      </c>
      <c r="H3340" s="1">
        <v>-1.720688E-6</v>
      </c>
      <c r="I3340">
        <v>136.12520000000001</v>
      </c>
      <c r="J3340">
        <v>-165.20930000000001</v>
      </c>
      <c r="K3340">
        <v>1.1001110000000001</v>
      </c>
      <c r="L3340">
        <v>135.73179999999999</v>
      </c>
      <c r="M3340">
        <v>0.94711029999999996</v>
      </c>
      <c r="N3340">
        <v>0</v>
      </c>
      <c r="O3340">
        <v>0.32052150000000001</v>
      </c>
      <c r="P3340">
        <v>0.94382319999999997</v>
      </c>
      <c r="Q3340">
        <v>0.14208970000000001</v>
      </c>
      <c r="R3340">
        <v>0.29834270000000002</v>
      </c>
      <c r="S3340">
        <v>3.189651</v>
      </c>
      <c r="T3340">
        <v>-0.19691929999999999</v>
      </c>
      <c r="U3340">
        <v>8.415222E-2</v>
      </c>
      <c r="V3340">
        <v>2.412454E-2</v>
      </c>
      <c r="W3340">
        <v>0.15707579999999999</v>
      </c>
      <c r="X3340">
        <v>0.9872919</v>
      </c>
      <c r="Y3340">
        <v>0.294317</v>
      </c>
      <c r="Z3340">
        <v>-2.855419E-2</v>
      </c>
      <c r="AA3340">
        <v>0.95528120000000005</v>
      </c>
      <c r="AB3340">
        <v>34</v>
      </c>
      <c r="AC3340">
        <v>17.577100000000002</v>
      </c>
      <c r="AD3340">
        <v>-1.1001127206879999</v>
      </c>
      <c r="AE3340">
        <v>0.39340000000001402</v>
      </c>
      <c r="AF3340">
        <v>5.2413764690828204</v>
      </c>
      <c r="AG3340">
        <v>-1.1001127206879999</v>
      </c>
      <c r="AH3340">
        <v>16.710201261545301</v>
      </c>
      <c r="AI3340">
        <v>93.594435076719904</v>
      </c>
      <c r="AJ3340">
        <v>72.585274475065702</v>
      </c>
      <c r="AK3340">
        <v>17.5474528490669</v>
      </c>
      <c r="AL3340">
        <v>80.962794695046298</v>
      </c>
      <c r="AM3340">
        <v>88.6002525441004</v>
      </c>
      <c r="AN3340">
        <v>1.0000000480907201</v>
      </c>
    </row>
    <row r="3341" spans="1:40" x14ac:dyDescent="0.3">
      <c r="A3341" t="str">
        <f>"20200111150926548"</f>
        <v>20200111150926548</v>
      </c>
      <c r="B3341" t="str">
        <f>"1578726566538205"</f>
        <v>1578726566538205</v>
      </c>
      <c r="C3341" t="s">
        <v>40</v>
      </c>
      <c r="D3341">
        <v>5.5545869999999997</v>
      </c>
      <c r="E3341">
        <v>0.60858889999999999</v>
      </c>
      <c r="F3341" t="s">
        <v>43</v>
      </c>
      <c r="G3341">
        <v>-148.61420000000001</v>
      </c>
      <c r="H3341" s="1">
        <v>-1.4013119999999999E-6</v>
      </c>
      <c r="I3341">
        <v>136.06950000000001</v>
      </c>
      <c r="J3341">
        <v>-164.982</v>
      </c>
      <c r="K3341">
        <v>1.1000909999999999</v>
      </c>
      <c r="L3341">
        <v>135.80170000000001</v>
      </c>
      <c r="M3341">
        <v>0.94957349999999996</v>
      </c>
      <c r="N3341">
        <v>0</v>
      </c>
      <c r="O3341">
        <v>0.31315320000000002</v>
      </c>
      <c r="P3341">
        <v>0.94614880000000001</v>
      </c>
      <c r="Q3341">
        <v>0.14178669999999999</v>
      </c>
      <c r="R3341">
        <v>0.29103089999999998</v>
      </c>
      <c r="S3341">
        <v>3.18988</v>
      </c>
      <c r="T3341">
        <v>-0.2114617</v>
      </c>
      <c r="U3341">
        <v>6.4926150000000002E-2</v>
      </c>
      <c r="V3341">
        <v>2.405885E-2</v>
      </c>
      <c r="W3341">
        <v>0.15669340000000001</v>
      </c>
      <c r="X3341">
        <v>0.98735419999999996</v>
      </c>
      <c r="Y3341">
        <v>0.29249199999999997</v>
      </c>
      <c r="Z3341">
        <v>-3.013594E-2</v>
      </c>
      <c r="AA3341">
        <v>0.955793</v>
      </c>
      <c r="AB3341">
        <v>34</v>
      </c>
      <c r="AC3341">
        <v>16.3677999999999</v>
      </c>
      <c r="AD3341">
        <v>-1.1000924013119999</v>
      </c>
      <c r="AE3341">
        <v>0.26779999999999399</v>
      </c>
      <c r="AF3341">
        <v>4.8500274957572698</v>
      </c>
      <c r="AG3341">
        <v>-1.1000924013119999</v>
      </c>
      <c r="AH3341">
        <v>15.5579471117591</v>
      </c>
      <c r="AI3341">
        <v>93.861907523574004</v>
      </c>
      <c r="AJ3341">
        <v>72.685677927237904</v>
      </c>
      <c r="AK3341">
        <v>16.333483655770401</v>
      </c>
      <c r="AL3341">
        <v>80.9849787225195</v>
      </c>
      <c r="AM3341">
        <v>88.604150527038499</v>
      </c>
      <c r="AN3341">
        <v>0.99999998306226101</v>
      </c>
    </row>
    <row r="3342" spans="1:40" x14ac:dyDescent="0.3">
      <c r="A3342" t="str">
        <f>"20200111150926569"</f>
        <v>20200111150926569</v>
      </c>
      <c r="B3342" t="str">
        <f>"1578726566557724"</f>
        <v>1578726566557724</v>
      </c>
      <c r="C3342" t="s">
        <v>40</v>
      </c>
      <c r="D3342">
        <v>5.5808260000000001</v>
      </c>
      <c r="E3342">
        <v>0.60719119999999904</v>
      </c>
      <c r="F3342" t="s">
        <v>43</v>
      </c>
      <c r="G3342">
        <v>-149.06540000000001</v>
      </c>
      <c r="H3342" s="1">
        <v>-1.262921E-6</v>
      </c>
      <c r="I3342">
        <v>136.0127</v>
      </c>
      <c r="J3342">
        <v>-164.67160000000001</v>
      </c>
      <c r="K3342">
        <v>1.1000970000000001</v>
      </c>
      <c r="L3342">
        <v>135.89420000000001</v>
      </c>
      <c r="M3342">
        <v>0.95280710000000002</v>
      </c>
      <c r="N3342">
        <v>0</v>
      </c>
      <c r="O3342">
        <v>0.3031778</v>
      </c>
      <c r="P3342">
        <v>0.94897790000000004</v>
      </c>
      <c r="Q3342">
        <v>0.1412011</v>
      </c>
      <c r="R3342">
        <v>0.28196300000000002</v>
      </c>
      <c r="S3342">
        <v>3.1907649999999999</v>
      </c>
      <c r="T3342">
        <v>-0.2205318</v>
      </c>
      <c r="U3342">
        <v>4.2297359999999999E-2</v>
      </c>
      <c r="V3342">
        <v>2.3107140000000002E-2</v>
      </c>
      <c r="W3342">
        <v>0.156029799999999</v>
      </c>
      <c r="X3342">
        <v>0.98748199999999997</v>
      </c>
      <c r="Y3342">
        <v>0.2891628</v>
      </c>
      <c r="Z3342">
        <v>-3.0648410000000001E-2</v>
      </c>
      <c r="AA3342">
        <v>0.95678920000000001</v>
      </c>
      <c r="AB3342">
        <v>34</v>
      </c>
      <c r="AC3342">
        <v>15.606199999999999</v>
      </c>
      <c r="AD3342">
        <v>-1.1000982629210001</v>
      </c>
      <c r="AE3342">
        <v>0.11849999999998299</v>
      </c>
      <c r="AF3342">
        <v>4.5962668306599701</v>
      </c>
      <c r="AG3342">
        <v>-1.1000982629210001</v>
      </c>
      <c r="AH3342">
        <v>14.8337230794733</v>
      </c>
      <c r="AI3342">
        <v>94.052024645972196</v>
      </c>
      <c r="AJ3342">
        <v>72.784272018381301</v>
      </c>
      <c r="AK3342">
        <v>15.568404714844901</v>
      </c>
      <c r="AL3342">
        <v>81.023473572119102</v>
      </c>
      <c r="AM3342">
        <v>88.659519838461307</v>
      </c>
      <c r="AN3342">
        <v>0.99999996936550894</v>
      </c>
    </row>
    <row r="3343" spans="1:40" x14ac:dyDescent="0.3">
      <c r="A3343" t="str">
        <f>"20200111150926591"</f>
        <v>20200111150926591</v>
      </c>
      <c r="B3343" t="str">
        <f>"1578726566587980"</f>
        <v>1578726566587980</v>
      </c>
      <c r="C3343" t="s">
        <v>40</v>
      </c>
      <c r="D3343">
        <v>5.5192249999999996</v>
      </c>
      <c r="E3343">
        <v>0.60479669999999996</v>
      </c>
      <c r="F3343" t="s">
        <v>43</v>
      </c>
      <c r="G3343">
        <v>-149.51609999999999</v>
      </c>
      <c r="H3343" s="1">
        <v>-1.112142E-6</v>
      </c>
      <c r="I3343">
        <v>136.00290000000001</v>
      </c>
      <c r="J3343">
        <v>-164.33779999999999</v>
      </c>
      <c r="K3343">
        <v>1.1001299999999901</v>
      </c>
      <c r="L3343">
        <v>135.9898</v>
      </c>
      <c r="M3343">
        <v>0.95611789999999997</v>
      </c>
      <c r="N3343">
        <v>0</v>
      </c>
      <c r="O3343">
        <v>0.29257509999999998</v>
      </c>
      <c r="P3343">
        <v>0.95141560000000003</v>
      </c>
      <c r="Q3343">
        <v>0.14095929999999901</v>
      </c>
      <c r="R3343">
        <v>0.27374969999999998</v>
      </c>
      <c r="S3343">
        <v>3.1889340000000002</v>
      </c>
      <c r="T3343">
        <v>-0.23147619999999999</v>
      </c>
      <c r="U3343">
        <v>2.2872920000000001E-2</v>
      </c>
      <c r="V3343">
        <v>2.0611770000000001E-2</v>
      </c>
      <c r="W3343">
        <v>0.15575</v>
      </c>
      <c r="X3343">
        <v>0.98758140000000005</v>
      </c>
      <c r="Y3343">
        <v>0.28424440000000001</v>
      </c>
      <c r="Z3343">
        <v>-3.127104E-2</v>
      </c>
      <c r="AA3343">
        <v>0.95824180000000003</v>
      </c>
      <c r="AB3343">
        <v>34</v>
      </c>
      <c r="AC3343">
        <v>14.8216999999999</v>
      </c>
      <c r="AD3343">
        <v>-1.1001311121420001</v>
      </c>
      <c r="AE3343">
        <v>1.3100000000008501E-2</v>
      </c>
      <c r="AF3343">
        <v>4.3007567142805003</v>
      </c>
      <c r="AG3343">
        <v>-1.1001311121420001</v>
      </c>
      <c r="AH3343">
        <v>14.0991395010809</v>
      </c>
      <c r="AI3343">
        <v>94.268256824795401</v>
      </c>
      <c r="AJ3343">
        <v>73.036363914464204</v>
      </c>
      <c r="AK3343">
        <v>14.7814928694727</v>
      </c>
      <c r="AL3343">
        <v>81.039703306849603</v>
      </c>
      <c r="AM3343">
        <v>88.804355773761998</v>
      </c>
      <c r="AN3343">
        <v>0.99999996459424501</v>
      </c>
    </row>
    <row r="3344" spans="1:40" x14ac:dyDescent="0.3">
      <c r="A3344" t="str">
        <f>"20200111150926606"</f>
        <v>20200111150926606</v>
      </c>
      <c r="B3344" t="str">
        <f>"1578726566597742"</f>
        <v>1578726566597742</v>
      </c>
      <c r="C3344" t="s">
        <v>40</v>
      </c>
      <c r="D3344">
        <v>5.612457</v>
      </c>
      <c r="E3344">
        <v>0.60381619999999903</v>
      </c>
      <c r="F3344" t="s">
        <v>43</v>
      </c>
      <c r="G3344">
        <v>-150.3073</v>
      </c>
      <c r="H3344" s="1">
        <v>-4.7728420000000002E-6</v>
      </c>
      <c r="I3344">
        <v>136.05099999999999</v>
      </c>
      <c r="J3344">
        <v>-164.12139999999999</v>
      </c>
      <c r="K3344">
        <v>1.1001729999999901</v>
      </c>
      <c r="L3344">
        <v>136.0497</v>
      </c>
      <c r="M3344">
        <v>0.95817459999999999</v>
      </c>
      <c r="N3344">
        <v>0</v>
      </c>
      <c r="O3344">
        <v>0.285771</v>
      </c>
      <c r="P3344">
        <v>0.95287900000000003</v>
      </c>
      <c r="Q3344">
        <v>0.1407079</v>
      </c>
      <c r="R3344">
        <v>0.26874360000000003</v>
      </c>
      <c r="S3344">
        <v>3.1862339999999998</v>
      </c>
      <c r="T3344">
        <v>-0.2498331</v>
      </c>
      <c r="U3344">
        <v>1.390076E-2</v>
      </c>
      <c r="V3344">
        <v>1.8744070000000002E-2</v>
      </c>
      <c r="W3344">
        <v>0.15548389999999901</v>
      </c>
      <c r="X3344">
        <v>0.9876606</v>
      </c>
      <c r="Y3344">
        <v>0.279904299999999</v>
      </c>
      <c r="Z3344">
        <v>-3.3090219999999997E-2</v>
      </c>
      <c r="AA3344">
        <v>0.95945749999999996</v>
      </c>
      <c r="AB3344">
        <v>34</v>
      </c>
      <c r="AC3344">
        <v>13.8140999999999</v>
      </c>
      <c r="AD3344">
        <v>-1.1001777728419999</v>
      </c>
      <c r="AE3344">
        <v>1.3000000000147299E-3</v>
      </c>
      <c r="AF3344">
        <v>3.9220135179108402</v>
      </c>
      <c r="AG3344">
        <v>-1.1001777728419999</v>
      </c>
      <c r="AH3344">
        <v>13.1548176245193</v>
      </c>
      <c r="AI3344">
        <v>94.582278933302106</v>
      </c>
      <c r="AJ3344">
        <v>73.398431764271905</v>
      </c>
      <c r="AK3344">
        <v>13.771049629599601</v>
      </c>
      <c r="AL3344">
        <v>81.055138263002604</v>
      </c>
      <c r="AM3344">
        <v>88.912756879499398</v>
      </c>
      <c r="AN3344">
        <v>1.00000002205586</v>
      </c>
    </row>
    <row r="3345" spans="1:40" x14ac:dyDescent="0.3">
      <c r="A3345" t="str">
        <f>"20200111150926622"</f>
        <v>20200111150926622</v>
      </c>
      <c r="B3345" t="str">
        <f>"1578726566618236"</f>
        <v>1578726566618236</v>
      </c>
      <c r="C3345" t="s">
        <v>40</v>
      </c>
      <c r="D3345">
        <v>5.5560179999999999</v>
      </c>
      <c r="E3345">
        <v>0.60186249999999997</v>
      </c>
      <c r="F3345" t="s">
        <v>43</v>
      </c>
      <c r="G3345">
        <v>-150.21960000000001</v>
      </c>
      <c r="H3345" s="1">
        <v>-4.8069760000000001E-6</v>
      </c>
      <c r="I3345">
        <v>136.07069999999999</v>
      </c>
      <c r="J3345">
        <v>-163.8913</v>
      </c>
      <c r="K3345">
        <v>1.1002289999999999</v>
      </c>
      <c r="L3345">
        <v>136.11179999999999</v>
      </c>
      <c r="M3345">
        <v>0.96028749999999996</v>
      </c>
      <c r="N3345">
        <v>0</v>
      </c>
      <c r="O3345">
        <v>0.27859260000000002</v>
      </c>
      <c r="P3345">
        <v>0.95429929999999996</v>
      </c>
      <c r="Q3345">
        <v>0.14069309999999999</v>
      </c>
      <c r="R3345">
        <v>0.26366339999999999</v>
      </c>
      <c r="S3345">
        <v>3.1842190000000001</v>
      </c>
      <c r="T3345">
        <v>-0.25199629999999901</v>
      </c>
      <c r="U3345">
        <v>4.8065190000000004E-3</v>
      </c>
      <c r="V3345">
        <v>1.6567729999999999E-2</v>
      </c>
      <c r="W3345">
        <v>0.15546079999999901</v>
      </c>
      <c r="X3345">
        <v>0.98770309999999994</v>
      </c>
      <c r="Y3345">
        <v>0.2754607</v>
      </c>
      <c r="Z3345">
        <v>-3.2674710000000003E-2</v>
      </c>
      <c r="AA3345">
        <v>0.96075690000000002</v>
      </c>
      <c r="AB3345">
        <v>34</v>
      </c>
      <c r="AC3345">
        <v>13.6716999999999</v>
      </c>
      <c r="AD3345">
        <v>-1.100233806976</v>
      </c>
      <c r="AE3345">
        <v>-4.1100000000000102E-2</v>
      </c>
      <c r="AF3345">
        <v>3.8239877983958399</v>
      </c>
      <c r="AG3345">
        <v>-1.100233806976</v>
      </c>
      <c r="AH3345">
        <v>13.034434231996</v>
      </c>
      <c r="AI3345">
        <v>94.630625177294704</v>
      </c>
      <c r="AJ3345">
        <v>73.649587167555495</v>
      </c>
      <c r="AK3345">
        <v>13.6282747573023</v>
      </c>
      <c r="AL3345">
        <v>81.056477725172499</v>
      </c>
      <c r="AM3345">
        <v>89.039010822286301</v>
      </c>
      <c r="AN3345">
        <v>0.99999998188180095</v>
      </c>
    </row>
    <row r="3346" spans="1:40" x14ac:dyDescent="0.3">
      <c r="A3346" t="str">
        <f>"20200111150926636"</f>
        <v>20200111150926636</v>
      </c>
      <c r="B3346" t="str">
        <f>"1578726566627996"</f>
        <v>1578726566627996</v>
      </c>
      <c r="C3346" t="s">
        <v>40</v>
      </c>
      <c r="D3346">
        <v>5.5358070000000001</v>
      </c>
      <c r="E3346">
        <v>0.60128409999999999</v>
      </c>
      <c r="F3346" t="s">
        <v>43</v>
      </c>
      <c r="G3346">
        <v>-150.16650000000001</v>
      </c>
      <c r="H3346" s="1">
        <v>-4.8203409999999999E-6</v>
      </c>
      <c r="I3346">
        <v>136.12379999999999</v>
      </c>
      <c r="J3346">
        <v>-163.6617</v>
      </c>
      <c r="K3346">
        <v>1.100295</v>
      </c>
      <c r="L3346">
        <v>136.17179999999999</v>
      </c>
      <c r="M3346">
        <v>0.96231540000000004</v>
      </c>
      <c r="N3346">
        <v>0</v>
      </c>
      <c r="O3346">
        <v>0.27150849999999999</v>
      </c>
      <c r="P3346">
        <v>0.95565529999999999</v>
      </c>
      <c r="Q3346">
        <v>0.14117769999999999</v>
      </c>
      <c r="R3346">
        <v>0.25844139999999999</v>
      </c>
      <c r="S3346">
        <v>3.1804809999999999</v>
      </c>
      <c r="T3346">
        <v>-0.25495909999999999</v>
      </c>
      <c r="U3346">
        <v>2.7770999999999998E-3</v>
      </c>
      <c r="V3346">
        <v>1.4633770000000001E-2</v>
      </c>
      <c r="W3346">
        <v>0.1559323</v>
      </c>
      <c r="X3346">
        <v>0.98765930000000002</v>
      </c>
      <c r="Y3346">
        <v>0.26898240000000001</v>
      </c>
      <c r="Z3346">
        <v>-3.2287820000000002E-2</v>
      </c>
      <c r="AA3346">
        <v>0.96260369999999995</v>
      </c>
      <c r="AB3346">
        <v>34</v>
      </c>
      <c r="AC3346">
        <v>13.495199999999899</v>
      </c>
      <c r="AD3346">
        <v>-1.1002998203409999</v>
      </c>
      <c r="AE3346">
        <v>-4.8000000000001798E-2</v>
      </c>
      <c r="AF3346">
        <v>3.6861796374923701</v>
      </c>
      <c r="AG3346">
        <v>-1.1002998203409999</v>
      </c>
      <c r="AH3346">
        <v>12.889430501813001</v>
      </c>
      <c r="AI3346">
        <v>94.691985849496405</v>
      </c>
      <c r="AJ3346">
        <v>74.040281994553894</v>
      </c>
      <c r="AK3346">
        <v>13.4512452462801</v>
      </c>
      <c r="AL3346">
        <v>81.029129060233998</v>
      </c>
      <c r="AM3346">
        <v>89.151132468828607</v>
      </c>
      <c r="AN3346">
        <v>0.999999961142095</v>
      </c>
    </row>
    <row r="3347" spans="1:40" x14ac:dyDescent="0.3">
      <c r="A3347" t="str">
        <f>"20200111150926651"</f>
        <v>20200111150926651</v>
      </c>
      <c r="B3347" t="str">
        <f>"1578726566647517"</f>
        <v>1578726566647517</v>
      </c>
      <c r="C3347" t="s">
        <v>40</v>
      </c>
      <c r="D3347">
        <v>5.6021510000000001</v>
      </c>
      <c r="E3347">
        <v>0.59950819999999905</v>
      </c>
      <c r="F3347" t="s">
        <v>43</v>
      </c>
      <c r="G3347">
        <v>-150.126</v>
      </c>
      <c r="H3347" s="1">
        <v>-4.8369500000000003E-6</v>
      </c>
      <c r="I3347">
        <v>136.12799999999999</v>
      </c>
      <c r="J3347">
        <v>-163.46299999999999</v>
      </c>
      <c r="K3347">
        <v>1.100366</v>
      </c>
      <c r="L3347">
        <v>136.22210000000001</v>
      </c>
      <c r="M3347">
        <v>0.96400560000000002</v>
      </c>
      <c r="N3347">
        <v>0</v>
      </c>
      <c r="O3347">
        <v>0.26544780000000001</v>
      </c>
      <c r="P3347">
        <v>0.95621469999999997</v>
      </c>
      <c r="Q3347">
        <v>0.14305660000000001</v>
      </c>
      <c r="R3347">
        <v>0.25531969999999998</v>
      </c>
      <c r="S3347">
        <v>3.1801910000000002</v>
      </c>
      <c r="T3347">
        <v>-0.25851299999999999</v>
      </c>
      <c r="U3347">
        <v>-1.0284420000000001E-2</v>
      </c>
      <c r="V3347">
        <v>1.157088E-2</v>
      </c>
      <c r="W3347">
        <v>0.15783249999999999</v>
      </c>
      <c r="X3347">
        <v>0.98739809999999995</v>
      </c>
      <c r="Y3347">
        <v>0.2668546</v>
      </c>
      <c r="Z3347">
        <v>-3.2178169999999999E-2</v>
      </c>
      <c r="AA3347">
        <v>0.96319940000000004</v>
      </c>
      <c r="AB3347">
        <v>34</v>
      </c>
      <c r="AC3347">
        <v>13.3369999999999</v>
      </c>
      <c r="AD3347">
        <v>-1.10037083694999</v>
      </c>
      <c r="AE3347">
        <v>-9.4100000000025802E-2</v>
      </c>
      <c r="AF3347">
        <v>3.6068580807127</v>
      </c>
      <c r="AG3347">
        <v>-1.10037083694999</v>
      </c>
      <c r="AH3347">
        <v>12.7466807178581</v>
      </c>
      <c r="AI3347">
        <v>94.748353022748802</v>
      </c>
      <c r="AJ3347">
        <v>74.200370358984003</v>
      </c>
      <c r="AK3347">
        <v>13.2927841521717</v>
      </c>
      <c r="AL3347">
        <v>80.918890861690002</v>
      </c>
      <c r="AM3347">
        <v>89.328606926893997</v>
      </c>
      <c r="AN3347">
        <v>0.99999999560191699</v>
      </c>
    </row>
    <row r="3348" spans="1:40" x14ac:dyDescent="0.3">
      <c r="A3348" t="str">
        <f>"20200111150926666"</f>
        <v>20200111150926666</v>
      </c>
      <c r="B3348" t="str">
        <f>"1578726566658253"</f>
        <v>1578726566658253</v>
      </c>
      <c r="C3348" t="s">
        <v>40</v>
      </c>
      <c r="D3348">
        <v>5.542573</v>
      </c>
      <c r="E3348">
        <v>0.59887539999999995</v>
      </c>
      <c r="F3348" t="s">
        <v>43</v>
      </c>
      <c r="G3348">
        <v>-149.72499999999999</v>
      </c>
      <c r="H3348" s="1">
        <v>-9.897647000000001E-7</v>
      </c>
      <c r="I3348">
        <v>136.19560000000001</v>
      </c>
      <c r="J3348">
        <v>-163.23269999999999</v>
      </c>
      <c r="K3348">
        <v>1.1004560000000001</v>
      </c>
      <c r="L3348">
        <v>136.2791</v>
      </c>
      <c r="M3348">
        <v>0.96589740000000002</v>
      </c>
      <c r="N3348">
        <v>0</v>
      </c>
      <c r="O3348">
        <v>0.25848290000000002</v>
      </c>
      <c r="P3348">
        <v>0.95758940000000004</v>
      </c>
      <c r="Q3348">
        <v>0.1442582</v>
      </c>
      <c r="R3348">
        <v>0.2494237</v>
      </c>
      <c r="S3348">
        <v>3.1770779999999998</v>
      </c>
      <c r="T3348">
        <v>-0.25447199999999998</v>
      </c>
      <c r="U3348">
        <v>-6.1187739999999996E-3</v>
      </c>
      <c r="V3348">
        <v>1.0460250000000001E-2</v>
      </c>
      <c r="W3348">
        <v>0.15900249999999999</v>
      </c>
      <c r="X3348">
        <v>0.98722279999999996</v>
      </c>
      <c r="Y3348">
        <v>0.25873010000000002</v>
      </c>
      <c r="Z3348">
        <v>-3.0840119999999999E-2</v>
      </c>
      <c r="AA3348">
        <v>0.96545720000000002</v>
      </c>
      <c r="AB3348">
        <v>34</v>
      </c>
      <c r="AC3348">
        <v>13.5077</v>
      </c>
      <c r="AD3348">
        <v>-1.1004569897647001</v>
      </c>
      <c r="AE3348">
        <v>-8.3499999999986502E-2</v>
      </c>
      <c r="AF3348">
        <v>3.5490160879205699</v>
      </c>
      <c r="AG3348">
        <v>-1.1004569897647001</v>
      </c>
      <c r="AH3348">
        <v>12.941070497001199</v>
      </c>
      <c r="AI3348">
        <v>94.688221198472803</v>
      </c>
      <c r="AJ3348">
        <v>74.664005498145698</v>
      </c>
      <c r="AK3348">
        <v>13.4639454242431</v>
      </c>
      <c r="AL3348">
        <v>80.850997809354197</v>
      </c>
      <c r="AM3348">
        <v>89.392937692668795</v>
      </c>
      <c r="AN3348">
        <v>1.0000000343380699</v>
      </c>
    </row>
    <row r="3349" spans="1:40" x14ac:dyDescent="0.3">
      <c r="A3349" t="str">
        <f>"20200111150926681"</f>
        <v>20200111150926681</v>
      </c>
      <c r="B3349" t="str">
        <f>"1578726566677773"</f>
        <v>1578726566677773</v>
      </c>
      <c r="C3349" t="s">
        <v>40</v>
      </c>
      <c r="D3349">
        <v>5.5990960000000003</v>
      </c>
      <c r="E3349">
        <v>0.62888440000000001</v>
      </c>
      <c r="F3349" t="s">
        <v>43</v>
      </c>
      <c r="G3349">
        <v>-149.5284</v>
      </c>
      <c r="H3349" s="1">
        <v>-1.0570359999999999E-6</v>
      </c>
      <c r="I3349">
        <v>136.1943</v>
      </c>
      <c r="J3349">
        <v>-163.0155</v>
      </c>
      <c r="K3349">
        <v>1.100554</v>
      </c>
      <c r="L3349">
        <v>136.33150000000001</v>
      </c>
      <c r="M3349">
        <v>0.96761509999999995</v>
      </c>
      <c r="N3349">
        <v>0</v>
      </c>
      <c r="O3349">
        <v>0.25198029999999999</v>
      </c>
      <c r="P3349">
        <v>0.95873620000000004</v>
      </c>
      <c r="Q3349">
        <v>0.14542739999999901</v>
      </c>
      <c r="R3349">
        <v>0.24428639999999999</v>
      </c>
      <c r="S3349">
        <v>3.1764220000000001</v>
      </c>
      <c r="T3349">
        <v>-0.25506499999999999</v>
      </c>
      <c r="U3349">
        <v>-1.9638059999999999E-2</v>
      </c>
      <c r="V3349">
        <v>9.0465949999999993E-3</v>
      </c>
      <c r="W3349">
        <v>0.1601515</v>
      </c>
      <c r="X3349">
        <v>0.98705100000000001</v>
      </c>
      <c r="Y3349">
        <v>0.25636330000000002</v>
      </c>
      <c r="Z3349">
        <v>-3.0317730000000001E-2</v>
      </c>
      <c r="AA3349">
        <v>0.96610490000000004</v>
      </c>
      <c r="AB3349">
        <v>34</v>
      </c>
      <c r="AC3349">
        <v>13.4870999999999</v>
      </c>
      <c r="AD3349">
        <v>-1.1005550570360001</v>
      </c>
      <c r="AE3349">
        <v>-0.13720000000000701</v>
      </c>
      <c r="AF3349">
        <v>3.50828304294564</v>
      </c>
      <c r="AG3349">
        <v>-1.1005550570360001</v>
      </c>
      <c r="AH3349">
        <v>12.931132096102299</v>
      </c>
      <c r="AI3349">
        <v>94.695711646843606</v>
      </c>
      <c r="AJ3349">
        <v>74.820747956102693</v>
      </c>
      <c r="AK3349">
        <v>13.4437140935768</v>
      </c>
      <c r="AL3349">
        <v>80.784310165818795</v>
      </c>
      <c r="AM3349">
        <v>89.474883061247596</v>
      </c>
      <c r="AN3349">
        <v>1.00000001021717</v>
      </c>
    </row>
    <row r="3350" spans="1:40" x14ac:dyDescent="0.3">
      <c r="A3350" t="str">
        <f>"20200111150926697"</f>
        <v>20200111150926697</v>
      </c>
      <c r="B3350" t="str">
        <f>"1578726566687532"</f>
        <v>1578726566687532</v>
      </c>
      <c r="C3350" t="s">
        <v>40</v>
      </c>
      <c r="D3350">
        <v>5.6510059999999998</v>
      </c>
      <c r="E3350">
        <v>0.64015859999999902</v>
      </c>
      <c r="F3350" t="s">
        <v>43</v>
      </c>
      <c r="G3350">
        <v>-90.351950000000002</v>
      </c>
      <c r="H3350" s="1">
        <v>-5.77597499999999E-6</v>
      </c>
      <c r="I3350">
        <v>130.28799999999899</v>
      </c>
      <c r="J3350">
        <v>-162.7713</v>
      </c>
      <c r="K3350">
        <v>1.100673</v>
      </c>
      <c r="L3350">
        <v>136.38829999999999</v>
      </c>
      <c r="M3350">
        <v>0.9694623</v>
      </c>
      <c r="N3350">
        <v>0</v>
      </c>
      <c r="O3350">
        <v>0.24478030000000001</v>
      </c>
      <c r="P3350">
        <v>0.96038869999999998</v>
      </c>
      <c r="Q3350">
        <v>0.145735</v>
      </c>
      <c r="R3350">
        <v>0.2375187</v>
      </c>
      <c r="S3350">
        <v>3.2043910000000002</v>
      </c>
      <c r="T3350">
        <v>-4.8533560000000003E-2</v>
      </c>
      <c r="U3350">
        <v>-0.26651000000000002</v>
      </c>
      <c r="V3350">
        <v>8.6106029999999997E-3</v>
      </c>
      <c r="W3350">
        <v>0.16041329999999901</v>
      </c>
      <c r="X3350">
        <v>0.98701240000000001</v>
      </c>
      <c r="Y3350">
        <v>0.32426290000000002</v>
      </c>
      <c r="Z3350">
        <v>-6.13337E-3</v>
      </c>
      <c r="AA3350">
        <v>0.94594710000000004</v>
      </c>
      <c r="AB3350">
        <v>34</v>
      </c>
      <c r="AC3350">
        <v>72.419349999999994</v>
      </c>
      <c r="AD3350">
        <v>-1.1006787759749901</v>
      </c>
      <c r="AE3350">
        <v>-6.1002999999999998</v>
      </c>
      <c r="AF3350">
        <v>23.638084569827299</v>
      </c>
      <c r="AG3350">
        <v>-1.1006787759749901</v>
      </c>
      <c r="AH3350">
        <v>68.706584242278694</v>
      </c>
      <c r="AI3350">
        <v>90.867879890397006</v>
      </c>
      <c r="AJ3350">
        <v>71.0145313257092</v>
      </c>
      <c r="AK3350">
        <v>72.667497921282106</v>
      </c>
      <c r="AL3350">
        <v>80.769113782171203</v>
      </c>
      <c r="AM3350">
        <v>89.500169708318893</v>
      </c>
      <c r="AN3350">
        <v>1.0000000235273301</v>
      </c>
    </row>
    <row r="3351" spans="1:40" x14ac:dyDescent="0.3">
      <c r="A3351" t="str">
        <f>"20200111150926712"</f>
        <v>20200111150926712</v>
      </c>
      <c r="B3351" t="str">
        <f>"1578726566707596"</f>
        <v>1578726566707596</v>
      </c>
      <c r="C3351" t="s">
        <v>40</v>
      </c>
      <c r="D3351">
        <v>5.4974040000000004</v>
      </c>
      <c r="E3351">
        <v>0.647646099999999</v>
      </c>
      <c r="F3351" t="s">
        <v>43</v>
      </c>
      <c r="G3351">
        <v>-118.22790000000001</v>
      </c>
      <c r="H3351" s="1">
        <v>-2.830437E-6</v>
      </c>
      <c r="I3351">
        <v>131.1927</v>
      </c>
      <c r="J3351">
        <v>-162.54339999999999</v>
      </c>
      <c r="K3351">
        <v>1.100786</v>
      </c>
      <c r="L3351">
        <v>136.43950000000001</v>
      </c>
      <c r="M3351">
        <v>0.97111170000000002</v>
      </c>
      <c r="N3351">
        <v>0</v>
      </c>
      <c r="O3351">
        <v>0.23815639999999999</v>
      </c>
      <c r="P3351">
        <v>0.96185699999999996</v>
      </c>
      <c r="Q3351">
        <v>0.14579049999999999</v>
      </c>
      <c r="R3351">
        <v>0.23146639999999999</v>
      </c>
      <c r="S3351">
        <v>3.2290040000000002</v>
      </c>
      <c r="T3351">
        <v>-7.9789159999999998E-2</v>
      </c>
      <c r="U3351">
        <v>-0.37663269999999999</v>
      </c>
      <c r="V3351">
        <v>8.0340140000000008E-3</v>
      </c>
      <c r="W3351">
        <v>0.16043209999999999</v>
      </c>
      <c r="X3351">
        <v>0.98701419999999995</v>
      </c>
      <c r="Y3351">
        <v>0.34892299999999998</v>
      </c>
      <c r="Z3351">
        <v>-1.013814E-2</v>
      </c>
      <c r="AA3351">
        <v>0.9370965</v>
      </c>
      <c r="AB3351">
        <v>34</v>
      </c>
      <c r="AC3351">
        <v>44.315499999999901</v>
      </c>
      <c r="AD3351">
        <v>-1.1007888304369999</v>
      </c>
      <c r="AE3351">
        <v>-5.2468000000000004</v>
      </c>
      <c r="AF3351">
        <v>15.6414810191889</v>
      </c>
      <c r="AG3351">
        <v>-1.1007888304369999</v>
      </c>
      <c r="AH3351">
        <v>41.765000420219003</v>
      </c>
      <c r="AI3351">
        <v>91.413918018657597</v>
      </c>
      <c r="AJ3351">
        <v>69.468487309286701</v>
      </c>
      <c r="AK3351">
        <v>44.611466290896097</v>
      </c>
      <c r="AL3351">
        <v>80.768022431840393</v>
      </c>
      <c r="AM3351">
        <v>89.533639000228007</v>
      </c>
      <c r="AN3351">
        <v>1.0000000175465</v>
      </c>
    </row>
    <row r="3352" spans="1:40" x14ac:dyDescent="0.3">
      <c r="A3352" t="str">
        <f>"20200111150926727"</f>
        <v>20200111150926727</v>
      </c>
      <c r="B3352" t="str">
        <f>"1578726566718333"</f>
        <v>1578726566718333</v>
      </c>
      <c r="C3352" t="s">
        <v>40</v>
      </c>
      <c r="D3352">
        <v>5.5308820000000001</v>
      </c>
      <c r="E3352">
        <v>0.64726640000000002</v>
      </c>
      <c r="F3352" t="s">
        <v>43</v>
      </c>
      <c r="G3352">
        <v>-138.42830000000001</v>
      </c>
      <c r="H3352" s="1">
        <v>-2.2651239999999999E-6</v>
      </c>
      <c r="I3352">
        <v>133.0609</v>
      </c>
      <c r="J3352">
        <v>-162.33109999999999</v>
      </c>
      <c r="K3352">
        <v>1.1008990000000001</v>
      </c>
      <c r="L3352">
        <v>136.48599999999999</v>
      </c>
      <c r="M3352">
        <v>0.97258670000000003</v>
      </c>
      <c r="N3352">
        <v>0</v>
      </c>
      <c r="O3352">
        <v>0.23206209999999999</v>
      </c>
      <c r="P3352">
        <v>0.96319860000000002</v>
      </c>
      <c r="Q3352">
        <v>0.1462398</v>
      </c>
      <c r="R3352">
        <v>0.22552739999999999</v>
      </c>
      <c r="S3352">
        <v>3.2510829999999999</v>
      </c>
      <c r="T3352">
        <v>-0.14840309999999901</v>
      </c>
      <c r="U3352">
        <v>-0.45549010000000001</v>
      </c>
      <c r="V3352">
        <v>7.8789900000000006E-3</v>
      </c>
      <c r="W3352">
        <v>0.16083919999999999</v>
      </c>
      <c r="X3352">
        <v>0.98694919999999997</v>
      </c>
      <c r="Y3352">
        <v>0.36419269999999998</v>
      </c>
      <c r="Z3352">
        <v>-1.8774840000000001E-2</v>
      </c>
      <c r="AA3352">
        <v>0.93113429999999997</v>
      </c>
      <c r="AB3352">
        <v>34</v>
      </c>
      <c r="AC3352">
        <v>23.9027999999999</v>
      </c>
      <c r="AD3352">
        <v>-1.100901265124</v>
      </c>
      <c r="AE3352">
        <v>-3.42509999999998</v>
      </c>
      <c r="AF3352">
        <v>8.8607096822094498</v>
      </c>
      <c r="AG3352">
        <v>-1.100901265124</v>
      </c>
      <c r="AH3352">
        <v>22.408626718394899</v>
      </c>
      <c r="AI3352">
        <v>92.615824697358306</v>
      </c>
      <c r="AJ3352">
        <v>68.425408820073798</v>
      </c>
      <c r="AK3352">
        <v>24.121996415560499</v>
      </c>
      <c r="AL3352">
        <v>80.744390499852798</v>
      </c>
      <c r="AM3352">
        <v>89.542607376259994</v>
      </c>
      <c r="AN3352">
        <v>1.00000002506034</v>
      </c>
    </row>
    <row r="3353" spans="1:40" x14ac:dyDescent="0.3">
      <c r="A3353" t="str">
        <f>"20200111150926743"</f>
        <v>20200111150926743</v>
      </c>
      <c r="B3353" t="str">
        <f>"1578726566737852"</f>
        <v>1578726566737852</v>
      </c>
      <c r="C3353" t="s">
        <v>40</v>
      </c>
      <c r="D3353">
        <v>5.4139699999999999</v>
      </c>
      <c r="E3353">
        <v>0.64915429999999996</v>
      </c>
      <c r="F3353" t="s">
        <v>43</v>
      </c>
      <c r="G3353">
        <v>-141.64750000000001</v>
      </c>
      <c r="H3353" s="1">
        <v>-4.6542600000000002E-6</v>
      </c>
      <c r="I3353">
        <v>133.47829999999999</v>
      </c>
      <c r="J3353">
        <v>-162.0779</v>
      </c>
      <c r="K3353">
        <v>1.101043</v>
      </c>
      <c r="L3353">
        <v>136.53970000000001</v>
      </c>
      <c r="M3353">
        <v>0.97426900000000005</v>
      </c>
      <c r="N3353">
        <v>0</v>
      </c>
      <c r="O3353">
        <v>0.22489809999999999</v>
      </c>
      <c r="P3353">
        <v>0.96487639999999997</v>
      </c>
      <c r="Q3353">
        <v>0.14701610000000001</v>
      </c>
      <c r="R3353">
        <v>0.21771509999999999</v>
      </c>
      <c r="S3353">
        <v>3.2516020000000001</v>
      </c>
      <c r="T3353">
        <v>-0.173069</v>
      </c>
      <c r="U3353">
        <v>-0.47280879999999997</v>
      </c>
      <c r="V3353">
        <v>8.5440510000000004E-3</v>
      </c>
      <c r="W3353">
        <v>0.16154739999999901</v>
      </c>
      <c r="X3353">
        <v>0.98682800000000004</v>
      </c>
      <c r="Y3353">
        <v>0.36197360000000001</v>
      </c>
      <c r="Z3353">
        <v>-2.144836E-2</v>
      </c>
      <c r="AA3353">
        <v>0.93194160000000004</v>
      </c>
      <c r="AB3353">
        <v>34</v>
      </c>
      <c r="AC3353">
        <v>20.430399999999899</v>
      </c>
      <c r="AD3353">
        <v>-1.1010476542600001</v>
      </c>
      <c r="AE3353">
        <v>-3.0614000000000199</v>
      </c>
      <c r="AF3353">
        <v>7.5567558326222697</v>
      </c>
      <c r="AG3353">
        <v>-1.1010476542600001</v>
      </c>
      <c r="AH3353">
        <v>19.163886236463899</v>
      </c>
      <c r="AI3353">
        <v>93.059489305333699</v>
      </c>
      <c r="AJ3353">
        <v>68.479555483114794</v>
      </c>
      <c r="AK3353">
        <v>20.629381966868301</v>
      </c>
      <c r="AL3353">
        <v>80.703276037197199</v>
      </c>
      <c r="AM3353">
        <v>89.503940068134099</v>
      </c>
      <c r="AN3353">
        <v>1.0000000324191201</v>
      </c>
    </row>
    <row r="3354" spans="1:40" x14ac:dyDescent="0.3">
      <c r="A3354" t="str">
        <f>"20200111150926758"</f>
        <v>20200111150926758</v>
      </c>
      <c r="B3354" t="str">
        <f>"1578726566747612"</f>
        <v>1578726566747612</v>
      </c>
      <c r="C3354" t="s">
        <v>40</v>
      </c>
      <c r="D3354">
        <v>5.3990679999999998</v>
      </c>
      <c r="E3354">
        <v>0.65064129999999998</v>
      </c>
      <c r="F3354" t="s">
        <v>43</v>
      </c>
      <c r="G3354">
        <v>-143.5009</v>
      </c>
      <c r="H3354" s="1">
        <v>-3.8360040000000003E-6</v>
      </c>
      <c r="I3354">
        <v>133.6087</v>
      </c>
      <c r="J3354">
        <v>-161.84540000000001</v>
      </c>
      <c r="K3354">
        <v>1.101178</v>
      </c>
      <c r="L3354">
        <v>136.58760000000001</v>
      </c>
      <c r="M3354">
        <v>0.975742</v>
      </c>
      <c r="N3354">
        <v>0</v>
      </c>
      <c r="O3354">
        <v>0.21842230000000001</v>
      </c>
      <c r="P3354">
        <v>0.96651880000000001</v>
      </c>
      <c r="Q3354">
        <v>0.14804500000000001</v>
      </c>
      <c r="R3354">
        <v>0.20958080000000001</v>
      </c>
      <c r="S3354">
        <v>3.2544559999999998</v>
      </c>
      <c r="T3354">
        <v>-0.1928898</v>
      </c>
      <c r="U3354">
        <v>-0.51347349999999903</v>
      </c>
      <c r="V3354">
        <v>1.0235330000000001E-2</v>
      </c>
      <c r="W3354">
        <v>0.16249129999999901</v>
      </c>
      <c r="X3354">
        <v>0.98665689999999995</v>
      </c>
      <c r="Y3354">
        <v>0.36685449999999997</v>
      </c>
      <c r="Z3354">
        <v>-2.3628860000000002E-2</v>
      </c>
      <c r="AA3354">
        <v>0.92997819999999998</v>
      </c>
      <c r="AB3354">
        <v>34</v>
      </c>
      <c r="AC3354">
        <v>18.3445</v>
      </c>
      <c r="AD3354">
        <v>-1.101181836004</v>
      </c>
      <c r="AE3354">
        <v>-2.9788999999999999</v>
      </c>
      <c r="AF3354">
        <v>6.8900543258429101</v>
      </c>
      <c r="AG3354">
        <v>-1.101181836004</v>
      </c>
      <c r="AH3354">
        <v>17.190380622723399</v>
      </c>
      <c r="AI3354">
        <v>93.402788501715705</v>
      </c>
      <c r="AJ3354">
        <v>68.158656986720899</v>
      </c>
      <c r="AK3354">
        <v>18.552483284000498</v>
      </c>
      <c r="AL3354">
        <v>80.648470237946697</v>
      </c>
      <c r="AM3354">
        <v>89.405649344035098</v>
      </c>
      <c r="AN3354">
        <v>1.00000001143675</v>
      </c>
    </row>
    <row r="3355" spans="1:40" x14ac:dyDescent="0.3">
      <c r="A3355" t="str">
        <f>"20200111150926781"</f>
        <v>20200111150926781</v>
      </c>
      <c r="B3355" t="str">
        <f>"1578726566777868"</f>
        <v>1578726566777868</v>
      </c>
      <c r="C3355" t="s">
        <v>40</v>
      </c>
      <c r="D3355">
        <v>5.5254529999999997</v>
      </c>
      <c r="E3355">
        <v>0.65196480000000001</v>
      </c>
      <c r="F3355" t="s">
        <v>43</v>
      </c>
      <c r="G3355">
        <v>-143.9512</v>
      </c>
      <c r="H3355" s="1">
        <v>-3.6565870000000001E-6</v>
      </c>
      <c r="I3355">
        <v>133.5574</v>
      </c>
      <c r="J3355">
        <v>-161.51519999999999</v>
      </c>
      <c r="K3355">
        <v>1.1013770000000001</v>
      </c>
      <c r="L3355">
        <v>136.65260000000001</v>
      </c>
      <c r="M3355">
        <v>0.97771509999999995</v>
      </c>
      <c r="N3355">
        <v>0</v>
      </c>
      <c r="O3355">
        <v>0.20941750000000001</v>
      </c>
      <c r="P3355">
        <v>0.96862420000000005</v>
      </c>
      <c r="Q3355">
        <v>0.14766109999999999</v>
      </c>
      <c r="R3355">
        <v>0.1999079</v>
      </c>
      <c r="S3355">
        <v>3.254089</v>
      </c>
      <c r="T3355">
        <v>-0.20025100000000001</v>
      </c>
      <c r="U3355">
        <v>-0.55104059999999999</v>
      </c>
      <c r="V3355">
        <v>1.092517E-2</v>
      </c>
      <c r="W3355">
        <v>0.1620326</v>
      </c>
      <c r="X3355">
        <v>0.98672490000000002</v>
      </c>
      <c r="Y3355">
        <v>0.36869010000000002</v>
      </c>
      <c r="Z3355">
        <v>-2.4024299999999998E-2</v>
      </c>
      <c r="AA3355">
        <v>0.92924189999999995</v>
      </c>
      <c r="AB3355">
        <v>34</v>
      </c>
      <c r="AC3355">
        <v>17.563999999999901</v>
      </c>
      <c r="AD3355">
        <v>-1.1013806565869999</v>
      </c>
      <c r="AE3355">
        <v>-3.0952000000000002</v>
      </c>
      <c r="AF3355">
        <v>6.6796876458745302</v>
      </c>
      <c r="AG3355">
        <v>-1.1013806565869999</v>
      </c>
      <c r="AH3355">
        <v>16.463409778987099</v>
      </c>
      <c r="AI3355">
        <v>93.547263745276098</v>
      </c>
      <c r="AJ3355">
        <v>67.916164191964896</v>
      </c>
      <c r="AK3355">
        <v>17.800986712764001</v>
      </c>
      <c r="AL3355">
        <v>80.675104442706299</v>
      </c>
      <c r="AM3355">
        <v>89.365638230330902</v>
      </c>
      <c r="AN3355">
        <v>0.99999997554114906</v>
      </c>
    </row>
    <row r="3356" spans="1:40" x14ac:dyDescent="0.3">
      <c r="A3356" t="str">
        <f>"20200111150926800"</f>
        <v>20200111150926800</v>
      </c>
      <c r="B3356" t="str">
        <f>"1578726566787628"</f>
        <v>1578726566787628</v>
      </c>
      <c r="C3356" t="s">
        <v>40</v>
      </c>
      <c r="D3356">
        <v>5.4972719999999997</v>
      </c>
      <c r="E3356">
        <v>0.65209289999999998</v>
      </c>
      <c r="F3356" t="s">
        <v>43</v>
      </c>
      <c r="G3356">
        <v>-145.16040000000001</v>
      </c>
      <c r="H3356" s="1">
        <v>-3.2165009999999999E-6</v>
      </c>
      <c r="I3356">
        <v>133.66489999999999</v>
      </c>
      <c r="J3356">
        <v>-161.23840000000001</v>
      </c>
      <c r="K3356">
        <v>1.1015539999999999</v>
      </c>
      <c r="L3356">
        <v>136.70500000000001</v>
      </c>
      <c r="M3356">
        <v>0.97926919999999995</v>
      </c>
      <c r="N3356">
        <v>0</v>
      </c>
      <c r="O3356">
        <v>0.20202899999999999</v>
      </c>
      <c r="P3356">
        <v>0.9701303</v>
      </c>
      <c r="Q3356">
        <v>0.14700589999999999</v>
      </c>
      <c r="R3356">
        <v>0.19296769999999999</v>
      </c>
      <c r="S3356">
        <v>3.2532199999999998</v>
      </c>
      <c r="T3356">
        <v>-0.21908059999999999</v>
      </c>
      <c r="U3356">
        <v>-0.59429929999999997</v>
      </c>
      <c r="V3356">
        <v>1.0473379999999999E-2</v>
      </c>
      <c r="W3356">
        <v>0.16134079999999901</v>
      </c>
      <c r="X3356">
        <v>0.98684320000000003</v>
      </c>
      <c r="Y3356">
        <v>0.37349270000000001</v>
      </c>
      <c r="Z3356">
        <v>-2.5930999999999999E-2</v>
      </c>
      <c r="AA3356">
        <v>0.92727059999999994</v>
      </c>
      <c r="AB3356">
        <v>34</v>
      </c>
      <c r="AC3356">
        <v>16.077999999999999</v>
      </c>
      <c r="AD3356">
        <v>-1.1015572165009999</v>
      </c>
      <c r="AE3356">
        <v>-3.0401000000000198</v>
      </c>
      <c r="AF3356">
        <v>6.1978823015253601</v>
      </c>
      <c r="AG3356">
        <v>-1.1015572165009999</v>
      </c>
      <c r="AH3356">
        <v>15.0638670060638</v>
      </c>
      <c r="AI3356">
        <v>93.868767615282906</v>
      </c>
      <c r="AJ3356">
        <v>67.635758162562993</v>
      </c>
      <c r="AK3356">
        <v>16.326275218223</v>
      </c>
      <c r="AL3356">
        <v>80.715270608069702</v>
      </c>
      <c r="AM3356">
        <v>89.391941959444296</v>
      </c>
      <c r="AN3356">
        <v>1.0000000234097499</v>
      </c>
    </row>
    <row r="3357" spans="1:40" x14ac:dyDescent="0.3">
      <c r="A3357" t="str">
        <f>"20200111150926815"</f>
        <v>20200111150926815</v>
      </c>
      <c r="B3357" t="str">
        <f>"1578726566807944"</f>
        <v>1578726566807944</v>
      </c>
      <c r="C3357" t="s">
        <v>40</v>
      </c>
      <c r="D3357">
        <v>5.541766</v>
      </c>
      <c r="E3357">
        <v>0.6519414</v>
      </c>
      <c r="F3357" t="s">
        <v>43</v>
      </c>
      <c r="G3357">
        <v>-145.27610000000001</v>
      </c>
      <c r="H3357" s="1">
        <v>-3.1773169999999999E-6</v>
      </c>
      <c r="I3357">
        <v>133.66409999999999</v>
      </c>
      <c r="J3357">
        <v>-160.99969999999999</v>
      </c>
      <c r="K3357">
        <v>1.101701</v>
      </c>
      <c r="L3357">
        <v>136.7482</v>
      </c>
      <c r="M3357">
        <v>0.98053800000000002</v>
      </c>
      <c r="N3357">
        <v>0</v>
      </c>
      <c r="O3357">
        <v>0.19578209999999999</v>
      </c>
      <c r="P3357">
        <v>0.97137209999999996</v>
      </c>
      <c r="Q3357">
        <v>0.14628289999999999</v>
      </c>
      <c r="R3357">
        <v>0.18718370000000001</v>
      </c>
      <c r="S3357">
        <v>3.2494510000000001</v>
      </c>
      <c r="T3357">
        <v>-0.2242441</v>
      </c>
      <c r="U3357">
        <v>-0.61901859999999997</v>
      </c>
      <c r="V3357">
        <v>1.0008970000000001E-2</v>
      </c>
      <c r="W3357">
        <v>0.1605897</v>
      </c>
      <c r="X3357">
        <v>0.98697049999999997</v>
      </c>
      <c r="Y3357">
        <v>0.37453890000000001</v>
      </c>
      <c r="Z3357">
        <v>-2.6166769999999999E-2</v>
      </c>
      <c r="AA3357">
        <v>0.9268419</v>
      </c>
      <c r="AB3357">
        <v>34</v>
      </c>
      <c r="AC3357">
        <v>15.7235999999999</v>
      </c>
      <c r="AD3357">
        <v>-1.101704177317</v>
      </c>
      <c r="AE3357">
        <v>-3.0840999999999998</v>
      </c>
      <c r="AF3357">
        <v>6.0744148186215199</v>
      </c>
      <c r="AG3357">
        <v>-1.101704177317</v>
      </c>
      <c r="AH3357">
        <v>14.7456555072845</v>
      </c>
      <c r="AI3357">
        <v>93.951818088500701</v>
      </c>
      <c r="AJ3357">
        <v>67.610980619318596</v>
      </c>
      <c r="AK3357">
        <v>15.985825716006</v>
      </c>
      <c r="AL3357">
        <v>80.758873831403605</v>
      </c>
      <c r="AM3357">
        <v>89.418977486666193</v>
      </c>
      <c r="AN3357">
        <v>0.99999999954840002</v>
      </c>
    </row>
    <row r="3358" spans="1:40" x14ac:dyDescent="0.3">
      <c r="A3358" t="str">
        <f>"20200111150926830"</f>
        <v>20200111150926830</v>
      </c>
      <c r="B3358" t="str">
        <f>"1578726566817704"</f>
        <v>1578726566817704</v>
      </c>
      <c r="C3358" t="s">
        <v>40</v>
      </c>
      <c r="D3358">
        <v>5.5448680000000001</v>
      </c>
      <c r="E3358">
        <v>0.65110380000000001</v>
      </c>
      <c r="F3358" t="s">
        <v>43</v>
      </c>
      <c r="G3358">
        <v>-145.65610000000001</v>
      </c>
      <c r="H3358" s="1">
        <v>-3.029378E-6</v>
      </c>
      <c r="I3358">
        <v>133.73410000000001</v>
      </c>
      <c r="J3358">
        <v>-160.78960000000001</v>
      </c>
      <c r="K3358">
        <v>1.1018429999999999</v>
      </c>
      <c r="L3358">
        <v>136.7851</v>
      </c>
      <c r="M3358">
        <v>0.9816049</v>
      </c>
      <c r="N3358">
        <v>0</v>
      </c>
      <c r="O3358">
        <v>0.1903628</v>
      </c>
      <c r="P3358">
        <v>0.97250429999999999</v>
      </c>
      <c r="Q3358">
        <v>0.14379149999999999</v>
      </c>
      <c r="R3358">
        <v>0.18319289999999999</v>
      </c>
      <c r="S3358">
        <v>3.2463989999999998</v>
      </c>
      <c r="T3358">
        <v>-0.23309820000000001</v>
      </c>
      <c r="U3358">
        <v>-0.63771060000000002</v>
      </c>
      <c r="V3358">
        <v>8.5770699999999991E-3</v>
      </c>
      <c r="W3358">
        <v>0.15810469999999999</v>
      </c>
      <c r="X3358">
        <v>0.98738510000000002</v>
      </c>
      <c r="Y3358">
        <v>0.37463049999999998</v>
      </c>
      <c r="Z3358">
        <v>-2.682992E-2</v>
      </c>
      <c r="AA3358">
        <v>0.92678590000000005</v>
      </c>
      <c r="AB3358">
        <v>34</v>
      </c>
      <c r="AC3358">
        <v>15.1334999999999</v>
      </c>
      <c r="AD3358">
        <v>-1.1018460293779999</v>
      </c>
      <c r="AE3358">
        <v>-3.0509999999999802</v>
      </c>
      <c r="AF3358">
        <v>5.8465776979018997</v>
      </c>
      <c r="AG3358">
        <v>-1.1018460293779999</v>
      </c>
      <c r="AH3358">
        <v>14.203494334615</v>
      </c>
      <c r="AI3358">
        <v>94.103139360261594</v>
      </c>
      <c r="AJ3358">
        <v>67.626487471761394</v>
      </c>
      <c r="AK3358">
        <v>15.3992138358911</v>
      </c>
      <c r="AL3358">
        <v>80.903096671431001</v>
      </c>
      <c r="AM3358">
        <v>89.502304064148902</v>
      </c>
      <c r="AN3358">
        <v>0.99999999899694203</v>
      </c>
    </row>
    <row r="3359" spans="1:40" x14ac:dyDescent="0.3">
      <c r="A3359" t="str">
        <f>"20200111150926848"</f>
        <v>20200111150926848</v>
      </c>
      <c r="B3359" t="str">
        <f>"1578726566838200"</f>
        <v>1578726566838200</v>
      </c>
      <c r="C3359" t="s">
        <v>40</v>
      </c>
      <c r="D3359">
        <v>5.5401720000000001</v>
      </c>
      <c r="E3359">
        <v>0.65084240000000004</v>
      </c>
      <c r="F3359" t="s">
        <v>43</v>
      </c>
      <c r="G3359">
        <v>-145.98089999999999</v>
      </c>
      <c r="H3359" s="1">
        <v>-2.891487E-6</v>
      </c>
      <c r="I3359">
        <v>133.83690000000001</v>
      </c>
      <c r="J3359">
        <v>-160.50720000000001</v>
      </c>
      <c r="K3359">
        <v>1.1020299999999901</v>
      </c>
      <c r="L3359">
        <v>136.8331</v>
      </c>
      <c r="M3359">
        <v>0.98296719999999904</v>
      </c>
      <c r="N3359">
        <v>0</v>
      </c>
      <c r="O3359">
        <v>0.18320069999999999</v>
      </c>
      <c r="P3359">
        <v>0.9736167</v>
      </c>
      <c r="Q3359">
        <v>0.14254839999999999</v>
      </c>
      <c r="R3359">
        <v>0.1781866</v>
      </c>
      <c r="S3359">
        <v>3.2420960000000001</v>
      </c>
      <c r="T3359">
        <v>-0.24122940000000001</v>
      </c>
      <c r="U3359">
        <v>-0.64544679999999999</v>
      </c>
      <c r="V3359">
        <v>6.3966789999999997E-3</v>
      </c>
      <c r="W3359">
        <v>0.1568822</v>
      </c>
      <c r="X3359">
        <v>0.98759660000000005</v>
      </c>
      <c r="Y3359">
        <v>0.37015920000000002</v>
      </c>
      <c r="Z3359">
        <v>-2.710456E-2</v>
      </c>
      <c r="AA3359">
        <v>0.92857279999999998</v>
      </c>
      <c r="AB3359">
        <v>34</v>
      </c>
      <c r="AC3359">
        <v>14.526300000000001</v>
      </c>
      <c r="AD3359">
        <v>-1.1020328914869999</v>
      </c>
      <c r="AE3359">
        <v>-2.99619999999998</v>
      </c>
      <c r="AF3359">
        <v>5.5762078729518798</v>
      </c>
      <c r="AG3359">
        <v>-1.1020328914869999</v>
      </c>
      <c r="AH3359">
        <v>13.656043560179601</v>
      </c>
      <c r="AI3359">
        <v>94.272676375365705</v>
      </c>
      <c r="AJ3359">
        <v>67.7882049651882</v>
      </c>
      <c r="AK3359">
        <v>14.791757720224201</v>
      </c>
      <c r="AL3359">
        <v>80.9740259098065</v>
      </c>
      <c r="AM3359">
        <v>89.628899507564796</v>
      </c>
      <c r="AN3359">
        <v>0.99999999325531397</v>
      </c>
    </row>
    <row r="3360" spans="1:40" x14ac:dyDescent="0.3">
      <c r="A3360" t="str">
        <f>"20200111150926871"</f>
        <v>20200111150926871</v>
      </c>
      <c r="B3360" t="str">
        <f>"1578726566867480"</f>
        <v>1578726566867480</v>
      </c>
      <c r="C3360" t="s">
        <v>40</v>
      </c>
      <c r="D3360">
        <v>5.5489040000000003</v>
      </c>
      <c r="E3360">
        <v>0.65007009999999998</v>
      </c>
      <c r="F3360" t="s">
        <v>43</v>
      </c>
      <c r="G3360">
        <v>-146.30969999999999</v>
      </c>
      <c r="H3360" s="1">
        <v>-2.7536000000000002E-6</v>
      </c>
      <c r="I3360">
        <v>133.93459999999999</v>
      </c>
      <c r="J3360">
        <v>-160.1711</v>
      </c>
      <c r="K3360">
        <v>1.102252</v>
      </c>
      <c r="L3360">
        <v>136.88749999999999</v>
      </c>
      <c r="M3360">
        <v>0.98448250000000004</v>
      </c>
      <c r="N3360">
        <v>0</v>
      </c>
      <c r="O3360">
        <v>0.17487520000000001</v>
      </c>
      <c r="P3360">
        <v>0.97432289999999999</v>
      </c>
      <c r="Q3360">
        <v>0.1442552</v>
      </c>
      <c r="R3360">
        <v>0.17287330000000001</v>
      </c>
      <c r="S3360">
        <v>3.2391359999999998</v>
      </c>
      <c r="T3360">
        <v>-0.25142560000000003</v>
      </c>
      <c r="U3360">
        <v>-0.66125489999999998</v>
      </c>
      <c r="V3360">
        <v>3.3300640000000002E-3</v>
      </c>
      <c r="W3360">
        <v>0.15863949999999999</v>
      </c>
      <c r="X3360">
        <v>0.98733099999999996</v>
      </c>
      <c r="Y3360">
        <v>0.3667224</v>
      </c>
      <c r="Z3360">
        <v>-2.7491789999999999E-2</v>
      </c>
      <c r="AA3360">
        <v>0.92992410000000003</v>
      </c>
      <c r="AB3360">
        <v>34</v>
      </c>
      <c r="AC3360">
        <v>13.8614</v>
      </c>
      <c r="AD3360">
        <v>-1.1022547536</v>
      </c>
      <c r="AE3360">
        <v>-2.9529000000000001</v>
      </c>
      <c r="AF3360">
        <v>5.2996043257789598</v>
      </c>
      <c r="AG3360">
        <v>-1.1022547536</v>
      </c>
      <c r="AH3360">
        <v>13.0523623274184</v>
      </c>
      <c r="AI3360">
        <v>94.473991432830402</v>
      </c>
      <c r="AJ3360">
        <v>67.901546593975397</v>
      </c>
      <c r="AK3360">
        <v>14.130284281565601</v>
      </c>
      <c r="AL3360">
        <v>80.872063625768902</v>
      </c>
      <c r="AM3360">
        <v>89.806753875628601</v>
      </c>
      <c r="AN3360">
        <v>1.00000004192374</v>
      </c>
    </row>
    <row r="3361" spans="1:40" x14ac:dyDescent="0.3">
      <c r="A3361" t="str">
        <f>"20200111150926888"</f>
        <v>20200111150926888</v>
      </c>
      <c r="B3361" t="str">
        <f>"1578726566878216"</f>
        <v>1578726566878216</v>
      </c>
      <c r="C3361" t="s">
        <v>40</v>
      </c>
      <c r="D3361">
        <v>5.5559580000000004</v>
      </c>
      <c r="E3361">
        <v>0.64971440000000003</v>
      </c>
      <c r="F3361" t="s">
        <v>43</v>
      </c>
      <c r="G3361">
        <v>-145.93199999999999</v>
      </c>
      <c r="H3361" s="1">
        <v>-2.88617E-6</v>
      </c>
      <c r="I3361">
        <v>133.9195</v>
      </c>
      <c r="J3361">
        <v>-159.9057</v>
      </c>
      <c r="K3361">
        <v>1.1024339999999999</v>
      </c>
      <c r="L3361">
        <v>136.92850000000001</v>
      </c>
      <c r="M3361">
        <v>0.98560300000000001</v>
      </c>
      <c r="N3361">
        <v>0</v>
      </c>
      <c r="O3361">
        <v>0.1684456</v>
      </c>
      <c r="P3361">
        <v>0.97512430000000005</v>
      </c>
      <c r="Q3361">
        <v>0.14495229999999901</v>
      </c>
      <c r="R3361">
        <v>0.16769479999999901</v>
      </c>
      <c r="S3361">
        <v>3.2358090000000002</v>
      </c>
      <c r="T3361">
        <v>-0.2504846</v>
      </c>
      <c r="U3361">
        <v>-0.67446899999999999</v>
      </c>
      <c r="V3361">
        <v>2.061224E-3</v>
      </c>
      <c r="W3361">
        <v>0.15936919999999999</v>
      </c>
      <c r="X3361">
        <v>0.98721689999999995</v>
      </c>
      <c r="Y3361">
        <v>0.3645177</v>
      </c>
      <c r="Z3361">
        <v>-2.6831899999999999E-2</v>
      </c>
      <c r="AA3361">
        <v>0.93080980000000002</v>
      </c>
      <c r="AB3361">
        <v>34</v>
      </c>
      <c r="AC3361">
        <v>13.9736999999999</v>
      </c>
      <c r="AD3361">
        <v>-1.10243688617</v>
      </c>
      <c r="AE3361">
        <v>-3.0090000000000101</v>
      </c>
      <c r="AF3361">
        <v>5.2885951371129902</v>
      </c>
      <c r="AG3361">
        <v>-1.10243688617</v>
      </c>
      <c r="AH3361">
        <v>13.188628348210999</v>
      </c>
      <c r="AI3361">
        <v>94.436385037781605</v>
      </c>
      <c r="AJ3361">
        <v>68.149382418403604</v>
      </c>
      <c r="AK3361">
        <v>14.252176090671799</v>
      </c>
      <c r="AL3361">
        <v>80.829715750512094</v>
      </c>
      <c r="AM3361">
        <v>89.880371512868194</v>
      </c>
      <c r="AN3361">
        <v>0.99999999909931403</v>
      </c>
    </row>
    <row r="3362" spans="1:40" x14ac:dyDescent="0.3">
      <c r="A3362" t="str">
        <f>"20200111150926905"</f>
        <v>20200111150926905</v>
      </c>
      <c r="B3362" t="str">
        <f>"1578726566897736"</f>
        <v>1578726566897736</v>
      </c>
      <c r="C3362" t="s">
        <v>40</v>
      </c>
      <c r="D3362">
        <v>5.4326109999999996</v>
      </c>
      <c r="E3362">
        <v>0.64972559999999902</v>
      </c>
      <c r="F3362" t="s">
        <v>43</v>
      </c>
      <c r="G3362">
        <v>-145.61619999999999</v>
      </c>
      <c r="H3362" s="1">
        <v>-3.0039580000000001E-6</v>
      </c>
      <c r="I3362">
        <v>133.88069999999999</v>
      </c>
      <c r="J3362">
        <v>-159.66380000000001</v>
      </c>
      <c r="K3362">
        <v>1.1026009999999999</v>
      </c>
      <c r="L3362">
        <v>136.96449999999999</v>
      </c>
      <c r="M3362">
        <v>0.98657010000000001</v>
      </c>
      <c r="N3362">
        <v>0</v>
      </c>
      <c r="O3362">
        <v>0.16268460000000001</v>
      </c>
      <c r="P3362">
        <v>0.97546480000000002</v>
      </c>
      <c r="Q3362">
        <v>0.14710479999999901</v>
      </c>
      <c r="R3362">
        <v>0.1637943</v>
      </c>
      <c r="S3362">
        <v>3.232132</v>
      </c>
      <c r="T3362">
        <v>-0.24935869999999999</v>
      </c>
      <c r="U3362">
        <v>-0.68937680000000001</v>
      </c>
      <c r="V3362">
        <v>1.6831189999999999E-4</v>
      </c>
      <c r="W3362">
        <v>0.1615695</v>
      </c>
      <c r="X3362">
        <v>0.98686130000000005</v>
      </c>
      <c r="Y3362">
        <v>0.36343419999999999</v>
      </c>
      <c r="Z3362">
        <v>-2.6250599999999898E-2</v>
      </c>
      <c r="AA3362">
        <v>0.93125000000000002</v>
      </c>
      <c r="AB3362">
        <v>34</v>
      </c>
      <c r="AC3362">
        <v>14.047599999999999</v>
      </c>
      <c r="AD3362">
        <v>-1.1026040039579901</v>
      </c>
      <c r="AE3362">
        <v>-3.0837999999999899</v>
      </c>
      <c r="AF3362">
        <v>5.2971468737235803</v>
      </c>
      <c r="AG3362">
        <v>-1.1026040039579901</v>
      </c>
      <c r="AH3362">
        <v>13.2806220409548</v>
      </c>
      <c r="AI3362">
        <v>94.409671376212998</v>
      </c>
      <c r="AJ3362">
        <v>68.254779245668303</v>
      </c>
      <c r="AK3362">
        <v>14.340516810284001</v>
      </c>
      <c r="AL3362">
        <v>80.701992439378301</v>
      </c>
      <c r="AM3362">
        <v>89.990228047833696</v>
      </c>
      <c r="AN3362">
        <v>0.99999997854841705</v>
      </c>
    </row>
    <row r="3363" spans="1:40" x14ac:dyDescent="0.3">
      <c r="A3363" t="str">
        <f>"20200111150926927"</f>
        <v>20200111150926927</v>
      </c>
      <c r="B3363" t="str">
        <f>"1578726566918209"</f>
        <v>1578726566918209</v>
      </c>
      <c r="C3363" t="s">
        <v>40</v>
      </c>
      <c r="D3363">
        <v>5.541976</v>
      </c>
      <c r="E3363">
        <v>0.64947129999999997</v>
      </c>
      <c r="F3363" t="s">
        <v>43</v>
      </c>
      <c r="G3363">
        <v>-145.3228</v>
      </c>
      <c r="H3363" s="1">
        <v>-3.1122570000000001E-6</v>
      </c>
      <c r="I3363">
        <v>133.84889999999999</v>
      </c>
      <c r="J3363">
        <v>-159.32650000000001</v>
      </c>
      <c r="K3363">
        <v>1.102822</v>
      </c>
      <c r="L3363">
        <v>137.01230000000001</v>
      </c>
      <c r="M3363">
        <v>0.98783279999999996</v>
      </c>
      <c r="N3363">
        <v>0</v>
      </c>
      <c r="O3363">
        <v>0.1548281</v>
      </c>
      <c r="P3363">
        <v>0.97632450000000004</v>
      </c>
      <c r="Q3363">
        <v>0.1479356</v>
      </c>
      <c r="R3363">
        <v>0.15781429999999999</v>
      </c>
      <c r="S3363">
        <v>3.2307429999999999</v>
      </c>
      <c r="T3363">
        <v>-0.24839449999999999</v>
      </c>
      <c r="U3363">
        <v>-0.70187379999999999</v>
      </c>
      <c r="V3363">
        <v>-1.725629E-3</v>
      </c>
      <c r="W3363">
        <v>0.16246259999999901</v>
      </c>
      <c r="X3363">
        <v>0.98671319999999996</v>
      </c>
      <c r="Y3363">
        <v>0.3595912</v>
      </c>
      <c r="Z3363">
        <v>-2.5409370000000001E-2</v>
      </c>
      <c r="AA3363">
        <v>0.93276389999999998</v>
      </c>
      <c r="AB3363">
        <v>34</v>
      </c>
      <c r="AC3363">
        <v>14.0037</v>
      </c>
      <c r="AD3363">
        <v>-1.1028251122570001</v>
      </c>
      <c r="AE3363">
        <v>-3.1634000000000202</v>
      </c>
      <c r="AF3363">
        <v>5.26259100350764</v>
      </c>
      <c r="AG3363">
        <v>-1.1028251122570001</v>
      </c>
      <c r="AH3363">
        <v>13.266678737749601</v>
      </c>
      <c r="AI3363">
        <v>94.418471373087499</v>
      </c>
      <c r="AJ3363">
        <v>68.362893532617704</v>
      </c>
      <c r="AK3363">
        <v>14.3148821870486</v>
      </c>
      <c r="AL3363">
        <v>80.650136725726497</v>
      </c>
      <c r="AM3363">
        <v>90.100202528865793</v>
      </c>
      <c r="AN3363">
        <v>1.0000000066242201</v>
      </c>
    </row>
    <row r="3364" spans="1:40" x14ac:dyDescent="0.3">
      <c r="A3364" t="str">
        <f>"20200111150926949"</f>
        <v>20200111150926949</v>
      </c>
      <c r="B3364" t="str">
        <f>"1578726566937728"</f>
        <v>1578726566937728</v>
      </c>
      <c r="C3364" t="s">
        <v>40</v>
      </c>
      <c r="D3364">
        <v>5.5650820000000003</v>
      </c>
      <c r="E3364">
        <v>0.64885109999999901</v>
      </c>
      <c r="F3364" t="s">
        <v>43</v>
      </c>
      <c r="G3364">
        <v>-144.9821</v>
      </c>
      <c r="H3364" s="1">
        <v>-3.2377080000000002E-6</v>
      </c>
      <c r="I3364">
        <v>133.81319999999999</v>
      </c>
      <c r="J3364">
        <v>-159.0026</v>
      </c>
      <c r="K3364">
        <v>1.10302099999999</v>
      </c>
      <c r="L3364">
        <v>137.0558</v>
      </c>
      <c r="M3364">
        <v>0.98895949999999999</v>
      </c>
      <c r="N3364">
        <v>0</v>
      </c>
      <c r="O3364">
        <v>0.14745759999999999</v>
      </c>
      <c r="P3364">
        <v>0.97714789999999996</v>
      </c>
      <c r="Q3364">
        <v>0.14704739999999999</v>
      </c>
      <c r="R3364">
        <v>0.1534894</v>
      </c>
      <c r="S3364">
        <v>3.2266539999999999</v>
      </c>
      <c r="T3364">
        <v>-0.24806980000000001</v>
      </c>
      <c r="U3364">
        <v>-0.71958919999999904</v>
      </c>
      <c r="V3364">
        <v>-4.7906320000000004E-3</v>
      </c>
      <c r="W3364">
        <v>0.16165940000000001</v>
      </c>
      <c r="X3364">
        <v>0.98683500000000002</v>
      </c>
      <c r="Y3364">
        <v>0.35779429999999901</v>
      </c>
      <c r="Z3364">
        <v>-2.47671E-2</v>
      </c>
      <c r="AA3364">
        <v>0.93347190000000002</v>
      </c>
      <c r="AB3364">
        <v>33</v>
      </c>
      <c r="AC3364">
        <v>14.020499999999901</v>
      </c>
      <c r="AD3364">
        <v>-1.10302423770799</v>
      </c>
      <c r="AE3364">
        <v>-3.2425999999999999</v>
      </c>
      <c r="AF3364">
        <v>5.2439885646950701</v>
      </c>
      <c r="AG3364">
        <v>-1.10302423770799</v>
      </c>
      <c r="AH3364">
        <v>13.3108005468066</v>
      </c>
      <c r="AI3364">
        <v>94.408745521708397</v>
      </c>
      <c r="AJ3364">
        <v>68.497299285470206</v>
      </c>
      <c r="AK3364">
        <v>14.3489891536823</v>
      </c>
      <c r="AL3364">
        <v>80.6967732703081</v>
      </c>
      <c r="AM3364">
        <v>90.278142585764002</v>
      </c>
      <c r="AN3364">
        <v>1.0000000144941501</v>
      </c>
    </row>
    <row r="3365" spans="1:40" x14ac:dyDescent="0.3">
      <c r="A3365" t="str">
        <f>"20200111150926971"</f>
        <v>20200111150926971</v>
      </c>
      <c r="B3365" t="str">
        <f>"1578726566967985"</f>
        <v>1578726566967985</v>
      </c>
      <c r="C3365" t="s">
        <v>40</v>
      </c>
      <c r="D3365">
        <v>5.5911119999999999</v>
      </c>
      <c r="E3365">
        <v>0.64808480000000002</v>
      </c>
      <c r="F3365" t="s">
        <v>43</v>
      </c>
      <c r="G3365">
        <v>-144.684</v>
      </c>
      <c r="H3365" s="1">
        <v>-3.3411169999999999E-6</v>
      </c>
      <c r="I3365">
        <v>133.8058</v>
      </c>
      <c r="J3365">
        <v>-158.66419999999999</v>
      </c>
      <c r="K3365">
        <v>1.103216</v>
      </c>
      <c r="L3365">
        <v>137.09870000000001</v>
      </c>
      <c r="M3365">
        <v>0.99005160000000003</v>
      </c>
      <c r="N3365">
        <v>0</v>
      </c>
      <c r="O3365">
        <v>0.139934</v>
      </c>
      <c r="P3365">
        <v>0.97805969999999998</v>
      </c>
      <c r="Q3365">
        <v>0.1453073</v>
      </c>
      <c r="R3365">
        <v>0.14928139999999901</v>
      </c>
      <c r="S3365">
        <v>3.2223660000000001</v>
      </c>
      <c r="T3365">
        <v>-0.2482326</v>
      </c>
      <c r="U3365">
        <v>-0.73139949999999998</v>
      </c>
      <c r="V3365">
        <v>-8.1210829999999994E-3</v>
      </c>
      <c r="W3365">
        <v>0.1600066</v>
      </c>
      <c r="X3365">
        <v>0.98708249999999997</v>
      </c>
      <c r="Y3365">
        <v>0.35424339999999999</v>
      </c>
      <c r="Z3365">
        <v>-2.4099849999999999E-2</v>
      </c>
      <c r="AA3365">
        <v>0.93484259999999997</v>
      </c>
      <c r="AB3365">
        <v>33</v>
      </c>
      <c r="AC3365">
        <v>13.9801999999999</v>
      </c>
      <c r="AD3365">
        <v>-1.1032193411169999</v>
      </c>
      <c r="AE3365">
        <v>-3.2928999999999999</v>
      </c>
      <c r="AF3365">
        <v>5.1864109922008303</v>
      </c>
      <c r="AG3365">
        <v>-1.1032193411169999</v>
      </c>
      <c r="AH3365">
        <v>13.303289507760001</v>
      </c>
      <c r="AI3365">
        <v>94.418135883090997</v>
      </c>
      <c r="AJ3365">
        <v>68.7012144865229</v>
      </c>
      <c r="AK3365">
        <v>14.321084582597599</v>
      </c>
      <c r="AL3365">
        <v>80.792720346611006</v>
      </c>
      <c r="AM3365">
        <v>90.471382364374406</v>
      </c>
      <c r="AN3365">
        <v>0.99999996291945004</v>
      </c>
    </row>
    <row r="3366" spans="1:40" x14ac:dyDescent="0.3">
      <c r="A3366" t="str">
        <f>"20200111150926994"</f>
        <v>20200111150926994</v>
      </c>
      <c r="B3366" t="str">
        <f>"1578726566987504"</f>
        <v>1578726566987504</v>
      </c>
      <c r="C3366" t="s">
        <v>40</v>
      </c>
      <c r="D3366">
        <v>5.4314359999999997</v>
      </c>
      <c r="E3366">
        <v>0.64758079999999996</v>
      </c>
      <c r="F3366" t="s">
        <v>43</v>
      </c>
      <c r="G3366">
        <v>-144.64879999999999</v>
      </c>
      <c r="H3366" s="1">
        <v>-3.3349620000000001E-6</v>
      </c>
      <c r="I3366">
        <v>133.874</v>
      </c>
      <c r="J3366">
        <v>-158.32429999999999</v>
      </c>
      <c r="K3366">
        <v>1.1033980000000001</v>
      </c>
      <c r="L3366">
        <v>137.13939999999999</v>
      </c>
      <c r="M3366">
        <v>0.99106609999999995</v>
      </c>
      <c r="N3366">
        <v>0</v>
      </c>
      <c r="O3366">
        <v>0.13255539999999999</v>
      </c>
      <c r="P3366">
        <v>0.97907359999999999</v>
      </c>
      <c r="Q3366">
        <v>0.14296929999999999</v>
      </c>
      <c r="R3366">
        <v>0.1448266</v>
      </c>
      <c r="S3366">
        <v>3.2179259999999998</v>
      </c>
      <c r="T3366">
        <v>-0.25329810000000003</v>
      </c>
      <c r="U3366">
        <v>-0.74038700000000002</v>
      </c>
      <c r="V3366">
        <v>-1.105226E-2</v>
      </c>
      <c r="W3366">
        <v>0.15774489999999999</v>
      </c>
      <c r="X3366">
        <v>0.98741809999999997</v>
      </c>
      <c r="Y3366">
        <v>0.35001169999999998</v>
      </c>
      <c r="Z3366">
        <v>-2.3879129999999998E-2</v>
      </c>
      <c r="AA3366">
        <v>0.93644090000000002</v>
      </c>
      <c r="AB3366">
        <v>33</v>
      </c>
      <c r="AC3366">
        <v>13.6755</v>
      </c>
      <c r="AD3366">
        <v>-1.10340133496199</v>
      </c>
      <c r="AE3366">
        <v>-3.2654000000000001</v>
      </c>
      <c r="AF3366">
        <v>5.01862767790674</v>
      </c>
      <c r="AG3366">
        <v>-1.10340133496199</v>
      </c>
      <c r="AH3366">
        <v>13.0415810548728</v>
      </c>
      <c r="AI3366">
        <v>94.514802981330007</v>
      </c>
      <c r="AJ3366">
        <v>68.952405209329896</v>
      </c>
      <c r="AK3366">
        <v>14.0173804502219</v>
      </c>
      <c r="AL3366">
        <v>80.923974188804095</v>
      </c>
      <c r="AM3366">
        <v>90.641290055880006</v>
      </c>
      <c r="AN3366">
        <v>1.00000005506736</v>
      </c>
    </row>
    <row r="3367" spans="1:40" x14ac:dyDescent="0.3">
      <c r="A3367" t="str">
        <f>"20200111150927016"</f>
        <v>20200111150927016</v>
      </c>
      <c r="B3367" t="str">
        <f>"1578726567008001"</f>
        <v>1578726567008001</v>
      </c>
      <c r="C3367" t="s">
        <v>40</v>
      </c>
      <c r="D3367">
        <v>5.072101</v>
      </c>
      <c r="E3367">
        <v>0.64686060000000001</v>
      </c>
      <c r="F3367" t="s">
        <v>43</v>
      </c>
      <c r="G3367">
        <v>-144.68549999999999</v>
      </c>
      <c r="H3367" s="1">
        <v>-3.3025679999999999E-6</v>
      </c>
      <c r="I3367">
        <v>133.94880000000001</v>
      </c>
      <c r="J3367">
        <v>-157.98929999999999</v>
      </c>
      <c r="K3367">
        <v>1.1035839999999999</v>
      </c>
      <c r="L3367">
        <v>137.1772</v>
      </c>
      <c r="M3367">
        <v>0.99199090000000001</v>
      </c>
      <c r="N3367">
        <v>0</v>
      </c>
      <c r="O3367">
        <v>0.12544469999999999</v>
      </c>
      <c r="P3367">
        <v>0.97994950000000003</v>
      </c>
      <c r="Q3367">
        <v>0.14028789999999999</v>
      </c>
      <c r="R3367">
        <v>0.1414851</v>
      </c>
      <c r="S3367">
        <v>3.213257</v>
      </c>
      <c r="T3367">
        <v>-0.25995580000000001</v>
      </c>
      <c r="U3367">
        <v>-0.75167850000000003</v>
      </c>
      <c r="V3367">
        <v>-1.483776E-2</v>
      </c>
      <c r="W3367">
        <v>0.1551476</v>
      </c>
      <c r="X3367">
        <v>0.98777990000000004</v>
      </c>
      <c r="Y3367">
        <v>0.34666960000000002</v>
      </c>
      <c r="Z3367">
        <v>-2.3829880000000001E-2</v>
      </c>
      <c r="AA3367">
        <v>0.93768459999999998</v>
      </c>
      <c r="AB3367">
        <v>33</v>
      </c>
      <c r="AC3367">
        <v>13.303799999999899</v>
      </c>
      <c r="AD3367">
        <v>-1.1035873025679901</v>
      </c>
      <c r="AE3367">
        <v>-3.2283999999999899</v>
      </c>
      <c r="AF3367">
        <v>4.8405089421897998</v>
      </c>
      <c r="AG3367">
        <v>-1.1035873025679901</v>
      </c>
      <c r="AH3367">
        <v>12.7110528223358</v>
      </c>
      <c r="AI3367">
        <v>94.638649091934198</v>
      </c>
      <c r="AJ3367">
        <v>69.152615412513697</v>
      </c>
      <c r="AK3367">
        <v>13.646219095633001</v>
      </c>
      <c r="AL3367">
        <v>81.0746436384905</v>
      </c>
      <c r="AM3367">
        <v>90.860593632356796</v>
      </c>
      <c r="AN3367">
        <v>1.00000003387579</v>
      </c>
    </row>
    <row r="3368" spans="1:40" x14ac:dyDescent="0.3">
      <c r="A3368" t="str">
        <f>"20200111150927038"</f>
        <v>20200111150927038</v>
      </c>
      <c r="B3368" t="str">
        <f>"1578726567027520"</f>
        <v>1578726567027520</v>
      </c>
      <c r="C3368" t="s">
        <v>40</v>
      </c>
      <c r="D3368">
        <v>5.4614159999999998</v>
      </c>
      <c r="E3368">
        <v>0.54736640000000003</v>
      </c>
      <c r="F3368" t="s">
        <v>43</v>
      </c>
      <c r="G3368">
        <v>-144.50790000000001</v>
      </c>
      <c r="H3368" s="1">
        <v>-3.3526089999999999E-6</v>
      </c>
      <c r="I3368">
        <v>133.9879</v>
      </c>
      <c r="J3368">
        <v>-157.66909999999999</v>
      </c>
      <c r="K3368">
        <v>1.103766</v>
      </c>
      <c r="L3368">
        <v>137.21109999999999</v>
      </c>
      <c r="M3368">
        <v>0.99280939999999995</v>
      </c>
      <c r="N3368">
        <v>0</v>
      </c>
      <c r="O3368">
        <v>0.1187907</v>
      </c>
      <c r="P3368">
        <v>0.98065530000000001</v>
      </c>
      <c r="Q3368">
        <v>0.13810210000000001</v>
      </c>
      <c r="R3368">
        <v>0.13871800000000001</v>
      </c>
      <c r="S3368">
        <v>3.2085880000000002</v>
      </c>
      <c r="T3368">
        <v>-0.26265319999999998</v>
      </c>
      <c r="U3368">
        <v>-0.75903319999999996</v>
      </c>
      <c r="V3368">
        <v>-1.8742419999999999E-2</v>
      </c>
      <c r="W3368">
        <v>0.1530387</v>
      </c>
      <c r="X3368">
        <v>0.98804250000000005</v>
      </c>
      <c r="Y3368">
        <v>0.34272039999999998</v>
      </c>
      <c r="Z3368">
        <v>-2.3408100000000001E-2</v>
      </c>
      <c r="AA3368">
        <v>0.93914569999999997</v>
      </c>
      <c r="AB3368">
        <v>33</v>
      </c>
      <c r="AC3368">
        <v>13.1611999999999</v>
      </c>
      <c r="AD3368">
        <v>-1.103769352609</v>
      </c>
      <c r="AE3368">
        <v>-3.2231999999999901</v>
      </c>
      <c r="AF3368">
        <v>4.7325687053968304</v>
      </c>
      <c r="AG3368">
        <v>-1.103769352609</v>
      </c>
      <c r="AH3368">
        <v>12.601445264138</v>
      </c>
      <c r="AI3368">
        <v>94.687690808236297</v>
      </c>
      <c r="AJ3368">
        <v>69.4159499405296</v>
      </c>
      <c r="AK3368">
        <v>13.5059963009074</v>
      </c>
      <c r="AL3368">
        <v>81.196935500663201</v>
      </c>
      <c r="AM3368">
        <v>91.086727330376405</v>
      </c>
      <c r="AN3368">
        <v>1.00000005190569</v>
      </c>
    </row>
    <row r="3369" spans="1:40" x14ac:dyDescent="0.3">
      <c r="A3369" t="str">
        <f>"20200111150927061"</f>
        <v>20200111150927061</v>
      </c>
      <c r="B3369" t="str">
        <f>"1578726567057777"</f>
        <v>1578726567057777</v>
      </c>
      <c r="C3369" t="s">
        <v>40</v>
      </c>
      <c r="D3369">
        <v>8.3349419999999999</v>
      </c>
      <c r="E3369">
        <v>0.52949760000000001</v>
      </c>
      <c r="F3369" t="s">
        <v>49</v>
      </c>
      <c r="G3369">
        <v>0</v>
      </c>
      <c r="H3369">
        <v>0</v>
      </c>
      <c r="I3369">
        <v>0</v>
      </c>
      <c r="J3369">
        <v>-157.3364</v>
      </c>
      <c r="K3369">
        <v>1.103961</v>
      </c>
      <c r="L3369">
        <v>137.244</v>
      </c>
      <c r="M3369">
        <v>0.9935967</v>
      </c>
      <c r="N3369">
        <v>0</v>
      </c>
      <c r="O3369">
        <v>0.11201319999999999</v>
      </c>
      <c r="P3369">
        <v>0.98107140000000004</v>
      </c>
      <c r="Q3369">
        <v>0.138065299999999</v>
      </c>
      <c r="R3369">
        <v>0.13578289999999901</v>
      </c>
      <c r="S3369">
        <v>3.033096</v>
      </c>
      <c r="T3369">
        <v>0.15347930000000001</v>
      </c>
      <c r="U3369">
        <v>3.1646729999999998E-2</v>
      </c>
      <c r="V3369">
        <v>-2.2598420000000001E-2</v>
      </c>
      <c r="W3369">
        <v>0.1530675</v>
      </c>
      <c r="X3369">
        <v>0.98795730000000004</v>
      </c>
      <c r="Y3369">
        <v>0.10137930000000001</v>
      </c>
      <c r="Z3369">
        <v>8.2183699999999991E-3</v>
      </c>
      <c r="AA3369">
        <v>0.99481390000000003</v>
      </c>
      <c r="AB3369">
        <v>33</v>
      </c>
      <c r="AC3369">
        <v>3.033096</v>
      </c>
      <c r="AD3369">
        <v>0.15347930000000001</v>
      </c>
      <c r="AE3369">
        <v>3.1646729999999998E-2</v>
      </c>
      <c r="AF3369">
        <v>0.30754901356073999</v>
      </c>
      <c r="AG3369">
        <v>0.15347930000000001</v>
      </c>
      <c r="AH3369">
        <v>3.00984301654709</v>
      </c>
      <c r="AI3369">
        <v>87.095970622216697</v>
      </c>
      <c r="AJ3369">
        <v>84.165704317255901</v>
      </c>
      <c r="AK3369">
        <v>3.0294054326761799</v>
      </c>
      <c r="AL3369">
        <v>81.195265136136399</v>
      </c>
      <c r="AM3369">
        <v>91.310348475753599</v>
      </c>
      <c r="AN3369">
        <v>0.99999998738301799</v>
      </c>
    </row>
    <row r="3370" spans="1:40" x14ac:dyDescent="0.3">
      <c r="A3370" t="str">
        <f>"20200111150927084"</f>
        <v>20200111150927084</v>
      </c>
      <c r="B3370" t="str">
        <f>"1578726567078275"</f>
        <v>1578726567078275</v>
      </c>
      <c r="C3370" t="s">
        <v>40</v>
      </c>
      <c r="D3370">
        <v>8.7597710000000006</v>
      </c>
      <c r="E3370">
        <v>0.52831079999999997</v>
      </c>
      <c r="F3370" t="s">
        <v>60</v>
      </c>
      <c r="G3370">
        <v>-1.966675</v>
      </c>
      <c r="H3370">
        <v>-0.1</v>
      </c>
      <c r="I3370">
        <v>145.23169999999999</v>
      </c>
      <c r="J3370">
        <v>-157.00069999999999</v>
      </c>
      <c r="K3370">
        <v>1.1041449999999999</v>
      </c>
      <c r="L3370">
        <v>137.27510000000001</v>
      </c>
      <c r="M3370">
        <v>0.99433119999999997</v>
      </c>
      <c r="N3370">
        <v>0</v>
      </c>
      <c r="O3370">
        <v>0.1052921</v>
      </c>
      <c r="P3370">
        <v>0.98132699999999995</v>
      </c>
      <c r="Q3370">
        <v>0.13933970000000001</v>
      </c>
      <c r="R3370">
        <v>0.1325954</v>
      </c>
      <c r="S3370">
        <v>3.0395509999999999</v>
      </c>
      <c r="T3370">
        <v>-2.355349E-2</v>
      </c>
      <c r="U3370">
        <v>0.156265299999999</v>
      </c>
      <c r="V3370">
        <v>-2.6132140000000002E-2</v>
      </c>
      <c r="W3370">
        <v>0.1543948</v>
      </c>
      <c r="X3370">
        <v>0.98766359999999997</v>
      </c>
      <c r="Y3370">
        <v>5.4102659999999997E-2</v>
      </c>
      <c r="Z3370">
        <v>-1.0232399999999999E-3</v>
      </c>
      <c r="AA3370">
        <v>0.9985349</v>
      </c>
      <c r="AB3370">
        <v>33</v>
      </c>
      <c r="AC3370">
        <v>155.03402500000001</v>
      </c>
      <c r="AD3370">
        <v>-1.204145</v>
      </c>
      <c r="AE3370">
        <v>7.9565999999999804</v>
      </c>
      <c r="AF3370">
        <v>8.4127777294600801</v>
      </c>
      <c r="AG3370">
        <v>-1.204145</v>
      </c>
      <c r="AH3370">
        <v>155.00058675203101</v>
      </c>
      <c r="AI3370">
        <v>90.444447656821296</v>
      </c>
      <c r="AJ3370">
        <v>86.893275148813103</v>
      </c>
      <c r="AK3370">
        <v>155.23339424164001</v>
      </c>
      <c r="AL3370">
        <v>81.118301798918395</v>
      </c>
      <c r="AM3370">
        <v>91.515609252122999</v>
      </c>
      <c r="AN3370">
        <v>1.00000001488648</v>
      </c>
    </row>
    <row r="3371" spans="1:40" x14ac:dyDescent="0.3">
      <c r="A3371" t="str">
        <f>"20200111150927105"</f>
        <v>20200111150927105</v>
      </c>
      <c r="B3371" t="str">
        <f>"1578726567097792"</f>
        <v>1578726567097792</v>
      </c>
      <c r="C3371" t="s">
        <v>40</v>
      </c>
      <c r="D3371">
        <v>5.6879479999999996</v>
      </c>
      <c r="E3371">
        <v>0.522899</v>
      </c>
      <c r="F3371" t="s">
        <v>43</v>
      </c>
      <c r="G3371">
        <v>-122.28</v>
      </c>
      <c r="H3371" s="1">
        <v>-3.403556E-6</v>
      </c>
      <c r="I3371">
        <v>138.99950000000001</v>
      </c>
      <c r="J3371">
        <v>-156.66200000000001</v>
      </c>
      <c r="K3371">
        <v>1.104312</v>
      </c>
      <c r="L3371">
        <v>137.30410000000001</v>
      </c>
      <c r="M3371">
        <v>0.99501709999999999</v>
      </c>
      <c r="N3371">
        <v>0</v>
      </c>
      <c r="O3371">
        <v>9.8600400000000005E-2</v>
      </c>
      <c r="P3371">
        <v>0.98154779999999997</v>
      </c>
      <c r="Q3371">
        <v>0.1411114</v>
      </c>
      <c r="R3371">
        <v>0.12904119999999999</v>
      </c>
      <c r="S3371">
        <v>3.0503849999999999</v>
      </c>
      <c r="T3371">
        <v>-9.7004889999999996E-2</v>
      </c>
      <c r="U3371">
        <v>0.15150449999999999</v>
      </c>
      <c r="V3371">
        <v>-2.9253520000000002E-2</v>
      </c>
      <c r="W3371">
        <v>0.15620880000000001</v>
      </c>
      <c r="X3371">
        <v>0.98729069999999997</v>
      </c>
      <c r="Y3371">
        <v>4.9051119999999997E-2</v>
      </c>
      <c r="Z3371">
        <v>-3.9067160000000002E-3</v>
      </c>
      <c r="AA3371">
        <v>0.99878869999999997</v>
      </c>
      <c r="AB3371">
        <v>33</v>
      </c>
      <c r="AC3371">
        <v>34.381999999999998</v>
      </c>
      <c r="AD3371">
        <v>-1.1043154035559899</v>
      </c>
      <c r="AE3371">
        <v>1.6954</v>
      </c>
      <c r="AF3371">
        <v>1.70156230154562</v>
      </c>
      <c r="AG3371">
        <v>-1.1043154035559899</v>
      </c>
      <c r="AH3371">
        <v>34.346262181137703</v>
      </c>
      <c r="AI3371">
        <v>91.839309259995105</v>
      </c>
      <c r="AJ3371">
        <v>87.163805044054996</v>
      </c>
      <c r="AK3371">
        <v>34.406112140025698</v>
      </c>
      <c r="AL3371">
        <v>81.0130900615721</v>
      </c>
      <c r="AM3371">
        <v>91.697182990371701</v>
      </c>
      <c r="AN3371">
        <v>0.999999941968158</v>
      </c>
    </row>
    <row r="3372" spans="1:40" x14ac:dyDescent="0.3">
      <c r="A3372" t="str">
        <f>"20200111150927129"</f>
        <v>20200111150927129</v>
      </c>
      <c r="B3372" t="str">
        <f>"1578726567118289"</f>
        <v>1578726567118289</v>
      </c>
      <c r="C3372" t="s">
        <v>40</v>
      </c>
      <c r="D3372">
        <v>5.7360259999999998</v>
      </c>
      <c r="E3372">
        <v>0.52254709999999904</v>
      </c>
      <c r="F3372" t="s">
        <v>43</v>
      </c>
      <c r="G3372">
        <v>-101.75409999999999</v>
      </c>
      <c r="H3372" s="1">
        <v>-4.1444789999999999E-6</v>
      </c>
      <c r="I3372">
        <v>140.6165</v>
      </c>
      <c r="J3372">
        <v>-156.32550000000001</v>
      </c>
      <c r="K3372">
        <v>1.1045</v>
      </c>
      <c r="L3372">
        <v>137.33080000000001</v>
      </c>
      <c r="M3372">
        <v>0.99564269999999999</v>
      </c>
      <c r="N3372">
        <v>0</v>
      </c>
      <c r="O3372">
        <v>9.2054319999999995E-2</v>
      </c>
      <c r="P3372">
        <v>0.98111360000000003</v>
      </c>
      <c r="Q3372">
        <v>0.1449011</v>
      </c>
      <c r="R3372">
        <v>0.12814049999999999</v>
      </c>
      <c r="S3372">
        <v>3.041077</v>
      </c>
      <c r="T3372">
        <v>-6.1162590000000003E-2</v>
      </c>
      <c r="U3372">
        <v>0.18345639999999999</v>
      </c>
      <c r="V3372">
        <v>-3.4888490000000001E-2</v>
      </c>
      <c r="W3372">
        <v>0.1601506</v>
      </c>
      <c r="X3372">
        <v>0.98647580000000001</v>
      </c>
      <c r="Y3372">
        <v>3.1911620000000002E-2</v>
      </c>
      <c r="Z3372">
        <v>-2.16708E-3</v>
      </c>
      <c r="AA3372">
        <v>0.99948840000000005</v>
      </c>
      <c r="AB3372">
        <v>33</v>
      </c>
      <c r="AC3372">
        <v>54.571399999999997</v>
      </c>
      <c r="AD3372">
        <v>-1.104504144479</v>
      </c>
      <c r="AE3372">
        <v>3.2856999999999901</v>
      </c>
      <c r="AF3372">
        <v>1.7516291345362001</v>
      </c>
      <c r="AG3372">
        <v>-1.104504144479</v>
      </c>
      <c r="AH3372">
        <v>54.6198402779616</v>
      </c>
      <c r="AI3372">
        <v>91.157863118721394</v>
      </c>
      <c r="AJ3372">
        <v>88.163184440778195</v>
      </c>
      <c r="AK3372">
        <v>54.659080544957597</v>
      </c>
      <c r="AL3372">
        <v>80.784361964598403</v>
      </c>
      <c r="AM3372">
        <v>92.025524005957195</v>
      </c>
      <c r="AN3372">
        <v>0.99999996270023905</v>
      </c>
    </row>
    <row r="3373" spans="1:40" x14ac:dyDescent="0.3">
      <c r="A3373" t="str">
        <f>"20200111150927150"</f>
        <v>20200111150927150</v>
      </c>
      <c r="B3373" t="str">
        <f>"1578726567147980"</f>
        <v>1578726567147980</v>
      </c>
      <c r="C3373" t="s">
        <v>40</v>
      </c>
      <c r="D3373">
        <v>5.7323139999999997</v>
      </c>
      <c r="E3373">
        <v>0.51789410000000002</v>
      </c>
      <c r="F3373" t="s">
        <v>43</v>
      </c>
      <c r="G3373">
        <v>-128.4769</v>
      </c>
      <c r="H3373" s="1">
        <v>-7.5214979999999998E-7</v>
      </c>
      <c r="I3373">
        <v>138.9598</v>
      </c>
      <c r="J3373">
        <v>-156.0061</v>
      </c>
      <c r="K3373">
        <v>1.104719</v>
      </c>
      <c r="L3373">
        <v>137.35409999999999</v>
      </c>
      <c r="M3373">
        <v>0.99618050000000002</v>
      </c>
      <c r="N3373">
        <v>0</v>
      </c>
      <c r="O3373">
        <v>8.5974809999999999E-2</v>
      </c>
      <c r="P3373">
        <v>0.98133400000000004</v>
      </c>
      <c r="Q3373">
        <v>0.1475815</v>
      </c>
      <c r="R3373">
        <v>0.1233016</v>
      </c>
      <c r="S3373">
        <v>3.052292</v>
      </c>
      <c r="T3373">
        <v>-0.1210566</v>
      </c>
      <c r="U3373">
        <v>0.17854310000000001</v>
      </c>
      <c r="V3373">
        <v>-3.608575E-2</v>
      </c>
      <c r="W3373">
        <v>0.1631871</v>
      </c>
      <c r="X3373">
        <v>0.98593500000000001</v>
      </c>
      <c r="Y3373">
        <v>2.757068E-2</v>
      </c>
      <c r="Z3373">
        <v>-3.9467469999999996E-3</v>
      </c>
      <c r="AA3373">
        <v>0.9996121</v>
      </c>
      <c r="AB3373">
        <v>33</v>
      </c>
      <c r="AC3373">
        <v>27.529199999999999</v>
      </c>
      <c r="AD3373">
        <v>-1.1047197521498</v>
      </c>
      <c r="AE3373">
        <v>1.6057000000000099</v>
      </c>
      <c r="AF3373">
        <v>0.76611049847158497</v>
      </c>
      <c r="AG3373">
        <v>-1.1047197521498</v>
      </c>
      <c r="AH3373">
        <v>27.521141902762501</v>
      </c>
      <c r="AI3373">
        <v>92.297773329863801</v>
      </c>
      <c r="AJ3373">
        <v>88.405459865610894</v>
      </c>
      <c r="AK3373">
        <v>27.553957658722101</v>
      </c>
      <c r="AL3373">
        <v>80.608064582099104</v>
      </c>
      <c r="AM3373">
        <v>92.096120618934506</v>
      </c>
      <c r="AN3373">
        <v>1.0000000175922299</v>
      </c>
    </row>
    <row r="3374" spans="1:40" x14ac:dyDescent="0.3">
      <c r="A3374" t="str">
        <f>"20200111150927173"</f>
        <v>20200111150927173</v>
      </c>
      <c r="B3374" t="str">
        <f>"1578726567168475"</f>
        <v>1578726567168475</v>
      </c>
      <c r="C3374" t="s">
        <v>40</v>
      </c>
      <c r="D3374">
        <v>5.7428559999999997</v>
      </c>
      <c r="E3374">
        <v>0.51721479999999997</v>
      </c>
      <c r="F3374" t="s">
        <v>43</v>
      </c>
      <c r="G3374">
        <v>-135.62469999999999</v>
      </c>
      <c r="H3374" s="1">
        <v>-2.0257400000000002E-6</v>
      </c>
      <c r="I3374">
        <v>138.67789999999999</v>
      </c>
      <c r="J3374">
        <v>-155.666</v>
      </c>
      <c r="K3374">
        <v>1.10502099999999</v>
      </c>
      <c r="L3374">
        <v>137.37690000000001</v>
      </c>
      <c r="M3374">
        <v>0.99669909999999995</v>
      </c>
      <c r="N3374">
        <v>0</v>
      </c>
      <c r="O3374">
        <v>7.9592609999999994E-2</v>
      </c>
      <c r="P3374">
        <v>0.9820371</v>
      </c>
      <c r="Q3374">
        <v>0.14639389999999999</v>
      </c>
      <c r="R3374">
        <v>0.119046</v>
      </c>
      <c r="S3374">
        <v>3.0570529999999998</v>
      </c>
      <c r="T3374">
        <v>-0.16569909999999999</v>
      </c>
      <c r="U3374">
        <v>0.19856260000000001</v>
      </c>
      <c r="V3374">
        <v>-3.8182859999999999E-2</v>
      </c>
      <c r="W3374">
        <v>0.162753799999999</v>
      </c>
      <c r="X3374">
        <v>0.98592760000000002</v>
      </c>
      <c r="Y3374">
        <v>1.46879E-2</v>
      </c>
      <c r="Z3374">
        <v>-4.698107E-3</v>
      </c>
      <c r="AA3374">
        <v>0.99988109999999997</v>
      </c>
      <c r="AB3374">
        <v>33</v>
      </c>
      <c r="AC3374">
        <v>20.0413</v>
      </c>
      <c r="AD3374">
        <v>-1.10502302573999</v>
      </c>
      <c r="AE3374">
        <v>1.30099999999998</v>
      </c>
      <c r="AF3374">
        <v>0.29757118454946702</v>
      </c>
      <c r="AG3374">
        <v>-1.10502302573999</v>
      </c>
      <c r="AH3374">
        <v>20.020655624417</v>
      </c>
      <c r="AI3374">
        <v>93.158838091806899</v>
      </c>
      <c r="AJ3374">
        <v>89.148463568645994</v>
      </c>
      <c r="AK3374">
        <v>20.0533357855692</v>
      </c>
      <c r="AL3374">
        <v>80.633226901255398</v>
      </c>
      <c r="AM3374">
        <v>92.217834214613404</v>
      </c>
      <c r="AN3374">
        <v>0.99999998132698897</v>
      </c>
    </row>
    <row r="3375" spans="1:40" x14ac:dyDescent="0.3">
      <c r="A3375" t="str">
        <f>"20200111150927195"</f>
        <v>20200111150927195</v>
      </c>
      <c r="B3375" t="str">
        <f>"1578726567187995"</f>
        <v>1578726567187995</v>
      </c>
      <c r="C3375" t="s">
        <v>40</v>
      </c>
      <c r="D3375">
        <v>5.7571059999999896</v>
      </c>
      <c r="E3375">
        <v>0.51656939999999996</v>
      </c>
      <c r="F3375" t="s">
        <v>43</v>
      </c>
      <c r="G3375">
        <v>-139.03270000000001</v>
      </c>
      <c r="H3375" s="1">
        <v>-6.3822269999999995E-7</v>
      </c>
      <c r="I3375">
        <v>138.4023</v>
      </c>
      <c r="J3375">
        <v>-155.33789999999999</v>
      </c>
      <c r="K3375">
        <v>1.1053059999999999</v>
      </c>
      <c r="L3375">
        <v>137.39680000000001</v>
      </c>
      <c r="M3375">
        <v>0.99715310000000001</v>
      </c>
      <c r="N3375">
        <v>0</v>
      </c>
      <c r="O3375">
        <v>7.3473060000000007E-2</v>
      </c>
      <c r="P3375">
        <v>0.98309380000000002</v>
      </c>
      <c r="Q3375">
        <v>0.14266499999999999</v>
      </c>
      <c r="R3375">
        <v>0.11477560000000001</v>
      </c>
      <c r="S3375">
        <v>3.0622859999999998</v>
      </c>
      <c r="T3375">
        <v>-0.20344090000000001</v>
      </c>
      <c r="U3375">
        <v>0.18879699999999999</v>
      </c>
      <c r="V3375">
        <v>-3.999701E-2</v>
      </c>
      <c r="W3375">
        <v>0.1599882</v>
      </c>
      <c r="X3375">
        <v>0.98630830000000003</v>
      </c>
      <c r="Y3375">
        <v>1.1788430000000001E-2</v>
      </c>
      <c r="Z3375">
        <v>-5.2565769999999897E-3</v>
      </c>
      <c r="AA3375">
        <v>0.99991669999999999</v>
      </c>
      <c r="AB3375">
        <v>33</v>
      </c>
      <c r="AC3375">
        <v>16.3051999999999</v>
      </c>
      <c r="AD3375">
        <v>-1.1053066382226999</v>
      </c>
      <c r="AE3375">
        <v>1.0054999999999801</v>
      </c>
      <c r="AF3375">
        <v>0.19449320744836701</v>
      </c>
      <c r="AG3375">
        <v>-1.1053066382226999</v>
      </c>
      <c r="AH3375">
        <v>16.260566434373398</v>
      </c>
      <c r="AI3375">
        <v>93.888402495818397</v>
      </c>
      <c r="AJ3375">
        <v>89.314715843715405</v>
      </c>
      <c r="AK3375">
        <v>16.299250017682301</v>
      </c>
      <c r="AL3375">
        <v>80.793788912924697</v>
      </c>
      <c r="AM3375">
        <v>92.322199767322005</v>
      </c>
      <c r="AN3375">
        <v>1.00000002379853</v>
      </c>
    </row>
    <row r="3376" spans="1:40" x14ac:dyDescent="0.3">
      <c r="A3376" t="str">
        <f>"20200111150927218"</f>
        <v>20200111150927218</v>
      </c>
      <c r="B3376" t="str">
        <f>"1578726567207515"</f>
        <v>1578726567207515</v>
      </c>
      <c r="C3376" t="s">
        <v>40</v>
      </c>
      <c r="D3376">
        <v>5.8032629999999896</v>
      </c>
      <c r="E3376">
        <v>0.51652140000000002</v>
      </c>
      <c r="F3376" t="s">
        <v>43</v>
      </c>
      <c r="G3376">
        <v>-140.98759999999999</v>
      </c>
      <c r="H3376" s="1">
        <v>-4.0947960000000001E-6</v>
      </c>
      <c r="I3376">
        <v>138.22829999999999</v>
      </c>
      <c r="J3376">
        <v>-155.01849999999999</v>
      </c>
      <c r="K3376">
        <v>1.105497</v>
      </c>
      <c r="L3376">
        <v>137.41399999999999</v>
      </c>
      <c r="M3376">
        <v>0.99755289999999996</v>
      </c>
      <c r="N3376">
        <v>0</v>
      </c>
      <c r="O3376">
        <v>6.7571560000000003E-2</v>
      </c>
      <c r="P3376">
        <v>0.98413410000000001</v>
      </c>
      <c r="Q3376">
        <v>0.13831930000000001</v>
      </c>
      <c r="R3376">
        <v>0.111120899999999</v>
      </c>
      <c r="S3376">
        <v>3.0651250000000001</v>
      </c>
      <c r="T3376">
        <v>-0.2360863</v>
      </c>
      <c r="U3376">
        <v>0.177612299999999</v>
      </c>
      <c r="V3376">
        <v>-4.219345E-2</v>
      </c>
      <c r="W3376">
        <v>0.15666369999999999</v>
      </c>
      <c r="X3376">
        <v>0.98675029999999997</v>
      </c>
      <c r="Y3376">
        <v>9.5252040000000007E-3</v>
      </c>
      <c r="Z3376">
        <v>-5.5538699999999998E-3</v>
      </c>
      <c r="AA3376">
        <v>0.99993920000000003</v>
      </c>
      <c r="AB3376">
        <v>33</v>
      </c>
      <c r="AC3376">
        <v>14.030900000000001</v>
      </c>
      <c r="AD3376">
        <v>-1.105501094796</v>
      </c>
      <c r="AE3376">
        <v>0.81430000000000202</v>
      </c>
      <c r="AF3376">
        <v>0.134969292917272</v>
      </c>
      <c r="AG3376">
        <v>-1.105501094796</v>
      </c>
      <c r="AH3376">
        <v>13.9674355525159</v>
      </c>
      <c r="AI3376">
        <v>94.525228546425495</v>
      </c>
      <c r="AJ3376">
        <v>89.446360061288402</v>
      </c>
      <c r="AK3376">
        <v>14.0117666728471</v>
      </c>
      <c r="AL3376">
        <v>80.986701643446807</v>
      </c>
      <c r="AM3376">
        <v>92.448476395710401</v>
      </c>
      <c r="AN3376">
        <v>0.99999997833534005</v>
      </c>
    </row>
    <row r="3377" spans="1:40" x14ac:dyDescent="0.3">
      <c r="A3377" t="str">
        <f>"20200111150927240"</f>
        <v>20200111150927240</v>
      </c>
      <c r="B3377" t="str">
        <f>"1578726567237772"</f>
        <v>1578726567237772</v>
      </c>
      <c r="C3377" t="s">
        <v>40</v>
      </c>
      <c r="D3377">
        <v>5.7680809999999996</v>
      </c>
      <c r="E3377">
        <v>0.51543600000000001</v>
      </c>
      <c r="F3377" t="s">
        <v>43</v>
      </c>
      <c r="G3377">
        <v>-141.3312</v>
      </c>
      <c r="H3377" s="1">
        <v>-3.9612609999999996E-6</v>
      </c>
      <c r="I3377">
        <v>138.15020000000001</v>
      </c>
      <c r="J3377">
        <v>-154.709</v>
      </c>
      <c r="K3377">
        <v>1.1056269999999999</v>
      </c>
      <c r="L3377">
        <v>137.42869999999999</v>
      </c>
      <c r="M3377">
        <v>0.99790080000000003</v>
      </c>
      <c r="N3377">
        <v>0</v>
      </c>
      <c r="O3377">
        <v>6.1941660000000003E-2</v>
      </c>
      <c r="P3377">
        <v>0.98476010000000003</v>
      </c>
      <c r="Q3377">
        <v>0.136276799999999</v>
      </c>
      <c r="R3377">
        <v>0.108057399999999</v>
      </c>
      <c r="S3377">
        <v>3.0645449999999999</v>
      </c>
      <c r="T3377">
        <v>-0.24751790000000001</v>
      </c>
      <c r="U3377">
        <v>0.16482539999999901</v>
      </c>
      <c r="V3377">
        <v>-4.4692330000000002E-2</v>
      </c>
      <c r="W3377">
        <v>0.15559790000000001</v>
      </c>
      <c r="X3377">
        <v>0.98680900000000005</v>
      </c>
      <c r="Y3377">
        <v>8.0326069999999902E-3</v>
      </c>
      <c r="Z3377">
        <v>-5.311245E-3</v>
      </c>
      <c r="AA3377">
        <v>0.9999536</v>
      </c>
      <c r="AB3377">
        <v>32</v>
      </c>
      <c r="AC3377">
        <v>13.377800000000001</v>
      </c>
      <c r="AD3377">
        <v>-1.105630961261</v>
      </c>
      <c r="AE3377">
        <v>0.72150000000002001</v>
      </c>
      <c r="AF3377">
        <v>0.10794196804865901</v>
      </c>
      <c r="AG3377">
        <v>-1.105630961261</v>
      </c>
      <c r="AH3377">
        <v>13.3061773459576</v>
      </c>
      <c r="AI3377">
        <v>94.749728485333094</v>
      </c>
      <c r="AJ3377">
        <v>89.535217111441597</v>
      </c>
      <c r="AK3377">
        <v>13.3524689422234</v>
      </c>
      <c r="AL3377">
        <v>81.048526382611499</v>
      </c>
      <c r="AM3377">
        <v>92.593139347850595</v>
      </c>
      <c r="AN3377">
        <v>1.00000005666311</v>
      </c>
    </row>
    <row r="3378" spans="1:40" x14ac:dyDescent="0.3">
      <c r="A3378" t="str">
        <f>"20200111150927262"</f>
        <v>20200111150927262</v>
      </c>
      <c r="B3378" t="str">
        <f>"1578726567258268"</f>
        <v>1578726567258268</v>
      </c>
      <c r="C3378" t="s">
        <v>40</v>
      </c>
      <c r="D3378">
        <v>5.8501919999999998</v>
      </c>
      <c r="E3378">
        <v>0.5148914</v>
      </c>
      <c r="F3378" t="s">
        <v>41</v>
      </c>
      <c r="G3378">
        <v>-153.70570000000001</v>
      </c>
      <c r="H3378">
        <v>1.0129170000000001</v>
      </c>
      <c r="I3378">
        <v>137.4811</v>
      </c>
      <c r="J3378">
        <v>-154.39109999999999</v>
      </c>
      <c r="K3378">
        <v>1.1057760000000001</v>
      </c>
      <c r="L3378">
        <v>137.44159999999999</v>
      </c>
      <c r="M3378">
        <v>0.9982221</v>
      </c>
      <c r="N3378">
        <v>0</v>
      </c>
      <c r="O3378">
        <v>5.6203379999999997E-2</v>
      </c>
      <c r="P3378">
        <v>0.98527120000000001</v>
      </c>
      <c r="Q3378">
        <v>0.1355024</v>
      </c>
      <c r="R3378">
        <v>0.1043057</v>
      </c>
      <c r="S3378">
        <v>3.0680689999999999</v>
      </c>
      <c r="T3378">
        <v>-0.28346589999999999</v>
      </c>
      <c r="U3378">
        <v>0.16012570000000001</v>
      </c>
      <c r="V3378">
        <v>-4.6610319999999997E-2</v>
      </c>
      <c r="W3378">
        <v>0.15577170000000001</v>
      </c>
      <c r="X3378">
        <v>0.98669280000000004</v>
      </c>
      <c r="Y3378">
        <v>3.8456229999999998E-3</v>
      </c>
      <c r="Z3378">
        <v>-5.3524509999999898E-3</v>
      </c>
      <c r="AA3378">
        <v>0.99997829999999999</v>
      </c>
      <c r="AB3378">
        <v>32</v>
      </c>
      <c r="AC3378">
        <v>0.68539999999998702</v>
      </c>
      <c r="AD3378">
        <v>-9.2858999999999997E-2</v>
      </c>
      <c r="AE3378">
        <v>3.9500000000003803E-2</v>
      </c>
      <c r="AF3378">
        <v>-8.9183941265970302E-4</v>
      </c>
      <c r="AG3378">
        <v>-9.2858999999999997E-2</v>
      </c>
      <c r="AH3378">
        <v>0.67420248418218098</v>
      </c>
      <c r="AI3378">
        <v>97.842093899504704</v>
      </c>
      <c r="AJ3378">
        <v>90.075791184018598</v>
      </c>
      <c r="AK3378">
        <v>0.68056783566075296</v>
      </c>
      <c r="AL3378">
        <v>81.038445063398896</v>
      </c>
      <c r="AM3378">
        <v>92.704581198373603</v>
      </c>
      <c r="AN3378">
        <v>1.00000001301161</v>
      </c>
    </row>
    <row r="3379" spans="1:40" x14ac:dyDescent="0.3">
      <c r="A3379" t="str">
        <f>"20200111150927285"</f>
        <v>20200111150927285</v>
      </c>
      <c r="B3379" t="str">
        <f>"1578726567277787"</f>
        <v>1578726567277787</v>
      </c>
      <c r="C3379" t="s">
        <v>40</v>
      </c>
      <c r="D3379">
        <v>5.7182209999999998</v>
      </c>
      <c r="E3379">
        <v>0.51474259999999905</v>
      </c>
      <c r="F3379" t="s">
        <v>41</v>
      </c>
      <c r="G3379">
        <v>-153.42420000000001</v>
      </c>
      <c r="H3379">
        <v>1.011423</v>
      </c>
      <c r="I3379">
        <v>137.48910000000001</v>
      </c>
      <c r="J3379">
        <v>-154.06569999999999</v>
      </c>
      <c r="K3379">
        <v>1.1060239999999999</v>
      </c>
      <c r="L3379">
        <v>137.45259999999999</v>
      </c>
      <c r="M3379">
        <v>0.99851800000000002</v>
      </c>
      <c r="N3379">
        <v>0</v>
      </c>
      <c r="O3379">
        <v>5.0293490000000003E-2</v>
      </c>
      <c r="P3379">
        <v>0.98570340000000001</v>
      </c>
      <c r="Q3379">
        <v>0.13556599999999999</v>
      </c>
      <c r="R3379">
        <v>0.1000539</v>
      </c>
      <c r="S3379">
        <v>3.0700379999999998</v>
      </c>
      <c r="T3379">
        <v>-0.29956939999999999</v>
      </c>
      <c r="U3379">
        <v>0.1511536</v>
      </c>
      <c r="V3379">
        <v>-4.8219070000000003E-2</v>
      </c>
      <c r="W3379">
        <v>0.1567819</v>
      </c>
      <c r="X3379">
        <v>0.98645539999999998</v>
      </c>
      <c r="Y3379">
        <v>8.8799899999999999E-4</v>
      </c>
      <c r="Z3379">
        <v>-4.9341810000000002E-3</v>
      </c>
      <c r="AA3379">
        <v>0.99998739999999997</v>
      </c>
      <c r="AB3379">
        <v>32</v>
      </c>
      <c r="AC3379">
        <v>0.64149999999997898</v>
      </c>
      <c r="AD3379">
        <v>-9.4600999999999894E-2</v>
      </c>
      <c r="AE3379">
        <v>3.65000000000179E-2</v>
      </c>
      <c r="AF3379">
        <v>-4.0947761844441401E-3</v>
      </c>
      <c r="AG3379">
        <v>-9.4600999999999894E-2</v>
      </c>
      <c r="AH3379">
        <v>0.62889159385834004</v>
      </c>
      <c r="AI3379">
        <v>98.554398746670202</v>
      </c>
      <c r="AJ3379">
        <v>90.373053289885604</v>
      </c>
      <c r="AK3379">
        <v>0.63598015159176502</v>
      </c>
      <c r="AL3379">
        <v>80.979844284508502</v>
      </c>
      <c r="AM3379">
        <v>92.798455911458902</v>
      </c>
      <c r="AN3379">
        <v>0.999999949534216</v>
      </c>
    </row>
    <row r="3380" spans="1:40" x14ac:dyDescent="0.3">
      <c r="A3380" t="str">
        <f>"20200111150927307"</f>
        <v>20200111150927307</v>
      </c>
      <c r="B3380" t="str">
        <f>"1578726567298283"</f>
        <v>1578726567298283</v>
      </c>
      <c r="C3380" t="s">
        <v>40</v>
      </c>
      <c r="D3380">
        <v>5.7401200000000001</v>
      </c>
      <c r="E3380">
        <v>0.51438209999999995</v>
      </c>
      <c r="F3380" t="s">
        <v>41</v>
      </c>
      <c r="G3380">
        <v>-153.1439</v>
      </c>
      <c r="H3380">
        <v>1.0123200000000001</v>
      </c>
      <c r="I3380">
        <v>137.4941</v>
      </c>
      <c r="J3380">
        <v>-153.7627</v>
      </c>
      <c r="K3380">
        <v>1.1063149999999999</v>
      </c>
      <c r="L3380">
        <v>137.46100000000001</v>
      </c>
      <c r="M3380">
        <v>0.99876399999999999</v>
      </c>
      <c r="N3380">
        <v>0</v>
      </c>
      <c r="O3380">
        <v>4.4721410000000003E-2</v>
      </c>
      <c r="P3380">
        <v>0.98603050000000003</v>
      </c>
      <c r="Q3380">
        <v>0.1369475</v>
      </c>
      <c r="R3380">
        <v>9.4811370000000006E-2</v>
      </c>
      <c r="S3380">
        <v>3.0724330000000002</v>
      </c>
      <c r="T3380">
        <v>-0.31232409999999999</v>
      </c>
      <c r="U3380">
        <v>0.13825989999999999</v>
      </c>
      <c r="V3380">
        <v>-4.8509950000000003E-2</v>
      </c>
      <c r="W3380">
        <v>0.1590317</v>
      </c>
      <c r="X3380">
        <v>0.98608099999999999</v>
      </c>
      <c r="Y3380">
        <v>-4.504345E-4</v>
      </c>
      <c r="Z3380">
        <v>-4.5081030000000003E-3</v>
      </c>
      <c r="AA3380">
        <v>0.99998969999999998</v>
      </c>
      <c r="AB3380">
        <v>31</v>
      </c>
      <c r="AC3380">
        <v>0.61879999999999302</v>
      </c>
      <c r="AD3380">
        <v>-9.3994999999999801E-2</v>
      </c>
      <c r="AE3380">
        <v>3.3099999999990297E-2</v>
      </c>
      <c r="AF3380">
        <v>-5.2655992973419897E-3</v>
      </c>
      <c r="AG3380">
        <v>-9.3994999999999801E-2</v>
      </c>
      <c r="AH3380">
        <v>0.60572504973231101</v>
      </c>
      <c r="AI3380">
        <v>98.820345429866194</v>
      </c>
      <c r="AJ3380">
        <v>90.498062639427204</v>
      </c>
      <c r="AK3380">
        <v>0.61299724504615105</v>
      </c>
      <c r="AL3380">
        <v>80.849303056793303</v>
      </c>
      <c r="AM3380">
        <v>92.816377639202599</v>
      </c>
      <c r="AN3380">
        <v>1.00000001770744</v>
      </c>
    </row>
    <row r="3381" spans="1:40" x14ac:dyDescent="0.3">
      <c r="A3381" t="str">
        <f>"20200111150927329"</f>
        <v>20200111150927329</v>
      </c>
      <c r="B3381" t="str">
        <f>"1578726567317804"</f>
        <v>1578726567317804</v>
      </c>
      <c r="C3381" t="s">
        <v>40</v>
      </c>
      <c r="D3381">
        <v>5.706556</v>
      </c>
      <c r="E3381">
        <v>0.51400649999999903</v>
      </c>
      <c r="F3381" t="s">
        <v>41</v>
      </c>
      <c r="G3381">
        <v>-152.86600000000001</v>
      </c>
      <c r="H3381">
        <v>1.0141880000000001</v>
      </c>
      <c r="I3381">
        <v>137.4975</v>
      </c>
      <c r="J3381">
        <v>-153.45869999999999</v>
      </c>
      <c r="K3381">
        <v>1.106681</v>
      </c>
      <c r="L3381">
        <v>137.46780000000001</v>
      </c>
      <c r="M3381">
        <v>0.99897550000000002</v>
      </c>
      <c r="N3381">
        <v>0</v>
      </c>
      <c r="O3381">
        <v>3.9130110000000003E-2</v>
      </c>
      <c r="P3381">
        <v>0.98644050000000005</v>
      </c>
      <c r="Q3381">
        <v>0.13849890000000001</v>
      </c>
      <c r="R3381">
        <v>8.805164E-2</v>
      </c>
      <c r="S3381">
        <v>3.074265</v>
      </c>
      <c r="T3381">
        <v>-0.3157007</v>
      </c>
      <c r="U3381">
        <v>0.12550349999999999</v>
      </c>
      <c r="V3381">
        <v>-4.7313729999999998E-2</v>
      </c>
      <c r="W3381">
        <v>0.16156670000000001</v>
      </c>
      <c r="X3381">
        <v>0.98572700000000002</v>
      </c>
      <c r="Y3381">
        <v>-1.846674E-3</v>
      </c>
      <c r="Z3381">
        <v>-3.9110719999999998E-3</v>
      </c>
      <c r="AA3381">
        <v>0.99999059999999995</v>
      </c>
      <c r="AB3381">
        <v>31</v>
      </c>
      <c r="AC3381">
        <v>0.59269999999997902</v>
      </c>
      <c r="AD3381">
        <v>-9.2493000000000103E-2</v>
      </c>
      <c r="AE3381">
        <v>2.9699999999991102E-2</v>
      </c>
      <c r="AF3381">
        <v>-6.3251807626237104E-3</v>
      </c>
      <c r="AG3381">
        <v>-9.2493000000000103E-2</v>
      </c>
      <c r="AH3381">
        <v>0.57933523060140801</v>
      </c>
      <c r="AI3381">
        <v>99.070396744276493</v>
      </c>
      <c r="AJ3381">
        <v>90.625530339456802</v>
      </c>
      <c r="AK3381">
        <v>0.58670629140709496</v>
      </c>
      <c r="AL3381">
        <v>80.702155702365104</v>
      </c>
      <c r="AM3381">
        <v>92.748020561622397</v>
      </c>
      <c r="AN3381">
        <v>1.0000000530622</v>
      </c>
    </row>
    <row r="3382" spans="1:40" x14ac:dyDescent="0.3">
      <c r="A3382" t="str">
        <f>"20200111150927350"</f>
        <v>20200111150927350</v>
      </c>
      <c r="B3382" t="str">
        <f>"1578726567348059"</f>
        <v>1578726567348059</v>
      </c>
      <c r="C3382" t="s">
        <v>40</v>
      </c>
      <c r="D3382">
        <v>4.3087519999999904</v>
      </c>
      <c r="E3382">
        <v>0.51381739999999998</v>
      </c>
      <c r="F3382" t="s">
        <v>41</v>
      </c>
      <c r="G3382">
        <v>-152.59129999999999</v>
      </c>
      <c r="H3382">
        <v>1.0164740000000001</v>
      </c>
      <c r="I3382">
        <v>137.49809999999999</v>
      </c>
      <c r="J3382">
        <v>-153.15700000000001</v>
      </c>
      <c r="K3382">
        <v>1.1071359999999999</v>
      </c>
      <c r="L3382">
        <v>137.47280000000001</v>
      </c>
      <c r="M3382">
        <v>0.99914689999999995</v>
      </c>
      <c r="N3382">
        <v>0</v>
      </c>
      <c r="O3382">
        <v>3.3602170000000001E-2</v>
      </c>
      <c r="P3382">
        <v>0.98706179999999999</v>
      </c>
      <c r="Q3382">
        <v>0.1386077</v>
      </c>
      <c r="R3382">
        <v>8.0605339999999998E-2</v>
      </c>
      <c r="S3382">
        <v>3.0765229999999999</v>
      </c>
      <c r="T3382">
        <v>-0.31992969999999998</v>
      </c>
      <c r="U3382">
        <v>0.1078339</v>
      </c>
      <c r="V3382">
        <v>-4.539725E-2</v>
      </c>
      <c r="W3382">
        <v>0.16288320000000001</v>
      </c>
      <c r="X3382">
        <v>0.98560040000000004</v>
      </c>
      <c r="Y3382">
        <v>-1.5903899999999999E-3</v>
      </c>
      <c r="Z3382">
        <v>-3.4014090000000002E-3</v>
      </c>
      <c r="AA3382">
        <v>0.99999300000000002</v>
      </c>
      <c r="AB3382">
        <v>31</v>
      </c>
      <c r="AC3382">
        <v>0.56570000000002096</v>
      </c>
      <c r="AD3382">
        <v>-9.0662000000000201E-2</v>
      </c>
      <c r="AE3382">
        <v>2.5299999999987201E-2</v>
      </c>
      <c r="AF3382">
        <v>-6.1147336588774697E-3</v>
      </c>
      <c r="AG3382">
        <v>-9.0662000000000201E-2</v>
      </c>
      <c r="AH3382">
        <v>0.55207894012347702</v>
      </c>
      <c r="AI3382">
        <v>99.325270703386295</v>
      </c>
      <c r="AJ3382">
        <v>90.634572487505295</v>
      </c>
      <c r="AK3382">
        <v>0.55950705477194895</v>
      </c>
      <c r="AL3382">
        <v>80.625712712054593</v>
      </c>
      <c r="AM3382">
        <v>92.637208460207802</v>
      </c>
      <c r="AN3382">
        <v>0.99999999781498095</v>
      </c>
    </row>
    <row r="3383" spans="1:40" x14ac:dyDescent="0.3">
      <c r="A3383" t="str">
        <f>"20200111150927374"</f>
        <v>20200111150927374</v>
      </c>
      <c r="B3383" t="str">
        <f>"1578726567367579"</f>
        <v>1578726567367579</v>
      </c>
      <c r="C3383" t="s">
        <v>40</v>
      </c>
      <c r="D3383">
        <v>5.444458</v>
      </c>
      <c r="E3383">
        <v>0.51465159999999999</v>
      </c>
      <c r="F3383" t="s">
        <v>41</v>
      </c>
      <c r="G3383">
        <v>-152.32060000000001</v>
      </c>
      <c r="H3383">
        <v>1.0188330000000001</v>
      </c>
      <c r="I3383">
        <v>137.49610000000001</v>
      </c>
      <c r="J3383">
        <v>-152.85249999999999</v>
      </c>
      <c r="K3383">
        <v>1.10764</v>
      </c>
      <c r="L3383">
        <v>137.47640000000001</v>
      </c>
      <c r="M3383">
        <v>0.99928189999999995</v>
      </c>
      <c r="N3383">
        <v>0</v>
      </c>
      <c r="O3383">
        <v>2.800016E-2</v>
      </c>
      <c r="P3383">
        <v>0.98764629999999998</v>
      </c>
      <c r="Q3383">
        <v>0.13880999999999999</v>
      </c>
      <c r="R3383">
        <v>7.2707560000000004E-2</v>
      </c>
      <c r="S3383">
        <v>3.0779269999999999</v>
      </c>
      <c r="T3383">
        <v>-0.32482240000000001</v>
      </c>
      <c r="U3383">
        <v>8.6044309999999999E-2</v>
      </c>
      <c r="V3383">
        <v>-4.3115210000000001E-2</v>
      </c>
      <c r="W3383">
        <v>0.16453199999999901</v>
      </c>
      <c r="X3383">
        <v>0.985429</v>
      </c>
      <c r="Y3383" s="1">
        <v>-8.9911929999999998E-5</v>
      </c>
      <c r="Z3383">
        <v>-2.9418370000000001E-3</v>
      </c>
      <c r="AA3383">
        <v>0.99999559999999998</v>
      </c>
      <c r="AB3383">
        <v>30</v>
      </c>
      <c r="AC3383">
        <v>0.53189999999997895</v>
      </c>
      <c r="AD3383">
        <v>-8.8806999999999803E-2</v>
      </c>
      <c r="AE3383">
        <v>1.97000000000002E-2</v>
      </c>
      <c r="AF3383">
        <v>-4.6642859802627301E-3</v>
      </c>
      <c r="AG3383">
        <v>-8.8806999999999803E-2</v>
      </c>
      <c r="AH3383">
        <v>0.51782777426186799</v>
      </c>
      <c r="AI3383">
        <v>99.731117222761597</v>
      </c>
      <c r="AJ3383">
        <v>90.516072499925897</v>
      </c>
      <c r="AK3383">
        <v>0.52540845311976703</v>
      </c>
      <c r="AL3383">
        <v>80.529951584789103</v>
      </c>
      <c r="AM3383">
        <v>92.505249045584904</v>
      </c>
      <c r="AN3383">
        <v>1.0000000071991699</v>
      </c>
    </row>
    <row r="3384" spans="1:40" x14ac:dyDescent="0.3">
      <c r="A3384" t="str">
        <f>"20200111150927396"</f>
        <v>20200111150927396</v>
      </c>
      <c r="B3384" t="str">
        <f>"1578726567388075"</f>
        <v>1578726567388075</v>
      </c>
      <c r="C3384" t="s">
        <v>40</v>
      </c>
      <c r="D3384">
        <v>5.6277679999999997</v>
      </c>
      <c r="E3384">
        <v>0.57602519999999902</v>
      </c>
      <c r="F3384" t="s">
        <v>41</v>
      </c>
      <c r="G3384">
        <v>-152.04990000000001</v>
      </c>
      <c r="H3384">
        <v>1.02701</v>
      </c>
      <c r="I3384">
        <v>137.49090000000001</v>
      </c>
      <c r="J3384">
        <v>-152.5634</v>
      </c>
      <c r="K3384">
        <v>1.108088</v>
      </c>
      <c r="L3384">
        <v>137.47829999999999</v>
      </c>
      <c r="M3384">
        <v>0.99937640000000005</v>
      </c>
      <c r="N3384">
        <v>0</v>
      </c>
      <c r="O3384">
        <v>2.2611050000000001E-2</v>
      </c>
      <c r="P3384">
        <v>0.98831270000000004</v>
      </c>
      <c r="Q3384">
        <v>0.137904</v>
      </c>
      <c r="R3384">
        <v>6.4967150000000001E-2</v>
      </c>
      <c r="S3384">
        <v>3.0768430000000002</v>
      </c>
      <c r="T3384">
        <v>-0.30904409999999999</v>
      </c>
      <c r="U3384">
        <v>5.5892940000000002E-2</v>
      </c>
      <c r="V3384">
        <v>-4.0782539999999999E-2</v>
      </c>
      <c r="W3384">
        <v>0.16514809999999999</v>
      </c>
      <c r="X3384">
        <v>0.9854252</v>
      </c>
      <c r="Y3384">
        <v>4.3221170000000003E-3</v>
      </c>
      <c r="Z3384">
        <v>-2.482284E-3</v>
      </c>
      <c r="AA3384">
        <v>0.99998759999999998</v>
      </c>
      <c r="AB3384">
        <v>30</v>
      </c>
      <c r="AC3384">
        <v>0.51349999999999296</v>
      </c>
      <c r="AD3384">
        <v>-8.10779999999999E-2</v>
      </c>
      <c r="AE3384">
        <v>1.26000000000203E-2</v>
      </c>
      <c r="AF3384">
        <v>-9.5786424291125199E-4</v>
      </c>
      <c r="AG3384">
        <v>-8.10779999999999E-2</v>
      </c>
      <c r="AH3384">
        <v>0.50116696745807698</v>
      </c>
      <c r="AI3384">
        <v>99.189585284423899</v>
      </c>
      <c r="AJ3384">
        <v>90.109507440040105</v>
      </c>
      <c r="AK3384">
        <v>0.507683847348951</v>
      </c>
      <c r="AL3384">
        <v>80.494161685761995</v>
      </c>
      <c r="AM3384">
        <v>92.369875181310107</v>
      </c>
      <c r="AN3384">
        <v>0.99999996764874999</v>
      </c>
    </row>
    <row r="3385" spans="1:40" x14ac:dyDescent="0.3">
      <c r="A3385" t="str">
        <f>"20200111150927418"</f>
        <v>20200111150927418</v>
      </c>
      <c r="B3385" t="str">
        <f>"1578726567408571"</f>
        <v>1578726567408571</v>
      </c>
      <c r="C3385" t="s">
        <v>40</v>
      </c>
      <c r="D3385">
        <v>5.6778579999999996</v>
      </c>
      <c r="E3385">
        <v>0.57908119999999996</v>
      </c>
      <c r="F3385" t="s">
        <v>43</v>
      </c>
      <c r="G3385">
        <v>-99.915139999999994</v>
      </c>
      <c r="H3385" s="1">
        <v>-2.5984130000000001E-6</v>
      </c>
      <c r="I3385">
        <v>129.9067</v>
      </c>
      <c r="J3385">
        <v>-152.28229999999999</v>
      </c>
      <c r="K3385">
        <v>1.108433</v>
      </c>
      <c r="L3385">
        <v>137.4787</v>
      </c>
      <c r="M3385">
        <v>0.99944029999999995</v>
      </c>
      <c r="N3385">
        <v>0</v>
      </c>
      <c r="O3385">
        <v>1.725908E-2</v>
      </c>
      <c r="P3385">
        <v>0.98909150000000001</v>
      </c>
      <c r="Q3385">
        <v>0.13530889999999901</v>
      </c>
      <c r="R3385">
        <v>5.8219E-2</v>
      </c>
      <c r="S3385">
        <v>3.073547</v>
      </c>
      <c r="T3385">
        <v>-6.4689040000000003E-2</v>
      </c>
      <c r="U3385">
        <v>-0.44201659999999998</v>
      </c>
      <c r="V3385">
        <v>-3.9401770000000003E-2</v>
      </c>
      <c r="W3385">
        <v>0.16404939999999901</v>
      </c>
      <c r="X3385">
        <v>0.98566489999999995</v>
      </c>
      <c r="Y3385">
        <v>0.15937950000000001</v>
      </c>
      <c r="Z3385">
        <v>-2.030067E-3</v>
      </c>
      <c r="AA3385">
        <v>0.98721530000000002</v>
      </c>
      <c r="AB3385">
        <v>29</v>
      </c>
      <c r="AC3385">
        <v>52.367159999999899</v>
      </c>
      <c r="AD3385">
        <v>-1.1084355984129901</v>
      </c>
      <c r="AE3385">
        <v>-7.5720000000000001</v>
      </c>
      <c r="AF3385">
        <v>8.4713339244333099</v>
      </c>
      <c r="AG3385">
        <v>-1.1084355984129901</v>
      </c>
      <c r="AH3385">
        <v>52.2057036123662</v>
      </c>
      <c r="AI3385">
        <v>91.200626272504707</v>
      </c>
      <c r="AJ3385">
        <v>80.783044759619898</v>
      </c>
      <c r="AK3385">
        <v>52.900166517670897</v>
      </c>
      <c r="AL3385">
        <v>80.557983358105403</v>
      </c>
      <c r="AM3385">
        <v>92.289169234300999</v>
      </c>
      <c r="AN3385">
        <v>1.0000000001057501</v>
      </c>
    </row>
    <row r="3386" spans="1:40" x14ac:dyDescent="0.3">
      <c r="A3386" t="str">
        <f>"20200111150927441"</f>
        <v>20200111150927441</v>
      </c>
      <c r="B3386" t="str">
        <f>"1578726567437851"</f>
        <v>1578726567437851</v>
      </c>
      <c r="C3386" t="s">
        <v>40</v>
      </c>
      <c r="D3386">
        <v>5.7854080000000003</v>
      </c>
      <c r="E3386">
        <v>0.57949719999999905</v>
      </c>
      <c r="F3386" t="s">
        <v>43</v>
      </c>
      <c r="G3386">
        <v>-135.46619999999999</v>
      </c>
      <c r="H3386" s="1">
        <v>-2.814939E-6</v>
      </c>
      <c r="I3386">
        <v>134.78299999999999</v>
      </c>
      <c r="J3386">
        <v>-151.99709999999999</v>
      </c>
      <c r="K3386">
        <v>1.108635</v>
      </c>
      <c r="L3386">
        <v>137.4776</v>
      </c>
      <c r="M3386">
        <v>0.99948029999999999</v>
      </c>
      <c r="N3386">
        <v>0</v>
      </c>
      <c r="O3386">
        <v>1.170116E-2</v>
      </c>
      <c r="P3386">
        <v>0.98966880000000002</v>
      </c>
      <c r="Q3386">
        <v>0.13371040000000001</v>
      </c>
      <c r="R3386">
        <v>5.1740849999999998E-2</v>
      </c>
      <c r="S3386">
        <v>3.090103</v>
      </c>
      <c r="T3386">
        <v>-0.20368420000000001</v>
      </c>
      <c r="U3386">
        <v>-0.4953613</v>
      </c>
      <c r="V3386">
        <v>-3.8459140000000003E-2</v>
      </c>
      <c r="W3386">
        <v>0.16379920000000001</v>
      </c>
      <c r="X3386">
        <v>0.98574379999999995</v>
      </c>
      <c r="Y3386">
        <v>0.1694494</v>
      </c>
      <c r="Z3386">
        <v>-6.309388E-3</v>
      </c>
      <c r="AA3386">
        <v>0.98551869999999997</v>
      </c>
      <c r="AB3386">
        <v>29</v>
      </c>
      <c r="AC3386">
        <v>16.530899999999999</v>
      </c>
      <c r="AD3386">
        <v>-1.1086378149389999</v>
      </c>
      <c r="AE3386">
        <v>-2.6945999999999999</v>
      </c>
      <c r="AF3386">
        <v>2.8753358258752999</v>
      </c>
      <c r="AG3386">
        <v>-1.1086378149389999</v>
      </c>
      <c r="AH3386">
        <v>16.4262556010816</v>
      </c>
      <c r="AI3386">
        <v>93.803483021916705</v>
      </c>
      <c r="AJ3386">
        <v>80.071246338525896</v>
      </c>
      <c r="AK3386">
        <v>16.7128246262664</v>
      </c>
      <c r="AL3386">
        <v>80.572515919623896</v>
      </c>
      <c r="AM3386">
        <v>92.234281715068306</v>
      </c>
      <c r="AN3386">
        <v>1.0000000613043001</v>
      </c>
    </row>
    <row r="3387" spans="1:40" x14ac:dyDescent="0.3">
      <c r="A3387" t="str">
        <f>"20200111150927463"</f>
        <v>20200111150927463</v>
      </c>
      <c r="B3387" t="str">
        <f>"1578726567458349"</f>
        <v>1578726567458349</v>
      </c>
      <c r="C3387" t="s">
        <v>40</v>
      </c>
      <c r="D3387">
        <v>5.8447630000000004</v>
      </c>
      <c r="E3387">
        <v>0.57931319999999997</v>
      </c>
      <c r="F3387" t="s">
        <v>43</v>
      </c>
      <c r="G3387">
        <v>-138.77850000000001</v>
      </c>
      <c r="H3387" s="1">
        <v>-1.56335E-6</v>
      </c>
      <c r="I3387">
        <v>135.25049999999999</v>
      </c>
      <c r="J3387">
        <v>-151.71729999999999</v>
      </c>
      <c r="K3387">
        <v>1.1087209999999901</v>
      </c>
      <c r="L3387">
        <v>137.47479999999999</v>
      </c>
      <c r="M3387">
        <v>0.99949589999999999</v>
      </c>
      <c r="N3387">
        <v>0</v>
      </c>
      <c r="O3387">
        <v>6.1867750000000003E-3</v>
      </c>
      <c r="P3387">
        <v>0.98998679999999994</v>
      </c>
      <c r="Q3387">
        <v>0.1337092</v>
      </c>
      <c r="R3387">
        <v>4.5257930000000002E-2</v>
      </c>
      <c r="S3387">
        <v>3.0936279999999998</v>
      </c>
      <c r="T3387">
        <v>-0.2594612</v>
      </c>
      <c r="U3387">
        <v>-0.52122500000000005</v>
      </c>
      <c r="V3387">
        <v>-3.7435610000000001E-2</v>
      </c>
      <c r="W3387">
        <v>0.1648763</v>
      </c>
      <c r="X3387">
        <v>0.98560360000000002</v>
      </c>
      <c r="Y3387">
        <v>0.17163510000000001</v>
      </c>
      <c r="Z3387">
        <v>-7.6495280000000001E-3</v>
      </c>
      <c r="AA3387">
        <v>0.98513090000000003</v>
      </c>
      <c r="AB3387">
        <v>28</v>
      </c>
      <c r="AC3387">
        <v>12.938799999999899</v>
      </c>
      <c r="AD3387">
        <v>-1.10872256334999</v>
      </c>
      <c r="AE3387">
        <v>-2.2242999999999902</v>
      </c>
      <c r="AF3387">
        <v>2.2880275426149002</v>
      </c>
      <c r="AG3387">
        <v>-1.10872256334999</v>
      </c>
      <c r="AH3387">
        <v>12.8332578790766</v>
      </c>
      <c r="AI3387">
        <v>94.8614924561099</v>
      </c>
      <c r="AJ3387">
        <v>79.891016083829797</v>
      </c>
      <c r="AK3387">
        <v>13.0826925190929</v>
      </c>
      <c r="AL3387">
        <v>80.509951799934299</v>
      </c>
      <c r="AM3387">
        <v>92.175186748896706</v>
      </c>
      <c r="AN3387">
        <v>1.00000003776536</v>
      </c>
    </row>
    <row r="3388" spans="1:40" x14ac:dyDescent="0.3">
      <c r="A3388" t="str">
        <f>"20200111150927486"</f>
        <v>20200111150927486</v>
      </c>
      <c r="B3388" t="str">
        <f>"1578726567477867"</f>
        <v>1578726567477867</v>
      </c>
      <c r="C3388" t="s">
        <v>40</v>
      </c>
      <c r="D3388">
        <v>5.7452969999999999</v>
      </c>
      <c r="E3388">
        <v>0.58022739999999995</v>
      </c>
      <c r="F3388" t="s">
        <v>43</v>
      </c>
      <c r="G3388">
        <v>-138.99690000000001</v>
      </c>
      <c r="H3388" s="1">
        <v>-1.4868309999999999E-6</v>
      </c>
      <c r="I3388">
        <v>135.2587</v>
      </c>
      <c r="J3388">
        <v>-151.44059999999999</v>
      </c>
      <c r="K3388">
        <v>1.1087739999999999</v>
      </c>
      <c r="L3388">
        <v>137.47030000000001</v>
      </c>
      <c r="M3388">
        <v>0.99948590000000004</v>
      </c>
      <c r="N3388">
        <v>0</v>
      </c>
      <c r="O3388">
        <v>7.3492659999999999E-4</v>
      </c>
      <c r="P3388">
        <v>0.99016110000000002</v>
      </c>
      <c r="Q3388">
        <v>0.1340567</v>
      </c>
      <c r="R3388">
        <v>4.0121469999999999E-2</v>
      </c>
      <c r="S3388">
        <v>3.09137</v>
      </c>
      <c r="T3388">
        <v>-0.26944630000000003</v>
      </c>
      <c r="U3388">
        <v>-0.53854369999999996</v>
      </c>
      <c r="V3388">
        <v>-3.7693150000000002E-2</v>
      </c>
      <c r="W3388">
        <v>0.16612199999999999</v>
      </c>
      <c r="X3388">
        <v>0.9853845</v>
      </c>
      <c r="Y3388">
        <v>0.1717137</v>
      </c>
      <c r="Z3388">
        <v>-7.4771709999999899E-3</v>
      </c>
      <c r="AA3388">
        <v>0.98511850000000001</v>
      </c>
      <c r="AB3388">
        <v>27</v>
      </c>
      <c r="AC3388">
        <v>12.4436999999999</v>
      </c>
      <c r="AD3388">
        <v>-1.108775486831</v>
      </c>
      <c r="AE3388">
        <v>-2.2115999999999998</v>
      </c>
      <c r="AF3388">
        <v>2.20378828834968</v>
      </c>
      <c r="AG3388">
        <v>-1.108775486831</v>
      </c>
      <c r="AH3388">
        <v>12.347043851794499</v>
      </c>
      <c r="AI3388">
        <v>95.052028673189795</v>
      </c>
      <c r="AJ3388">
        <v>79.880009705326501</v>
      </c>
      <c r="AK3388">
        <v>12.5910904125973</v>
      </c>
      <c r="AL3388">
        <v>80.437579617441799</v>
      </c>
      <c r="AM3388">
        <v>92.190623025229797</v>
      </c>
      <c r="AN3388">
        <v>0.99999995264058505</v>
      </c>
    </row>
    <row r="3389" spans="1:40" x14ac:dyDescent="0.3">
      <c r="A3389" t="str">
        <f>"20200111150927507"</f>
        <v>20200111150927507</v>
      </c>
      <c r="B3389" t="str">
        <f>"1578726567498364"</f>
        <v>1578726567498364</v>
      </c>
      <c r="C3389" t="s">
        <v>40</v>
      </c>
      <c r="D3389">
        <v>4.4238770000000001</v>
      </c>
      <c r="E3389">
        <v>0.58018049999999999</v>
      </c>
      <c r="F3389" t="s">
        <v>43</v>
      </c>
      <c r="G3389">
        <v>-139.85730000000001</v>
      </c>
      <c r="H3389" s="1">
        <v>-1.166669E-6</v>
      </c>
      <c r="I3389">
        <v>135.36160000000001</v>
      </c>
      <c r="J3389">
        <v>-151.1842</v>
      </c>
      <c r="K3389">
        <v>1.1088519999999999</v>
      </c>
      <c r="L3389">
        <v>137.46469999999999</v>
      </c>
      <c r="M3389">
        <v>0.99945300000000004</v>
      </c>
      <c r="N3389">
        <v>0</v>
      </c>
      <c r="O3389">
        <v>-4.3194729999999999E-3</v>
      </c>
      <c r="P3389">
        <v>0.99035399999999996</v>
      </c>
      <c r="Q3389">
        <v>0.13383970000000001</v>
      </c>
      <c r="R3389">
        <v>3.5861820000000003E-2</v>
      </c>
      <c r="S3389">
        <v>3.0927120000000001</v>
      </c>
      <c r="T3389">
        <v>-0.29603950000000001</v>
      </c>
      <c r="U3389">
        <v>-0.56301880000000004</v>
      </c>
      <c r="V3389">
        <v>-3.8453800000000003E-2</v>
      </c>
      <c r="W3389">
        <v>0.16663120000000001</v>
      </c>
      <c r="X3389">
        <v>0.98526919999999996</v>
      </c>
      <c r="Y3389">
        <v>0.17409859999999999</v>
      </c>
      <c r="Z3389">
        <v>-7.8368329999999996E-3</v>
      </c>
      <c r="AA3389">
        <v>0.98469700000000004</v>
      </c>
      <c r="AB3389">
        <v>27</v>
      </c>
      <c r="AC3389">
        <v>11.326899999999901</v>
      </c>
      <c r="AD3389">
        <v>-1.108853166669</v>
      </c>
      <c r="AE3389">
        <v>-2.10309999999998</v>
      </c>
      <c r="AF3389">
        <v>2.0352727030473199</v>
      </c>
      <c r="AG3389">
        <v>-1.108853166669</v>
      </c>
      <c r="AH3389">
        <v>11.231829890318201</v>
      </c>
      <c r="AI3389">
        <v>95.548429017669605</v>
      </c>
      <c r="AJ3389">
        <v>79.729121388689705</v>
      </c>
      <c r="AK3389">
        <v>11.4684738743238</v>
      </c>
      <c r="AL3389">
        <v>80.407992915067197</v>
      </c>
      <c r="AM3389">
        <v>92.2350468060758</v>
      </c>
      <c r="AN3389">
        <v>1.0000000240082501</v>
      </c>
    </row>
    <row r="3390" spans="1:40" x14ac:dyDescent="0.3">
      <c r="A3390" t="str">
        <f>"20200111150927530"</f>
        <v>20200111150927530</v>
      </c>
      <c r="B3390" t="str">
        <f>"1578726567527644"</f>
        <v>1578726567527644</v>
      </c>
      <c r="C3390" t="s">
        <v>40</v>
      </c>
      <c r="D3390">
        <v>5.8351169999999897</v>
      </c>
      <c r="E3390">
        <v>0.57947059999999995</v>
      </c>
      <c r="F3390" t="s">
        <v>41</v>
      </c>
      <c r="G3390">
        <v>-150.3032</v>
      </c>
      <c r="H3390">
        <v>1.019277</v>
      </c>
      <c r="I3390">
        <v>137.30000000000001</v>
      </c>
      <c r="J3390">
        <v>-150.9194</v>
      </c>
      <c r="K3390">
        <v>1.1089789999999999</v>
      </c>
      <c r="L3390">
        <v>137.45750000000001</v>
      </c>
      <c r="M3390">
        <v>0.99939440000000002</v>
      </c>
      <c r="N3390">
        <v>0</v>
      </c>
      <c r="O3390">
        <v>-9.5772259999999994E-3</v>
      </c>
      <c r="P3390">
        <v>0.99059889999999995</v>
      </c>
      <c r="Q3390">
        <v>0.13326879999999999</v>
      </c>
      <c r="R3390">
        <v>3.0878099999999999E-2</v>
      </c>
      <c r="S3390">
        <v>3.092651</v>
      </c>
      <c r="T3390">
        <v>-0.31445009999999901</v>
      </c>
      <c r="U3390">
        <v>-0.57800289999999999</v>
      </c>
      <c r="V3390">
        <v>-3.8714930000000002E-2</v>
      </c>
      <c r="W3390">
        <v>0.166714</v>
      </c>
      <c r="X3390">
        <v>0.98524489999999998</v>
      </c>
      <c r="Y3390">
        <v>0.1734705</v>
      </c>
      <c r="Z3390">
        <v>-7.75802E-3</v>
      </c>
      <c r="AA3390">
        <v>0.98480849999999998</v>
      </c>
      <c r="AB3390">
        <v>27</v>
      </c>
      <c r="AC3390">
        <v>0.61619999999999198</v>
      </c>
      <c r="AD3390">
        <v>-8.9702000000000101E-2</v>
      </c>
      <c r="AE3390">
        <v>-0.157499999999998</v>
      </c>
      <c r="AF3390">
        <v>0.14863141477406899</v>
      </c>
      <c r="AG3390">
        <v>-8.9702000000000101E-2</v>
      </c>
      <c r="AH3390">
        <v>0.605633755905016</v>
      </c>
      <c r="AI3390">
        <v>98.185517583290306</v>
      </c>
      <c r="AJ3390">
        <v>76.211287417832295</v>
      </c>
      <c r="AK3390">
        <v>0.630023803164101</v>
      </c>
      <c r="AL3390">
        <v>80.403180887655097</v>
      </c>
      <c r="AM3390">
        <v>92.250264334382706</v>
      </c>
      <c r="AN3390">
        <v>0.999999958288456</v>
      </c>
    </row>
    <row r="3391" spans="1:40" x14ac:dyDescent="0.3">
      <c r="A3391" t="str">
        <f>"20200111150927553"</f>
        <v>20200111150927553</v>
      </c>
      <c r="B3391" t="str">
        <f>"1578726567548139"</f>
        <v>1578726567548139</v>
      </c>
      <c r="C3391" t="s">
        <v>40</v>
      </c>
      <c r="D3391">
        <v>5.7975649999999996</v>
      </c>
      <c r="E3391">
        <v>0.57966969999999995</v>
      </c>
      <c r="F3391" t="s">
        <v>43</v>
      </c>
      <c r="G3391">
        <v>-139.4332</v>
      </c>
      <c r="H3391" s="1">
        <v>-1.333278E-6</v>
      </c>
      <c r="I3391">
        <v>135.27789999999999</v>
      </c>
      <c r="J3391">
        <v>-150.64500000000001</v>
      </c>
      <c r="K3391">
        <v>1.109138</v>
      </c>
      <c r="L3391">
        <v>137.44839999999999</v>
      </c>
      <c r="M3391">
        <v>0.99930609999999997</v>
      </c>
      <c r="N3391">
        <v>0</v>
      </c>
      <c r="O3391">
        <v>-1.508846E-2</v>
      </c>
      <c r="P3391">
        <v>0.9906549</v>
      </c>
      <c r="Q3391">
        <v>0.13410339999999901</v>
      </c>
      <c r="R3391">
        <v>2.488276E-2</v>
      </c>
      <c r="S3391">
        <v>3.0868069999999999</v>
      </c>
      <c r="T3391">
        <v>-0.29802790000000001</v>
      </c>
      <c r="U3391">
        <v>-0.58573909999999996</v>
      </c>
      <c r="V3391">
        <v>-3.8217540000000001E-2</v>
      </c>
      <c r="W3391">
        <v>0.16812050000000001</v>
      </c>
      <c r="X3391">
        <v>0.98502529999999999</v>
      </c>
      <c r="Y3391">
        <v>0.17087639999999901</v>
      </c>
      <c r="Z3391">
        <v>-6.7166319999999897E-3</v>
      </c>
      <c r="AA3391">
        <v>0.98526959999999997</v>
      </c>
      <c r="AB3391">
        <v>26</v>
      </c>
      <c r="AC3391">
        <v>11.2118</v>
      </c>
      <c r="AD3391">
        <v>-1.109139333278</v>
      </c>
      <c r="AE3391">
        <v>-2.1705000000000001</v>
      </c>
      <c r="AF3391">
        <v>1.9822870438473801</v>
      </c>
      <c r="AG3391">
        <v>-1.109139333278</v>
      </c>
      <c r="AH3391">
        <v>11.138225500492601</v>
      </c>
      <c r="AI3391">
        <v>95.599327266587906</v>
      </c>
      <c r="AJ3391">
        <v>79.908641240526194</v>
      </c>
      <c r="AK3391">
        <v>11.3674851785544</v>
      </c>
      <c r="AL3391">
        <v>80.321440731354201</v>
      </c>
      <c r="AM3391">
        <v>92.221877952823107</v>
      </c>
      <c r="AN3391">
        <v>0.99999996226199495</v>
      </c>
    </row>
    <row r="3392" spans="1:40" x14ac:dyDescent="0.3">
      <c r="A3392" t="str">
        <f>"20200111150927576"</f>
        <v>20200111150927576</v>
      </c>
      <c r="B3392" t="str">
        <f>"1578726567567660"</f>
        <v>1578726567567660</v>
      </c>
      <c r="C3392" t="s">
        <v>40</v>
      </c>
      <c r="D3392">
        <v>5.7624079999999998</v>
      </c>
      <c r="E3392">
        <v>0.57936580000000004</v>
      </c>
      <c r="F3392" t="s">
        <v>43</v>
      </c>
      <c r="G3392">
        <v>-139.38759999999999</v>
      </c>
      <c r="H3392" s="1">
        <v>-1.3593390000000001E-6</v>
      </c>
      <c r="I3392">
        <v>135.23820000000001</v>
      </c>
      <c r="J3392">
        <v>-150.38460000000001</v>
      </c>
      <c r="K3392">
        <v>1.109291</v>
      </c>
      <c r="L3392">
        <v>137.4383</v>
      </c>
      <c r="M3392">
        <v>0.99919559999999996</v>
      </c>
      <c r="N3392">
        <v>0</v>
      </c>
      <c r="O3392">
        <v>-2.0365359999999999E-2</v>
      </c>
      <c r="P3392">
        <v>0.99063769999999995</v>
      </c>
      <c r="Q3392">
        <v>0.13498840000000001</v>
      </c>
      <c r="R3392">
        <v>2.0374030000000001E-2</v>
      </c>
      <c r="S3392">
        <v>3.0846559999999998</v>
      </c>
      <c r="T3392">
        <v>-0.30391750000000001</v>
      </c>
      <c r="U3392">
        <v>-0.60560609999999904</v>
      </c>
      <c r="V3392">
        <v>-3.8977709999999999E-2</v>
      </c>
      <c r="W3392">
        <v>0.16947690000000001</v>
      </c>
      <c r="X3392">
        <v>0.9847631</v>
      </c>
      <c r="Y3392">
        <v>0.17190920000000001</v>
      </c>
      <c r="Z3392">
        <v>-6.3859900000000002E-3</v>
      </c>
      <c r="AA3392">
        <v>0.98509210000000003</v>
      </c>
      <c r="AB3392">
        <v>26</v>
      </c>
      <c r="AC3392">
        <v>10.997</v>
      </c>
      <c r="AD3392">
        <v>-1.1092923593390001</v>
      </c>
      <c r="AE3392">
        <v>-2.2000999999999902</v>
      </c>
      <c r="AF3392">
        <v>1.95641076275843</v>
      </c>
      <c r="AG3392">
        <v>-1.1092923593390001</v>
      </c>
      <c r="AH3392">
        <v>10.932588829630999</v>
      </c>
      <c r="AI3392">
        <v>95.703780395717203</v>
      </c>
      <c r="AJ3392">
        <v>79.854187631543198</v>
      </c>
      <c r="AK3392">
        <v>11.161521900211399</v>
      </c>
      <c r="AL3392">
        <v>80.242593900574704</v>
      </c>
      <c r="AM3392">
        <v>92.266629543830504</v>
      </c>
      <c r="AN3392">
        <v>1.0000000223160299</v>
      </c>
    </row>
    <row r="3393" spans="1:40" x14ac:dyDescent="0.3">
      <c r="A3393" t="str">
        <f>"20200111150927597"</f>
        <v>20200111150927597</v>
      </c>
      <c r="B3393" t="str">
        <f>"1578726567588155"</f>
        <v>1578726567588155</v>
      </c>
      <c r="C3393" t="s">
        <v>40</v>
      </c>
      <c r="D3393">
        <v>5.7186120000000003</v>
      </c>
      <c r="E3393">
        <v>0.57924069999999905</v>
      </c>
      <c r="F3393" t="s">
        <v>43</v>
      </c>
      <c r="G3393">
        <v>-139.12100000000001</v>
      </c>
      <c r="H3393" s="1">
        <v>-1.4664519999999901E-6</v>
      </c>
      <c r="I3393">
        <v>135.17670000000001</v>
      </c>
      <c r="J3393">
        <v>-150.15799999999999</v>
      </c>
      <c r="K3393">
        <v>1.1094090000000001</v>
      </c>
      <c r="L3393">
        <v>137.42830000000001</v>
      </c>
      <c r="M3393">
        <v>0.99907860000000004</v>
      </c>
      <c r="N3393">
        <v>0</v>
      </c>
      <c r="O3393">
        <v>-2.496804E-2</v>
      </c>
      <c r="P3393">
        <v>0.99064890000000005</v>
      </c>
      <c r="Q3393">
        <v>0.13543939999999999</v>
      </c>
      <c r="R3393">
        <v>1.6457550000000001E-2</v>
      </c>
      <c r="S3393">
        <v>3.0824739999999999</v>
      </c>
      <c r="T3393">
        <v>-0.30357630000000002</v>
      </c>
      <c r="U3393">
        <v>-0.618927</v>
      </c>
      <c r="V3393">
        <v>-3.96624E-2</v>
      </c>
      <c r="W3393">
        <v>0.1702795</v>
      </c>
      <c r="X3393">
        <v>0.98459730000000001</v>
      </c>
      <c r="Y3393">
        <v>0.171623</v>
      </c>
      <c r="Z3393">
        <v>-5.9192489999999997E-3</v>
      </c>
      <c r="AA3393">
        <v>0.98514489999999999</v>
      </c>
      <c r="AB3393">
        <v>25</v>
      </c>
      <c r="AC3393">
        <v>11.0369999999999</v>
      </c>
      <c r="AD3393">
        <v>-1.1094104664519999</v>
      </c>
      <c r="AE3393">
        <v>-2.2515999999999901</v>
      </c>
      <c r="AF3393">
        <v>1.9561818345577799</v>
      </c>
      <c r="AG3393">
        <v>-1.1094104664519999</v>
      </c>
      <c r="AH3393">
        <v>10.9832690748906</v>
      </c>
      <c r="AI3393">
        <v>95.679060589859503</v>
      </c>
      <c r="AJ3393">
        <v>79.9011951191534</v>
      </c>
      <c r="AK3393">
        <v>11.211139037777301</v>
      </c>
      <c r="AL3393">
        <v>80.195930114186595</v>
      </c>
      <c r="AM3393">
        <v>92.306790933666207</v>
      </c>
      <c r="AN3393">
        <v>1.0000000286306401</v>
      </c>
    </row>
    <row r="3394" spans="1:40" x14ac:dyDescent="0.3">
      <c r="A3394" t="str">
        <f>"20200111150927619"</f>
        <v>20200111150927619</v>
      </c>
      <c r="B3394" t="str">
        <f>"1578726567607676"</f>
        <v>1578726567607676</v>
      </c>
      <c r="C3394" t="s">
        <v>40</v>
      </c>
      <c r="D3394">
        <v>5.7869919999999997</v>
      </c>
      <c r="E3394">
        <v>0.57907609999999998</v>
      </c>
      <c r="F3394" t="s">
        <v>43</v>
      </c>
      <c r="G3394">
        <v>-139.15690000000001</v>
      </c>
      <c r="H3394" s="1">
        <v>-1.454345E-6</v>
      </c>
      <c r="I3394">
        <v>135.17619999999999</v>
      </c>
      <c r="J3394">
        <v>-149.9179</v>
      </c>
      <c r="K3394">
        <v>1.1095269999999999</v>
      </c>
      <c r="L3394">
        <v>137.41650000000001</v>
      </c>
      <c r="M3394">
        <v>0.99893330000000002</v>
      </c>
      <c r="N3394">
        <v>0</v>
      </c>
      <c r="O3394">
        <v>-2.9837559999999999E-2</v>
      </c>
      <c r="P3394">
        <v>0.99067309999999997</v>
      </c>
      <c r="Q3394">
        <v>0.13562439999999901</v>
      </c>
      <c r="R3394">
        <v>1.3151329999999999E-2</v>
      </c>
      <c r="S3394">
        <v>3.0812840000000001</v>
      </c>
      <c r="T3394">
        <v>-0.31073210000000001</v>
      </c>
      <c r="U3394">
        <v>-0.63078310000000004</v>
      </c>
      <c r="V3394">
        <v>-4.122907E-2</v>
      </c>
      <c r="W3394">
        <v>0.17079349999999999</v>
      </c>
      <c r="X3394">
        <v>0.98444379999999998</v>
      </c>
      <c r="Y3394">
        <v>0.1705323</v>
      </c>
      <c r="Z3394">
        <v>-5.5194839999999998E-3</v>
      </c>
      <c r="AA3394">
        <v>0.98533660000000001</v>
      </c>
      <c r="AB3394">
        <v>25</v>
      </c>
      <c r="AC3394">
        <v>10.7609999999999</v>
      </c>
      <c r="AD3394">
        <v>-1.1095284543449999</v>
      </c>
      <c r="AE3394">
        <v>-2.2403000000000102</v>
      </c>
      <c r="AF3394">
        <v>1.8986735480977099</v>
      </c>
      <c r="AG3394">
        <v>-1.1095284543449999</v>
      </c>
      <c r="AH3394">
        <v>10.7139219257266</v>
      </c>
      <c r="AI3394">
        <v>95.822364386320501</v>
      </c>
      <c r="AJ3394">
        <v>79.950631502999002</v>
      </c>
      <c r="AK3394">
        <v>10.937282005316099</v>
      </c>
      <c r="AL3394">
        <v>80.166041244512002</v>
      </c>
      <c r="AM3394">
        <v>92.398178585678906</v>
      </c>
      <c r="AN3394">
        <v>0.99999992560687401</v>
      </c>
    </row>
    <row r="3395" spans="1:40" x14ac:dyDescent="0.3">
      <c r="A3395" t="str">
        <f>"20200111150927642"</f>
        <v>20200111150927642</v>
      </c>
      <c r="B3395" t="str">
        <f>"1578726567637931"</f>
        <v>1578726567637931</v>
      </c>
      <c r="C3395" t="s">
        <v>40</v>
      </c>
      <c r="D3395">
        <v>5.7164669999999997</v>
      </c>
      <c r="E3395">
        <v>0.57865649999999902</v>
      </c>
      <c r="F3395" t="s">
        <v>43</v>
      </c>
      <c r="G3395">
        <v>-138.79560000000001</v>
      </c>
      <c r="H3395" s="1">
        <v>-1.5957659999999999E-6</v>
      </c>
      <c r="I3395">
        <v>135.10679999999999</v>
      </c>
      <c r="J3395">
        <v>-149.6754</v>
      </c>
      <c r="K3395">
        <v>1.1096549999999901</v>
      </c>
      <c r="L3395">
        <v>137.4034</v>
      </c>
      <c r="M3395">
        <v>0.99876480000000001</v>
      </c>
      <c r="N3395">
        <v>0</v>
      </c>
      <c r="O3395">
        <v>-3.473847E-2</v>
      </c>
      <c r="P3395">
        <v>0.99072380000000004</v>
      </c>
      <c r="Q3395">
        <v>0.13555120000000001</v>
      </c>
      <c r="R3395">
        <v>9.6100720000000008E-3</v>
      </c>
      <c r="S3395">
        <v>3.0787810000000002</v>
      </c>
      <c r="T3395">
        <v>-0.30712879999999998</v>
      </c>
      <c r="U3395">
        <v>-0.63934329999999995</v>
      </c>
      <c r="V3395">
        <v>-4.2597740000000002E-2</v>
      </c>
      <c r="W3395">
        <v>0.17099739999999999</v>
      </c>
      <c r="X3395">
        <v>0.98435019999999995</v>
      </c>
      <c r="Y3395">
        <v>0.16853080000000001</v>
      </c>
      <c r="Z3395">
        <v>-4.8781659999999998E-3</v>
      </c>
      <c r="AA3395">
        <v>0.98568429999999996</v>
      </c>
      <c r="AB3395">
        <v>25</v>
      </c>
      <c r="AC3395">
        <v>10.8797999999999</v>
      </c>
      <c r="AD3395">
        <v>-1.1096565957659901</v>
      </c>
      <c r="AE3395">
        <v>-2.29660000000001</v>
      </c>
      <c r="AF3395">
        <v>1.89812292925153</v>
      </c>
      <c r="AG3395">
        <v>-1.1096565957659901</v>
      </c>
      <c r="AH3395">
        <v>10.8450531824646</v>
      </c>
      <c r="AI3395">
        <v>95.755240706528994</v>
      </c>
      <c r="AJ3395">
        <v>80.072531287032106</v>
      </c>
      <c r="AK3395">
        <v>11.065685109633399</v>
      </c>
      <c r="AL3395">
        <v>80.154184919682805</v>
      </c>
      <c r="AM3395">
        <v>92.477927937275595</v>
      </c>
      <c r="AN3395">
        <v>0.99999999724995303</v>
      </c>
    </row>
    <row r="3396" spans="1:40" x14ac:dyDescent="0.3">
      <c r="A3396" t="str">
        <f>"20200111150927665"</f>
        <v>20200111150927665</v>
      </c>
      <c r="B3396" t="str">
        <f>"1578726567658427"</f>
        <v>1578726567658427</v>
      </c>
      <c r="C3396" t="s">
        <v>40</v>
      </c>
      <c r="D3396">
        <v>5.7594310000000002</v>
      </c>
      <c r="E3396">
        <v>0.57863989999999998</v>
      </c>
      <c r="F3396" t="s">
        <v>41</v>
      </c>
      <c r="G3396">
        <v>-148.7662</v>
      </c>
      <c r="H3396">
        <v>1.018829</v>
      </c>
      <c r="I3396">
        <v>137.21209999999999</v>
      </c>
      <c r="J3396">
        <v>-149.43690000000001</v>
      </c>
      <c r="K3396">
        <v>1.1097939999999999</v>
      </c>
      <c r="L3396">
        <v>137.38910000000001</v>
      </c>
      <c r="M3396">
        <v>0.99857720000000005</v>
      </c>
      <c r="N3396">
        <v>0</v>
      </c>
      <c r="O3396">
        <v>-3.9551650000000001E-2</v>
      </c>
      <c r="P3396">
        <v>0.9907473</v>
      </c>
      <c r="Q3396">
        <v>0.1355577</v>
      </c>
      <c r="R3396">
        <v>6.6089039999999996E-3</v>
      </c>
      <c r="S3396">
        <v>3.076416</v>
      </c>
      <c r="T3396">
        <v>-0.307251</v>
      </c>
      <c r="U3396">
        <v>-0.6468353</v>
      </c>
      <c r="V3396">
        <v>-4.4421670000000003E-2</v>
      </c>
      <c r="W3396">
        <v>0.17123659999999999</v>
      </c>
      <c r="X3396">
        <v>0.98422799999999999</v>
      </c>
      <c r="Y3396">
        <v>0.16626350000000001</v>
      </c>
      <c r="Z3396">
        <v>-4.2973309999999997E-3</v>
      </c>
      <c r="AA3396">
        <v>0.98607199999999995</v>
      </c>
      <c r="AB3396">
        <v>24</v>
      </c>
      <c r="AC3396">
        <v>0.67070000000000995</v>
      </c>
      <c r="AD3396">
        <v>-9.0964999999999893E-2</v>
      </c>
      <c r="AE3396">
        <v>-0.17700000000002</v>
      </c>
      <c r="AF3396">
        <v>0.14777575177188401</v>
      </c>
      <c r="AG3396">
        <v>-9.0964999999999893E-2</v>
      </c>
      <c r="AH3396">
        <v>0.66573107832153999</v>
      </c>
      <c r="AI3396">
        <v>97.597971340733096</v>
      </c>
      <c r="AJ3396">
        <v>77.484683362457801</v>
      </c>
      <c r="AK3396">
        <v>0.68797541575255905</v>
      </c>
      <c r="AL3396">
        <v>80.140274698653201</v>
      </c>
      <c r="AM3396">
        <v>92.584206217211104</v>
      </c>
      <c r="AN3396">
        <v>1.00000000696457</v>
      </c>
    </row>
    <row r="3397" spans="1:40" x14ac:dyDescent="0.3">
      <c r="A3397" t="str">
        <f>"20200111150927686"</f>
        <v>20200111150927686</v>
      </c>
      <c r="B3397" t="str">
        <f>"1578726567677947"</f>
        <v>1578726567677947</v>
      </c>
      <c r="C3397" t="s">
        <v>40</v>
      </c>
      <c r="D3397">
        <v>5.7383709999999999</v>
      </c>
      <c r="E3397">
        <v>0.57860389999999995</v>
      </c>
      <c r="F3397" t="s">
        <v>41</v>
      </c>
      <c r="G3397">
        <v>-148.5591</v>
      </c>
      <c r="H3397">
        <v>1.022071</v>
      </c>
      <c r="I3397">
        <v>137.20150000000001</v>
      </c>
      <c r="J3397">
        <v>-149.21029999999999</v>
      </c>
      <c r="K3397">
        <v>1.109937</v>
      </c>
      <c r="L3397">
        <v>137.37450000000001</v>
      </c>
      <c r="M3397">
        <v>0.9983786</v>
      </c>
      <c r="N3397">
        <v>0</v>
      </c>
      <c r="O3397">
        <v>-4.4130919999999997E-2</v>
      </c>
      <c r="P3397">
        <v>0.99089470000000002</v>
      </c>
      <c r="Q3397">
        <v>0.13459090000000001</v>
      </c>
      <c r="R3397">
        <v>3.642045E-3</v>
      </c>
      <c r="S3397">
        <v>3.0744319999999998</v>
      </c>
      <c r="T3397">
        <v>-0.30720910000000001</v>
      </c>
      <c r="U3397">
        <v>-0.6565704</v>
      </c>
      <c r="V3397">
        <v>-4.6063E-2</v>
      </c>
      <c r="W3397">
        <v>0.1704581</v>
      </c>
      <c r="X3397">
        <v>0.98428769999999999</v>
      </c>
      <c r="Y3397">
        <v>0.1648857</v>
      </c>
      <c r="Z3397">
        <v>-3.779798E-3</v>
      </c>
      <c r="AA3397">
        <v>0.9863054</v>
      </c>
      <c r="AB3397">
        <v>23</v>
      </c>
      <c r="AC3397">
        <v>0.65119999999998801</v>
      </c>
      <c r="AD3397">
        <v>-8.7866000000000194E-2</v>
      </c>
      <c r="AE3397">
        <v>-0.17300000000000099</v>
      </c>
      <c r="AF3397">
        <v>0.14166546742592401</v>
      </c>
      <c r="AG3397">
        <v>-8.7866000000000194E-2</v>
      </c>
      <c r="AH3397">
        <v>0.64719826733470098</v>
      </c>
      <c r="AI3397">
        <v>97.554686698048897</v>
      </c>
      <c r="AJ3397">
        <v>77.653237680100801</v>
      </c>
      <c r="AK3397">
        <v>0.66832262856949998</v>
      </c>
      <c r="AL3397">
        <v>80.185545181027095</v>
      </c>
      <c r="AM3397">
        <v>92.6793907109911</v>
      </c>
      <c r="AN3397">
        <v>1.00000002009794</v>
      </c>
    </row>
    <row r="3398" spans="1:40" x14ac:dyDescent="0.3">
      <c r="A3398" t="str">
        <f>"20200111150927708"</f>
        <v>20200111150927708</v>
      </c>
      <c r="B3398" t="str">
        <f>"1578726567698443"</f>
        <v>1578726567698443</v>
      </c>
      <c r="C3398" t="s">
        <v>40</v>
      </c>
      <c r="D3398">
        <v>5.7917079999999999</v>
      </c>
      <c r="E3398">
        <v>0.57840530000000001</v>
      </c>
      <c r="F3398" t="s">
        <v>41</v>
      </c>
      <c r="G3398">
        <v>-148.3571</v>
      </c>
      <c r="H3398">
        <v>1.023412</v>
      </c>
      <c r="I3398">
        <v>137.18950000000001</v>
      </c>
      <c r="J3398">
        <v>-148.9948</v>
      </c>
      <c r="K3398">
        <v>1.1100840000000001</v>
      </c>
      <c r="L3398">
        <v>137.3595</v>
      </c>
      <c r="M3398">
        <v>0.99817060000000002</v>
      </c>
      <c r="N3398">
        <v>0</v>
      </c>
      <c r="O3398">
        <v>-4.8495209999999997E-2</v>
      </c>
      <c r="P3398">
        <v>0.99102619999999997</v>
      </c>
      <c r="Q3398">
        <v>0.1336685</v>
      </c>
      <c r="R3398" s="1">
        <v>-6.8962809999999997E-5</v>
      </c>
      <c r="S3398">
        <v>3.072327</v>
      </c>
      <c r="T3398">
        <v>-0.31147529999999901</v>
      </c>
      <c r="U3398">
        <v>-0.66560359999999996</v>
      </c>
      <c r="V3398">
        <v>-4.6748030000000003E-2</v>
      </c>
      <c r="W3398">
        <v>0.16968129999999901</v>
      </c>
      <c r="X3398">
        <v>0.98438959999999998</v>
      </c>
      <c r="Y3398">
        <v>0.16349530000000001</v>
      </c>
      <c r="Z3398">
        <v>-3.3288150000000002E-3</v>
      </c>
      <c r="AA3398">
        <v>0.98653849999999998</v>
      </c>
      <c r="AB3398">
        <v>23</v>
      </c>
      <c r="AC3398">
        <v>0.63769999999999505</v>
      </c>
      <c r="AD3398">
        <v>-8.6671999999999999E-2</v>
      </c>
      <c r="AE3398">
        <v>-0.16999999999998699</v>
      </c>
      <c r="AF3398">
        <v>0.13649995934881201</v>
      </c>
      <c r="AG3398">
        <v>-8.6671999999999999E-2</v>
      </c>
      <c r="AH3398">
        <v>0.63425933687136804</v>
      </c>
      <c r="AI3398">
        <v>97.6092055205158</v>
      </c>
      <c r="AJ3398">
        <v>77.854532842506501</v>
      </c>
      <c r="AK3398">
        <v>0.65454501823383804</v>
      </c>
      <c r="AL3398">
        <v>80.230710343409896</v>
      </c>
      <c r="AM3398">
        <v>92.718897084602702</v>
      </c>
      <c r="AN3398">
        <v>1.00000000323336</v>
      </c>
    </row>
    <row r="3399" spans="1:40" x14ac:dyDescent="0.3">
      <c r="A3399" t="str">
        <f>"20200111150927731"</f>
        <v>20200111150927731</v>
      </c>
      <c r="B3399" t="str">
        <f>"1578726567727724"</f>
        <v>1578726567727724</v>
      </c>
      <c r="C3399" t="s">
        <v>40</v>
      </c>
      <c r="D3399">
        <v>5.7624950000000004</v>
      </c>
      <c r="E3399">
        <v>0.57839669999999999</v>
      </c>
      <c r="F3399" t="s">
        <v>41</v>
      </c>
      <c r="G3399">
        <v>-148.1602</v>
      </c>
      <c r="H3399">
        <v>1.022991</v>
      </c>
      <c r="I3399">
        <v>137.17570000000001</v>
      </c>
      <c r="J3399">
        <v>-148.774</v>
      </c>
      <c r="K3399">
        <v>1.110239</v>
      </c>
      <c r="L3399">
        <v>137.3432</v>
      </c>
      <c r="M3399">
        <v>0.9979382</v>
      </c>
      <c r="N3399">
        <v>0</v>
      </c>
      <c r="O3399">
        <v>-5.297367E-2</v>
      </c>
      <c r="P3399">
        <v>0.99115180000000003</v>
      </c>
      <c r="Q3399">
        <v>0.1326601</v>
      </c>
      <c r="R3399">
        <v>-4.4259080000000001E-3</v>
      </c>
      <c r="S3399">
        <v>3.0703429999999998</v>
      </c>
      <c r="T3399">
        <v>-0.32036199999999998</v>
      </c>
      <c r="U3399">
        <v>-0.67587280000000005</v>
      </c>
      <c r="V3399">
        <v>-4.6905500000000003E-2</v>
      </c>
      <c r="W3399">
        <v>0.16879259999999999</v>
      </c>
      <c r="X3399">
        <v>0.98453489999999999</v>
      </c>
      <c r="Y3399">
        <v>0.1623463</v>
      </c>
      <c r="Z3399">
        <v>-2.9061080000000001E-3</v>
      </c>
      <c r="AA3399">
        <v>0.98672959999999998</v>
      </c>
      <c r="AB3399">
        <v>22</v>
      </c>
      <c r="AC3399">
        <v>0.61379999999999701</v>
      </c>
      <c r="AD3399">
        <v>-8.7247999999999895E-2</v>
      </c>
      <c r="AE3399">
        <v>-0.16749999999998899</v>
      </c>
      <c r="AF3399">
        <v>0.132241159743372</v>
      </c>
      <c r="AG3399">
        <v>-8.7247999999999895E-2</v>
      </c>
      <c r="AH3399">
        <v>0.61033880113470096</v>
      </c>
      <c r="AI3399">
        <v>97.953223511257704</v>
      </c>
      <c r="AJ3399">
        <v>77.774779932252898</v>
      </c>
      <c r="AK3399">
        <v>0.63056592835707204</v>
      </c>
      <c r="AL3399">
        <v>80.2823744872953</v>
      </c>
      <c r="AM3399">
        <v>92.727639831263502</v>
      </c>
      <c r="AN3399">
        <v>1.0000000185314999</v>
      </c>
    </row>
    <row r="3400" spans="1:40" x14ac:dyDescent="0.3">
      <c r="A3400" t="str">
        <f>"20200111150927753"</f>
        <v>20200111150927753</v>
      </c>
      <c r="B3400" t="str">
        <f>"1578726567748219"</f>
        <v>1578726567748219</v>
      </c>
      <c r="C3400" t="s">
        <v>40</v>
      </c>
      <c r="D3400">
        <v>5.6991199999999997</v>
      </c>
      <c r="E3400">
        <v>0.57807969999999997</v>
      </c>
      <c r="F3400" t="s">
        <v>41</v>
      </c>
      <c r="G3400">
        <v>-147.96700000000001</v>
      </c>
      <c r="H3400">
        <v>1.022767</v>
      </c>
      <c r="I3400">
        <v>137.16159999999999</v>
      </c>
      <c r="J3400">
        <v>-148.5582</v>
      </c>
      <c r="K3400">
        <v>1.110403</v>
      </c>
      <c r="L3400">
        <v>137.3262</v>
      </c>
      <c r="M3400">
        <v>0.99769189999999996</v>
      </c>
      <c r="N3400">
        <v>0</v>
      </c>
      <c r="O3400">
        <v>-5.7358350000000002E-2</v>
      </c>
      <c r="P3400">
        <v>0.99116519999999997</v>
      </c>
      <c r="Q3400">
        <v>0.13230710000000001</v>
      </c>
      <c r="R3400">
        <v>-9.304807E-3</v>
      </c>
      <c r="S3400">
        <v>3.0682070000000001</v>
      </c>
      <c r="T3400">
        <v>-0.33256289999999999</v>
      </c>
      <c r="U3400">
        <v>-0.69030760000000002</v>
      </c>
      <c r="V3400">
        <v>-4.6440500000000003E-2</v>
      </c>
      <c r="W3400">
        <v>0.16852800000000001</v>
      </c>
      <c r="X3400">
        <v>0.98460230000000004</v>
      </c>
      <c r="Y3400">
        <v>0.16255729999999999</v>
      </c>
      <c r="Z3400">
        <v>-2.5617090000000001E-3</v>
      </c>
      <c r="AA3400">
        <v>0.98669580000000001</v>
      </c>
      <c r="AB3400">
        <v>22</v>
      </c>
      <c r="AC3400">
        <v>0.59119999999998596</v>
      </c>
      <c r="AD3400">
        <v>-8.7636000000000006E-2</v>
      </c>
      <c r="AE3400">
        <v>-0.16460000000000699</v>
      </c>
      <c r="AF3400">
        <v>0.12779000796679299</v>
      </c>
      <c r="AG3400">
        <v>-8.7636000000000006E-2</v>
      </c>
      <c r="AH3400">
        <v>0.58768832650491898</v>
      </c>
      <c r="AI3400">
        <v>98.290493167759607</v>
      </c>
      <c r="AJ3400">
        <v>77.732277450048102</v>
      </c>
      <c r="AK3400">
        <v>0.60777292119862103</v>
      </c>
      <c r="AL3400">
        <v>80.297755580689</v>
      </c>
      <c r="AM3400">
        <v>92.700454875658195</v>
      </c>
      <c r="AN3400">
        <v>1.0000000479947599</v>
      </c>
    </row>
    <row r="3401" spans="1:40" x14ac:dyDescent="0.3">
      <c r="A3401" t="str">
        <f>"20200111150927776"</f>
        <v>20200111150927776</v>
      </c>
      <c r="B3401" t="str">
        <f>"1578726567767739"</f>
        <v>1578726567767739</v>
      </c>
      <c r="C3401" t="s">
        <v>40</v>
      </c>
      <c r="D3401">
        <v>5.7030159999999999</v>
      </c>
      <c r="E3401">
        <v>0.57793169999999905</v>
      </c>
      <c r="F3401" t="s">
        <v>41</v>
      </c>
      <c r="G3401">
        <v>-147.7766</v>
      </c>
      <c r="H3401">
        <v>1.023547</v>
      </c>
      <c r="I3401">
        <v>137.14689999999999</v>
      </c>
      <c r="J3401">
        <v>-148.34129999999999</v>
      </c>
      <c r="K3401">
        <v>1.110554</v>
      </c>
      <c r="L3401">
        <v>137.3082</v>
      </c>
      <c r="M3401">
        <v>0.99742560000000002</v>
      </c>
      <c r="N3401">
        <v>0</v>
      </c>
      <c r="O3401">
        <v>-6.1770220000000001E-2</v>
      </c>
      <c r="P3401">
        <v>0.99110779999999998</v>
      </c>
      <c r="Q3401">
        <v>0.13224729999999901</v>
      </c>
      <c r="R3401">
        <v>-1.4702109999999999E-2</v>
      </c>
      <c r="S3401">
        <v>3.065582</v>
      </c>
      <c r="T3401">
        <v>-0.34056370000000002</v>
      </c>
      <c r="U3401">
        <v>-0.70304869999999997</v>
      </c>
      <c r="V3401">
        <v>-4.547942E-2</v>
      </c>
      <c r="W3401">
        <v>0.16852800000000001</v>
      </c>
      <c r="X3401">
        <v>0.9846471</v>
      </c>
      <c r="Y3401">
        <v>0.162273</v>
      </c>
      <c r="Z3401">
        <v>-2.1281170000000001E-3</v>
      </c>
      <c r="AA3401">
        <v>0.98674360000000005</v>
      </c>
      <c r="AB3401">
        <v>22</v>
      </c>
      <c r="AC3401">
        <v>0.56469999999998699</v>
      </c>
      <c r="AD3401">
        <v>-8.7007000000000001E-2</v>
      </c>
      <c r="AE3401">
        <v>-0.16130000000001099</v>
      </c>
      <c r="AF3401">
        <v>0.123378754489145</v>
      </c>
      <c r="AG3401">
        <v>-8.7007000000000001E-2</v>
      </c>
      <c r="AH3401">
        <v>0.56127114679207801</v>
      </c>
      <c r="AI3401">
        <v>98.609363886978201</v>
      </c>
      <c r="AJ3401">
        <v>77.602406211122499</v>
      </c>
      <c r="AK3401">
        <v>0.58122098665618305</v>
      </c>
      <c r="AL3401">
        <v>80.297754992809999</v>
      </c>
      <c r="AM3401">
        <v>92.644529343063695</v>
      </c>
      <c r="AN3401">
        <v>0.99999998798297296</v>
      </c>
    </row>
    <row r="3402" spans="1:40" x14ac:dyDescent="0.3">
      <c r="A3402" t="str">
        <f>"20200111150927802"</f>
        <v>20200111150927802</v>
      </c>
      <c r="B3402" t="str">
        <f>"1578726567797995"</f>
        <v>1578726567797995</v>
      </c>
      <c r="C3402" t="s">
        <v>40</v>
      </c>
      <c r="D3402">
        <v>5.7564199999999897</v>
      </c>
      <c r="E3402">
        <v>0.57742249999999995</v>
      </c>
      <c r="F3402" t="s">
        <v>41</v>
      </c>
      <c r="G3402">
        <v>-147.58949999999999</v>
      </c>
      <c r="H3402">
        <v>1.024959</v>
      </c>
      <c r="I3402">
        <v>137.1318</v>
      </c>
      <c r="J3402">
        <v>-148.10509999999999</v>
      </c>
      <c r="K3402">
        <v>1.1107119999999999</v>
      </c>
      <c r="L3402">
        <v>137.28739999999999</v>
      </c>
      <c r="M3402">
        <v>0.9971139</v>
      </c>
      <c r="N3402">
        <v>0</v>
      </c>
      <c r="O3402">
        <v>-6.6583160000000002E-2</v>
      </c>
      <c r="P3402">
        <v>0.99105790000000005</v>
      </c>
      <c r="Q3402">
        <v>0.1318694</v>
      </c>
      <c r="R3402">
        <v>-2.0364859999999999E-2</v>
      </c>
      <c r="S3402">
        <v>3.0627749999999998</v>
      </c>
      <c r="T3402">
        <v>-0.34863810000000001</v>
      </c>
      <c r="U3402">
        <v>-0.71849059999999998</v>
      </c>
      <c r="V3402">
        <v>-4.4661810000000003E-2</v>
      </c>
      <c r="W3402">
        <v>0.16818729999999901</v>
      </c>
      <c r="X3402">
        <v>0.98474280000000003</v>
      </c>
      <c r="Y3402">
        <v>0.1624293</v>
      </c>
      <c r="Z3402">
        <v>-1.651605E-3</v>
      </c>
      <c r="AA3402">
        <v>0.98671880000000001</v>
      </c>
      <c r="AB3402">
        <v>21</v>
      </c>
      <c r="AC3402">
        <v>0.51560000000000605</v>
      </c>
      <c r="AD3402">
        <v>-8.5753000000000107E-2</v>
      </c>
      <c r="AE3402">
        <v>-0.15559999999999199</v>
      </c>
      <c r="AF3402">
        <v>0.11791176140550499</v>
      </c>
      <c r="AG3402">
        <v>-8.5753000000000107E-2</v>
      </c>
      <c r="AH3402">
        <v>0.51184504500169004</v>
      </c>
      <c r="AI3402">
        <v>99.272362398736803</v>
      </c>
      <c r="AJ3402">
        <v>77.027313424747007</v>
      </c>
      <c r="AK3402">
        <v>0.53220495166761705</v>
      </c>
      <c r="AL3402">
        <v>80.317558589591698</v>
      </c>
      <c r="AM3402">
        <v>92.596800743165204</v>
      </c>
      <c r="AN3402">
        <v>1.0000000136528</v>
      </c>
    </row>
    <row r="3403" spans="1:40" x14ac:dyDescent="0.3">
      <c r="A3403" t="str">
        <f>"20200111150927820"</f>
        <v>20200111150927820</v>
      </c>
      <c r="B3403" t="str">
        <f>"1578726567817515"</f>
        <v>1578726567817515</v>
      </c>
      <c r="C3403" t="s">
        <v>40</v>
      </c>
      <c r="D3403">
        <v>5.760942</v>
      </c>
      <c r="E3403">
        <v>0.57691429999999999</v>
      </c>
      <c r="F3403" t="s">
        <v>41</v>
      </c>
      <c r="G3403">
        <v>-147.23849999999999</v>
      </c>
      <c r="H3403">
        <v>1.0114350000000001</v>
      </c>
      <c r="I3403">
        <v>137.07980000000001</v>
      </c>
      <c r="J3403">
        <v>-147.9417</v>
      </c>
      <c r="K3403">
        <v>1.1108180000000001</v>
      </c>
      <c r="L3403">
        <v>137.2723</v>
      </c>
      <c r="M3403">
        <v>0.99688460000000001</v>
      </c>
      <c r="N3403">
        <v>0</v>
      </c>
      <c r="O3403">
        <v>-6.9920640000000006E-2</v>
      </c>
      <c r="P3403">
        <v>0.99098609999999998</v>
      </c>
      <c r="Q3403">
        <v>0.13183499999999901</v>
      </c>
      <c r="R3403">
        <v>-2.3796500000000002E-2</v>
      </c>
      <c r="S3403">
        <v>3.05864</v>
      </c>
      <c r="T3403">
        <v>-0.35027839999999999</v>
      </c>
      <c r="U3403">
        <v>-0.7323151</v>
      </c>
      <c r="V3403">
        <v>-4.4586859999999999E-2</v>
      </c>
      <c r="W3403">
        <v>0.1681647</v>
      </c>
      <c r="X3403">
        <v>0.98475000000000001</v>
      </c>
      <c r="Y3403">
        <v>0.16365209999999999</v>
      </c>
      <c r="Z3403">
        <v>-1.355965E-3</v>
      </c>
      <c r="AA3403">
        <v>0.98651719999999998</v>
      </c>
      <c r="AB3403">
        <v>20</v>
      </c>
      <c r="AC3403">
        <v>0.70320000000000904</v>
      </c>
      <c r="AD3403">
        <v>-9.9382999999999999E-2</v>
      </c>
      <c r="AE3403">
        <v>-0.19249999999999501</v>
      </c>
      <c r="AF3403">
        <v>0.14022171735959199</v>
      </c>
      <c r="AG3403">
        <v>-9.9382999999999999E-2</v>
      </c>
      <c r="AH3403">
        <v>0.70190288325526495</v>
      </c>
      <c r="AI3403">
        <v>97.904822398878494</v>
      </c>
      <c r="AJ3403">
        <v>78.702536875078096</v>
      </c>
      <c r="AK3403">
        <v>0.72263875361782703</v>
      </c>
      <c r="AL3403">
        <v>80.318871644214198</v>
      </c>
      <c r="AM3403">
        <v>92.592429897979599</v>
      </c>
      <c r="AN3403">
        <v>0.99999995845537304</v>
      </c>
    </row>
    <row r="3404" spans="1:40" x14ac:dyDescent="0.3">
      <c r="A3404" t="str">
        <f>"20200111150927842"</f>
        <v>20200111150927842</v>
      </c>
      <c r="B3404" t="str">
        <f>"1578726567838011"</f>
        <v>1578726567838011</v>
      </c>
      <c r="C3404" t="s">
        <v>40</v>
      </c>
      <c r="D3404">
        <v>5.7311110000000003</v>
      </c>
      <c r="E3404">
        <v>0.57621889999999998</v>
      </c>
      <c r="F3404" t="s">
        <v>41</v>
      </c>
      <c r="G3404">
        <v>-147.0652</v>
      </c>
      <c r="H3404">
        <v>1.0084139999999999</v>
      </c>
      <c r="I3404">
        <v>137.06010000000001</v>
      </c>
      <c r="J3404">
        <v>-147.74590000000001</v>
      </c>
      <c r="K3404">
        <v>1.1109469999999999</v>
      </c>
      <c r="L3404">
        <v>137.2535</v>
      </c>
      <c r="M3404">
        <v>0.99659509999999996</v>
      </c>
      <c r="N3404">
        <v>0</v>
      </c>
      <c r="O3404">
        <v>-7.3924290000000004E-2</v>
      </c>
      <c r="P3404">
        <v>0.99100129999999997</v>
      </c>
      <c r="Q3404">
        <v>0.1309411</v>
      </c>
      <c r="R3404">
        <v>-2.7759539999999999E-2</v>
      </c>
      <c r="S3404">
        <v>3.0570369999999998</v>
      </c>
      <c r="T3404">
        <v>-0.35708420000000002</v>
      </c>
      <c r="U3404">
        <v>-0.73986819999999998</v>
      </c>
      <c r="V3404">
        <v>-4.4665539999999997E-2</v>
      </c>
      <c r="W3404">
        <v>0.16727719999999999</v>
      </c>
      <c r="X3404">
        <v>0.98489760000000004</v>
      </c>
      <c r="Y3404">
        <v>0.1621233</v>
      </c>
      <c r="Z3404">
        <v>-8.3793229999999999E-4</v>
      </c>
      <c r="AA3404">
        <v>0.98677020000000004</v>
      </c>
      <c r="AB3404">
        <v>20</v>
      </c>
      <c r="AC3404">
        <v>0.68070000000000097</v>
      </c>
      <c r="AD3404">
        <v>-0.102533</v>
      </c>
      <c r="AE3404">
        <v>-0.19339999999999599</v>
      </c>
      <c r="AF3404">
        <v>0.13958577213890999</v>
      </c>
      <c r="AG3404">
        <v>-0.102533</v>
      </c>
      <c r="AH3404">
        <v>0.678888731263389</v>
      </c>
      <c r="AI3404">
        <v>98.415074554004093</v>
      </c>
      <c r="AJ3404">
        <v>78.381380650345804</v>
      </c>
      <c r="AK3404">
        <v>0.70063336582625702</v>
      </c>
      <c r="AL3404">
        <v>80.370452501184005</v>
      </c>
      <c r="AM3404">
        <v>92.596609697964894</v>
      </c>
      <c r="AN3404">
        <v>0.99999997729454504</v>
      </c>
    </row>
    <row r="3405" spans="1:40" x14ac:dyDescent="0.3">
      <c r="A3405" t="str">
        <f>"20200111150927865"</f>
        <v>20200111150927865</v>
      </c>
      <c r="B3405" t="str">
        <f>"1578726567857531"</f>
        <v>1578726567857531</v>
      </c>
      <c r="C3405" t="s">
        <v>40</v>
      </c>
      <c r="D3405">
        <v>4.6766449999999997</v>
      </c>
      <c r="E3405">
        <v>0.57584899999999895</v>
      </c>
      <c r="F3405" t="s">
        <v>41</v>
      </c>
      <c r="G3405">
        <v>-146.893</v>
      </c>
      <c r="H3405">
        <v>1.0100819999999999</v>
      </c>
      <c r="I3405">
        <v>137.04499999999999</v>
      </c>
      <c r="J3405">
        <v>-147.554</v>
      </c>
      <c r="K3405">
        <v>1.1110770000000001</v>
      </c>
      <c r="L3405">
        <v>137.23419999999999</v>
      </c>
      <c r="M3405">
        <v>0.99629509999999999</v>
      </c>
      <c r="N3405">
        <v>0</v>
      </c>
      <c r="O3405">
        <v>-7.7860620000000005E-2</v>
      </c>
      <c r="P3405">
        <v>0.99095860000000002</v>
      </c>
      <c r="Q3405">
        <v>0.13042000000000001</v>
      </c>
      <c r="R3405">
        <v>-3.14855E-2</v>
      </c>
      <c r="S3405">
        <v>3.0540470000000002</v>
      </c>
      <c r="T3405">
        <v>-0.36116890000000001</v>
      </c>
      <c r="U3405">
        <v>-0.74629209999999901</v>
      </c>
      <c r="V3405">
        <v>-4.4908629999999998E-2</v>
      </c>
      <c r="W3405">
        <v>0.1667525</v>
      </c>
      <c r="X3405">
        <v>0.9849755</v>
      </c>
      <c r="Y3405">
        <v>0.16042909999999999</v>
      </c>
      <c r="Z3405">
        <v>-2.953559E-4</v>
      </c>
      <c r="AA3405">
        <v>0.98704729999999996</v>
      </c>
      <c r="AB3405">
        <v>20</v>
      </c>
      <c r="AC3405">
        <v>0.66100000000000103</v>
      </c>
      <c r="AD3405">
        <v>-0.100995</v>
      </c>
      <c r="AE3405">
        <v>-0.18919999999999901</v>
      </c>
      <c r="AF3405">
        <v>0.134228350883807</v>
      </c>
      <c r="AG3405">
        <v>-0.100995</v>
      </c>
      <c r="AH3405">
        <v>0.65950146282657096</v>
      </c>
      <c r="AI3405">
        <v>98.534229884812305</v>
      </c>
      <c r="AJ3405">
        <v>78.495723588136897</v>
      </c>
      <c r="AK3405">
        <v>0.68055816773907896</v>
      </c>
      <c r="AL3405">
        <v>80.400943685348395</v>
      </c>
      <c r="AM3405">
        <v>92.610515926589699</v>
      </c>
      <c r="AN3405">
        <v>0.99999995845248701</v>
      </c>
    </row>
    <row r="3406" spans="1:40" x14ac:dyDescent="0.3">
      <c r="A3406" t="str">
        <f>"20200111150927887"</f>
        <v>20200111150927887</v>
      </c>
      <c r="B3406" t="str">
        <f>"1578726567878027"</f>
        <v>1578726567878027</v>
      </c>
      <c r="C3406" t="s">
        <v>40</v>
      </c>
      <c r="D3406">
        <v>5.8309989999999896</v>
      </c>
      <c r="E3406">
        <v>0.57593149999999904</v>
      </c>
      <c r="F3406" t="s">
        <v>41</v>
      </c>
      <c r="G3406">
        <v>-146.72399999999999</v>
      </c>
      <c r="H3406">
        <v>1.0127969999999999</v>
      </c>
      <c r="I3406">
        <v>137.02879999999999</v>
      </c>
      <c r="J3406">
        <v>-147.3689</v>
      </c>
      <c r="K3406">
        <v>1.1112010000000001</v>
      </c>
      <c r="L3406">
        <v>137.2148</v>
      </c>
      <c r="M3406">
        <v>0.9959903</v>
      </c>
      <c r="N3406">
        <v>0</v>
      </c>
      <c r="O3406">
        <v>-8.1667160000000003E-2</v>
      </c>
      <c r="P3406">
        <v>0.9909791</v>
      </c>
      <c r="Q3406">
        <v>0.1294939</v>
      </c>
      <c r="R3406">
        <v>-3.4522379999999998E-2</v>
      </c>
      <c r="S3406">
        <v>3.0509339999999998</v>
      </c>
      <c r="T3406">
        <v>-0.36110229999999999</v>
      </c>
      <c r="U3406">
        <v>-0.75407409999999997</v>
      </c>
      <c r="V3406">
        <v>-4.571716E-2</v>
      </c>
      <c r="W3406">
        <v>0.16582060000000001</v>
      </c>
      <c r="X3406">
        <v>0.98509570000000002</v>
      </c>
      <c r="Y3406">
        <v>0.15929579999999999</v>
      </c>
      <c r="Z3406">
        <v>2.0959599999999999E-4</v>
      </c>
      <c r="AA3406">
        <v>0.98723090000000002</v>
      </c>
      <c r="AB3406">
        <v>19</v>
      </c>
      <c r="AC3406">
        <v>0.64490000000000602</v>
      </c>
      <c r="AD3406">
        <v>-9.8404000000000102E-2</v>
      </c>
      <c r="AE3406">
        <v>-0.18600000000000699</v>
      </c>
      <c r="AF3406">
        <v>0.129883698696069</v>
      </c>
      <c r="AG3406">
        <v>-9.8404000000000102E-2</v>
      </c>
      <c r="AH3406">
        <v>0.64409824165284202</v>
      </c>
      <c r="AI3406">
        <v>98.517503026583896</v>
      </c>
      <c r="AJ3406">
        <v>78.599084359047893</v>
      </c>
      <c r="AK3406">
        <v>0.66439120050107103</v>
      </c>
      <c r="AL3406">
        <v>80.455092230225603</v>
      </c>
      <c r="AM3406">
        <v>92.657124792150199</v>
      </c>
      <c r="AN3406">
        <v>1.0000000341306501</v>
      </c>
    </row>
    <row r="3407" spans="1:40" x14ac:dyDescent="0.3">
      <c r="A3407" t="str">
        <f>"20200111150927910"</f>
        <v>20200111150927910</v>
      </c>
      <c r="B3407" t="str">
        <f>"1578726567897547"</f>
        <v>1578726567897547</v>
      </c>
      <c r="C3407" t="s">
        <v>40</v>
      </c>
      <c r="D3407">
        <v>5.9256379999999904</v>
      </c>
      <c r="E3407">
        <v>0.58407169999999997</v>
      </c>
      <c r="F3407" t="s">
        <v>41</v>
      </c>
      <c r="G3407">
        <v>-146.5599</v>
      </c>
      <c r="H3407">
        <v>1.0133299999999901</v>
      </c>
      <c r="I3407">
        <v>137.01179999999999</v>
      </c>
      <c r="J3407">
        <v>-147.18780000000001</v>
      </c>
      <c r="K3407">
        <v>1.1113230000000001</v>
      </c>
      <c r="L3407">
        <v>137.1951</v>
      </c>
      <c r="M3407">
        <v>0.99567749999999999</v>
      </c>
      <c r="N3407">
        <v>0</v>
      </c>
      <c r="O3407">
        <v>-8.5400599999999993E-2</v>
      </c>
      <c r="P3407">
        <v>0.99092020000000003</v>
      </c>
      <c r="Q3407">
        <v>0.12914039999999999</v>
      </c>
      <c r="R3407">
        <v>-3.7413179999999997E-2</v>
      </c>
      <c r="S3407">
        <v>3.0488590000000002</v>
      </c>
      <c r="T3407">
        <v>-0.36878440000000001</v>
      </c>
      <c r="U3407">
        <v>-0.76452640000000005</v>
      </c>
      <c r="V3407">
        <v>-4.6590020000000003E-2</v>
      </c>
      <c r="W3407">
        <v>0.1654505</v>
      </c>
      <c r="X3407">
        <v>0.98511700000000002</v>
      </c>
      <c r="Y3407">
        <v>0.15894430000000001</v>
      </c>
      <c r="Z3407">
        <v>6.7462589999999997E-4</v>
      </c>
      <c r="AA3407">
        <v>0.98728729999999998</v>
      </c>
      <c r="AB3407">
        <v>19</v>
      </c>
      <c r="AC3407">
        <v>0.627900000000011</v>
      </c>
      <c r="AD3407">
        <v>-9.7993000000000205E-2</v>
      </c>
      <c r="AE3407">
        <v>-0.18330000000000199</v>
      </c>
      <c r="AF3407">
        <v>0.12613962170499499</v>
      </c>
      <c r="AG3407">
        <v>-9.7993000000000205E-2</v>
      </c>
      <c r="AH3407">
        <v>0.62719101640035901</v>
      </c>
      <c r="AI3407">
        <v>98.708534520065697</v>
      </c>
      <c r="AJ3407">
        <v>78.628468609352197</v>
      </c>
      <c r="AK3407">
        <v>0.64721125088041798</v>
      </c>
      <c r="AL3407">
        <v>80.476594086095702</v>
      </c>
      <c r="AM3407">
        <v>92.707722985946901</v>
      </c>
      <c r="AN3407">
        <v>1.00000000080142</v>
      </c>
    </row>
    <row r="3408" spans="1:40" x14ac:dyDescent="0.3">
      <c r="A3408" t="str">
        <f>"20200111150927933"</f>
        <v>20200111150927933</v>
      </c>
      <c r="B3408" t="str">
        <f>"1578726567927807"</f>
        <v>1578726567927807</v>
      </c>
      <c r="C3408" t="s">
        <v>40</v>
      </c>
      <c r="D3408">
        <v>8.6533499999999997</v>
      </c>
      <c r="E3408">
        <v>0.57370589999999999</v>
      </c>
      <c r="F3408" t="s">
        <v>112</v>
      </c>
      <c r="G3408">
        <v>-65.162260000000003</v>
      </c>
      <c r="H3408">
        <v>34.006990000000002</v>
      </c>
      <c r="I3408">
        <v>116.21599999999999</v>
      </c>
      <c r="J3408">
        <v>-147.00360000000001</v>
      </c>
      <c r="K3408">
        <v>1.1114470000000001</v>
      </c>
      <c r="L3408">
        <v>137.17439999999999</v>
      </c>
      <c r="M3408">
        <v>0.99534480000000003</v>
      </c>
      <c r="N3408">
        <v>0</v>
      </c>
      <c r="O3408">
        <v>-8.9201219999999998E-2</v>
      </c>
      <c r="P3408">
        <v>0.99085330000000005</v>
      </c>
      <c r="Q3408">
        <v>0.128693</v>
      </c>
      <c r="R3408">
        <v>-4.0596069999999998E-2</v>
      </c>
      <c r="S3408">
        <v>2.8509519999999999</v>
      </c>
      <c r="T3408">
        <v>1.143351</v>
      </c>
      <c r="U3408">
        <v>-0.72917180000000004</v>
      </c>
      <c r="V3408">
        <v>-4.7241100000000001E-2</v>
      </c>
      <c r="W3408">
        <v>0.16497829999999999</v>
      </c>
      <c r="X3408">
        <v>0.98516519999999996</v>
      </c>
      <c r="Y3408">
        <v>0.15551180000000001</v>
      </c>
      <c r="Z3408">
        <v>-4.2521540000000002E-3</v>
      </c>
      <c r="AA3408">
        <v>0.98782490000000001</v>
      </c>
      <c r="AB3408">
        <v>18</v>
      </c>
      <c r="AC3408">
        <v>81.841340000000002</v>
      </c>
      <c r="AD3408">
        <v>32.895542999999897</v>
      </c>
      <c r="AE3408">
        <v>-20.958399999999902</v>
      </c>
      <c r="AF3408">
        <v>11.7830391383789</v>
      </c>
      <c r="AG3408">
        <v>32.895542999999897</v>
      </c>
      <c r="AH3408">
        <v>72.407361095349501</v>
      </c>
      <c r="AI3408">
        <v>65.847891260828305</v>
      </c>
      <c r="AJ3408">
        <v>80.757129321444793</v>
      </c>
      <c r="AK3408">
        <v>80.397653581393499</v>
      </c>
      <c r="AL3408">
        <v>80.5040262806002</v>
      </c>
      <c r="AM3408">
        <v>92.745370892853799</v>
      </c>
      <c r="AN3408">
        <v>1.00000001614556</v>
      </c>
    </row>
    <row r="3409" spans="1:40" x14ac:dyDescent="0.3">
      <c r="A3409" t="str">
        <f>"20200111150927955"</f>
        <v>20200111150927955</v>
      </c>
      <c r="B3409" t="str">
        <f>"1578726567948299"</f>
        <v>1578726567948299</v>
      </c>
      <c r="C3409" t="s">
        <v>40</v>
      </c>
      <c r="D3409">
        <v>5.792999</v>
      </c>
      <c r="E3409">
        <v>0.57146949999999996</v>
      </c>
      <c r="F3409" t="s">
        <v>41</v>
      </c>
      <c r="G3409">
        <v>-146.2492</v>
      </c>
      <c r="H3409">
        <v>1.0011209999999999</v>
      </c>
      <c r="I3409">
        <v>136.98390000000001</v>
      </c>
      <c r="J3409">
        <v>-146.83099999999999</v>
      </c>
      <c r="K3409">
        <v>1.1115619999999999</v>
      </c>
      <c r="L3409">
        <v>137.15440000000001</v>
      </c>
      <c r="M3409">
        <v>0.99502069999999998</v>
      </c>
      <c r="N3409">
        <v>0</v>
      </c>
      <c r="O3409">
        <v>-9.2758389999999996E-2</v>
      </c>
      <c r="P3409">
        <v>0.99082820000000005</v>
      </c>
      <c r="Q3409">
        <v>0.12780369999999999</v>
      </c>
      <c r="R3409">
        <v>-4.3884810000000003E-2</v>
      </c>
      <c r="S3409">
        <v>3.0541079999999998</v>
      </c>
      <c r="T3409">
        <v>-0.44656220000000002</v>
      </c>
      <c r="U3409">
        <v>-0.77082819999999996</v>
      </c>
      <c r="V3409">
        <v>-4.754821E-2</v>
      </c>
      <c r="W3409">
        <v>0.16405739999999999</v>
      </c>
      <c r="X3409">
        <v>0.98530419999999996</v>
      </c>
      <c r="Y3409">
        <v>0.15306139999999999</v>
      </c>
      <c r="Z3409">
        <v>2.2808030000000001E-3</v>
      </c>
      <c r="AA3409">
        <v>0.98821409999999998</v>
      </c>
      <c r="AB3409">
        <v>18</v>
      </c>
      <c r="AC3409">
        <v>0.58180000000001497</v>
      </c>
      <c r="AD3409">
        <v>-0.110441</v>
      </c>
      <c r="AE3409">
        <v>-0.17050000000000401</v>
      </c>
      <c r="AF3409">
        <v>0.112043131039615</v>
      </c>
      <c r="AG3409">
        <v>-0.110441</v>
      </c>
      <c r="AH3409">
        <v>0.57600006747310795</v>
      </c>
      <c r="AI3409">
        <v>100.65895745376901</v>
      </c>
      <c r="AJ3409">
        <v>78.992326442121396</v>
      </c>
      <c r="AK3409">
        <v>0.59709878196424504</v>
      </c>
      <c r="AL3409">
        <v>80.557518835003407</v>
      </c>
      <c r="AM3409">
        <v>92.762801514472997</v>
      </c>
      <c r="AN3409">
        <v>1.0000000146532999</v>
      </c>
    </row>
    <row r="3410" spans="1:40" x14ac:dyDescent="0.3">
      <c r="A3410" t="str">
        <f>"20200111150927977"</f>
        <v>20200111150927977</v>
      </c>
      <c r="B3410" t="str">
        <f>"1578726567967819"</f>
        <v>1578726567967819</v>
      </c>
      <c r="C3410" t="s">
        <v>40</v>
      </c>
      <c r="D3410">
        <v>5.7591869999999998</v>
      </c>
      <c r="E3410">
        <v>0.5704167</v>
      </c>
      <c r="F3410" t="s">
        <v>41</v>
      </c>
      <c r="G3410">
        <v>-146.0977</v>
      </c>
      <c r="H3410">
        <v>0.9981449</v>
      </c>
      <c r="I3410">
        <v>136.97059999999999</v>
      </c>
      <c r="J3410">
        <v>-146.66829999999999</v>
      </c>
      <c r="K3410">
        <v>1.1116680000000001</v>
      </c>
      <c r="L3410">
        <v>137.13480000000001</v>
      </c>
      <c r="M3410">
        <v>0.99470349999999996</v>
      </c>
      <c r="N3410">
        <v>0</v>
      </c>
      <c r="O3410">
        <v>-9.6113069999999995E-2</v>
      </c>
      <c r="P3410">
        <v>0.99076379999999997</v>
      </c>
      <c r="Q3410">
        <v>0.12707779999999999</v>
      </c>
      <c r="R3410">
        <v>-4.7312239999999998E-2</v>
      </c>
      <c r="S3410">
        <v>3.0548099999999998</v>
      </c>
      <c r="T3410">
        <v>-0.47230800000000001</v>
      </c>
      <c r="U3410">
        <v>-0.76477050000000002</v>
      </c>
      <c r="V3410">
        <v>-4.7512070000000003E-2</v>
      </c>
      <c r="W3410">
        <v>0.163287299999999</v>
      </c>
      <c r="X3410">
        <v>0.98543380000000003</v>
      </c>
      <c r="Y3410">
        <v>0.14785429999999999</v>
      </c>
      <c r="Z3410">
        <v>3.3089859999999999E-3</v>
      </c>
      <c r="AA3410">
        <v>0.98900359999999998</v>
      </c>
      <c r="AB3410">
        <v>17</v>
      </c>
      <c r="AC3410">
        <v>0.57059999999998401</v>
      </c>
      <c r="AD3410">
        <v>-0.1135231</v>
      </c>
      <c r="AE3410">
        <v>-0.164200000000022</v>
      </c>
      <c r="AF3410">
        <v>0.10473174194292301</v>
      </c>
      <c r="AG3410">
        <v>-0.1135231</v>
      </c>
      <c r="AH3410">
        <v>0.56316048233932403</v>
      </c>
      <c r="AI3410">
        <v>101.209858319899</v>
      </c>
      <c r="AJ3410">
        <v>79.464976065201597</v>
      </c>
      <c r="AK3410">
        <v>0.58395715670986403</v>
      </c>
      <c r="AL3410">
        <v>80.602244914966803</v>
      </c>
      <c r="AM3410">
        <v>92.760342325564395</v>
      </c>
      <c r="AN3410">
        <v>0.99999995665970598</v>
      </c>
    </row>
    <row r="3411" spans="1:40" x14ac:dyDescent="0.3">
      <c r="A3411" t="str">
        <f>"20200111150927999"</f>
        <v>20200111150927999</v>
      </c>
      <c r="B3411" t="str">
        <f>"1578726567988316"</f>
        <v>1578726567988316</v>
      </c>
      <c r="C3411" t="s">
        <v>40</v>
      </c>
      <c r="D3411">
        <v>5.7442549999999999</v>
      </c>
      <c r="E3411">
        <v>0.57037550000000004</v>
      </c>
      <c r="F3411" t="s">
        <v>41</v>
      </c>
      <c r="G3411">
        <v>-145.9468</v>
      </c>
      <c r="H3411">
        <v>1.0014590000000001</v>
      </c>
      <c r="I3411">
        <v>136.95359999999999</v>
      </c>
      <c r="J3411">
        <v>-146.5059</v>
      </c>
      <c r="K3411">
        <v>1.111772</v>
      </c>
      <c r="L3411">
        <v>137.1148</v>
      </c>
      <c r="M3411">
        <v>0.9943748</v>
      </c>
      <c r="N3411">
        <v>0</v>
      </c>
      <c r="O3411">
        <v>-9.9474629999999994E-2</v>
      </c>
      <c r="P3411">
        <v>0.99073239999999996</v>
      </c>
      <c r="Q3411">
        <v>0.12607560000000001</v>
      </c>
      <c r="R3411">
        <v>-5.0540349999999998E-2</v>
      </c>
      <c r="S3411">
        <v>3.051132</v>
      </c>
      <c r="T3411">
        <v>-0.46608070000000001</v>
      </c>
      <c r="U3411">
        <v>-0.76638790000000001</v>
      </c>
      <c r="V3411">
        <v>-4.7690110000000001E-2</v>
      </c>
      <c r="W3411">
        <v>0.16223299999999999</v>
      </c>
      <c r="X3411">
        <v>0.98559929999999996</v>
      </c>
      <c r="Y3411">
        <v>0.14536270000000001</v>
      </c>
      <c r="Z3411">
        <v>3.9539739999999999E-3</v>
      </c>
      <c r="AA3411">
        <v>0.98937050000000004</v>
      </c>
      <c r="AB3411">
        <v>17</v>
      </c>
      <c r="AC3411">
        <v>0.55910000000000004</v>
      </c>
      <c r="AD3411">
        <v>-0.110312999999999</v>
      </c>
      <c r="AE3411">
        <v>-0.161200000000008</v>
      </c>
      <c r="AF3411">
        <v>0.101112185789618</v>
      </c>
      <c r="AG3411">
        <v>-0.110312999999999</v>
      </c>
      <c r="AH3411">
        <v>0.55251117240738201</v>
      </c>
      <c r="AI3411">
        <v>101.111236066358</v>
      </c>
      <c r="AJ3411">
        <v>79.629355796169605</v>
      </c>
      <c r="AK3411">
        <v>0.57241700509255899</v>
      </c>
      <c r="AL3411">
        <v>80.663468043660004</v>
      </c>
      <c r="AM3411">
        <v>92.770205432549005</v>
      </c>
      <c r="AN3411">
        <v>0.999999936520649</v>
      </c>
    </row>
    <row r="3412" spans="1:40" x14ac:dyDescent="0.3">
      <c r="A3412" t="str">
        <f>"20200111150928021"</f>
        <v>20200111150928021</v>
      </c>
      <c r="B3412" t="str">
        <f>"1578726568018572"</f>
        <v>1578726568018572</v>
      </c>
      <c r="C3412" t="s">
        <v>40</v>
      </c>
      <c r="D3412">
        <v>5.816433</v>
      </c>
      <c r="E3412">
        <v>0.57060469999999996</v>
      </c>
      <c r="F3412" t="s">
        <v>41</v>
      </c>
      <c r="G3412">
        <v>-145.7961</v>
      </c>
      <c r="H3412">
        <v>1.0117750000000001</v>
      </c>
      <c r="I3412">
        <v>136.93430000000001</v>
      </c>
      <c r="J3412">
        <v>-146.34880000000001</v>
      </c>
      <c r="K3412">
        <v>1.1118749999999999</v>
      </c>
      <c r="L3412">
        <v>137.09479999999999</v>
      </c>
      <c r="M3412">
        <v>0.99404420000000004</v>
      </c>
      <c r="N3412">
        <v>0</v>
      </c>
      <c r="O3412">
        <v>-0.10274369999999999</v>
      </c>
      <c r="P3412">
        <v>0.99072260000000001</v>
      </c>
      <c r="Q3412">
        <v>0.12472179999999999</v>
      </c>
      <c r="R3412">
        <v>-5.397424E-2</v>
      </c>
      <c r="S3412">
        <v>3.0431819999999998</v>
      </c>
      <c r="T3412">
        <v>-0.42870370000000002</v>
      </c>
      <c r="U3412">
        <v>-0.77339169999999902</v>
      </c>
      <c r="V3412">
        <v>-4.7575760000000002E-2</v>
      </c>
      <c r="W3412">
        <v>0.1608231</v>
      </c>
      <c r="X3412">
        <v>0.98583589999999999</v>
      </c>
      <c r="Y3412">
        <v>0.14496899999999999</v>
      </c>
      <c r="Z3412">
        <v>4.1216719999999998E-3</v>
      </c>
      <c r="AA3412">
        <v>0.98942759999999996</v>
      </c>
      <c r="AB3412">
        <v>17</v>
      </c>
      <c r="AC3412">
        <v>0.55270000000001496</v>
      </c>
      <c r="AD3412">
        <v>-0.100099999999999</v>
      </c>
      <c r="AE3412">
        <v>-0.16049999999998399</v>
      </c>
      <c r="AF3412">
        <v>9.9806366197150498E-2</v>
      </c>
      <c r="AG3412">
        <v>-0.100099999999999</v>
      </c>
      <c r="AH3412">
        <v>0.54964551653602001</v>
      </c>
      <c r="AI3412">
        <v>100.158859688288</v>
      </c>
      <c r="AJ3412">
        <v>79.708189285010306</v>
      </c>
      <c r="AK3412">
        <v>0.56753106926548802</v>
      </c>
      <c r="AL3412">
        <v>80.7453246343252</v>
      </c>
      <c r="AM3412">
        <v>92.762911193728399</v>
      </c>
      <c r="AN3412">
        <v>0.999999972080998</v>
      </c>
    </row>
    <row r="3413" spans="1:40" x14ac:dyDescent="0.3">
      <c r="A3413" t="str">
        <f>"20200111150928044"</f>
        <v>20200111150928044</v>
      </c>
      <c r="B3413" t="str">
        <f>"1578726568038091"</f>
        <v>1578726568038091</v>
      </c>
      <c r="C3413" t="s">
        <v>40</v>
      </c>
      <c r="D3413">
        <v>5.9118320000000004</v>
      </c>
      <c r="E3413">
        <v>0.56981319999999902</v>
      </c>
      <c r="F3413" t="s">
        <v>41</v>
      </c>
      <c r="G3413">
        <v>-145.53059999999999</v>
      </c>
      <c r="H3413">
        <v>0.98659350000000001</v>
      </c>
      <c r="I3413">
        <v>136.8827</v>
      </c>
      <c r="J3413">
        <v>-146.19149999999999</v>
      </c>
      <c r="K3413">
        <v>1.1119779999999999</v>
      </c>
      <c r="L3413">
        <v>137.07429999999999</v>
      </c>
      <c r="M3413">
        <v>0.9937009</v>
      </c>
      <c r="N3413">
        <v>0</v>
      </c>
      <c r="O3413">
        <v>-0.1060299</v>
      </c>
      <c r="P3413">
        <v>0.99061290000000002</v>
      </c>
      <c r="Q3413">
        <v>0.1241</v>
      </c>
      <c r="R3413">
        <v>-5.7315669999999999E-2</v>
      </c>
      <c r="S3413">
        <v>3.043793</v>
      </c>
      <c r="T3413">
        <v>-0.46590179999999998</v>
      </c>
      <c r="U3413">
        <v>-0.78860469999999905</v>
      </c>
      <c r="V3413">
        <v>-4.7559009999999999E-2</v>
      </c>
      <c r="W3413">
        <v>0.16014120000000001</v>
      </c>
      <c r="X3413">
        <v>0.98594769999999998</v>
      </c>
      <c r="Y3413">
        <v>0.14624239999999999</v>
      </c>
      <c r="Z3413">
        <v>4.8628630000000003E-3</v>
      </c>
      <c r="AA3413">
        <v>0.98923680000000003</v>
      </c>
      <c r="AB3413">
        <v>16</v>
      </c>
      <c r="AC3413">
        <v>0.66089999999999705</v>
      </c>
      <c r="AD3413">
        <v>-0.12538450000000001</v>
      </c>
      <c r="AE3413">
        <v>-0.191599999999994</v>
      </c>
      <c r="AF3413">
        <v>0.11652818498890501</v>
      </c>
      <c r="AG3413">
        <v>-0.12538450000000001</v>
      </c>
      <c r="AH3413">
        <v>0.65572661744782301</v>
      </c>
      <c r="AI3413">
        <v>100.66199037339</v>
      </c>
      <c r="AJ3413">
        <v>79.923250504903706</v>
      </c>
      <c r="AK3413">
        <v>0.67770014576257998</v>
      </c>
      <c r="AL3413">
        <v>80.784907610826494</v>
      </c>
      <c r="AM3413">
        <v>92.761627260927497</v>
      </c>
      <c r="AN3413">
        <v>0.99999996525245405</v>
      </c>
    </row>
    <row r="3414" spans="1:40" x14ac:dyDescent="0.3">
      <c r="A3414" t="str">
        <f>"20200111150928066"</f>
        <v>20200111150928066</v>
      </c>
      <c r="B3414" t="str">
        <f>"1578726568058587"</f>
        <v>1578726568058587</v>
      </c>
      <c r="C3414" t="s">
        <v>40</v>
      </c>
      <c r="D3414">
        <v>5.8743600000000002</v>
      </c>
      <c r="E3414">
        <v>0.56975810000000005</v>
      </c>
      <c r="F3414" t="s">
        <v>41</v>
      </c>
      <c r="G3414">
        <v>-145.39570000000001</v>
      </c>
      <c r="H3414">
        <v>0.98711199999999999</v>
      </c>
      <c r="I3414">
        <v>136.86680000000001</v>
      </c>
      <c r="J3414">
        <v>-146.04310000000001</v>
      </c>
      <c r="K3414">
        <v>1.112074</v>
      </c>
      <c r="L3414">
        <v>137.05449999999999</v>
      </c>
      <c r="M3414">
        <v>0.99336760000000002</v>
      </c>
      <c r="N3414">
        <v>0</v>
      </c>
      <c r="O3414">
        <v>-0.1091261</v>
      </c>
      <c r="P3414">
        <v>0.99040289999999997</v>
      </c>
      <c r="Q3414">
        <v>0.1242098</v>
      </c>
      <c r="R3414">
        <v>-6.061544E-2</v>
      </c>
      <c r="S3414">
        <v>3.042313</v>
      </c>
      <c r="T3414">
        <v>-0.47735670000000002</v>
      </c>
      <c r="U3414">
        <v>-0.79316709999999901</v>
      </c>
      <c r="V3414">
        <v>-4.7378570000000002E-2</v>
      </c>
      <c r="W3414">
        <v>0.16018779999999999</v>
      </c>
      <c r="X3414">
        <v>0.98594890000000002</v>
      </c>
      <c r="Y3414">
        <v>0.14469699999999999</v>
      </c>
      <c r="Z3414">
        <v>5.5707159999999999E-3</v>
      </c>
      <c r="AA3414">
        <v>0.98946029999999996</v>
      </c>
      <c r="AB3414">
        <v>15</v>
      </c>
      <c r="AC3414">
        <v>0.64740000000000397</v>
      </c>
      <c r="AD3414">
        <v>-0.124961999999999</v>
      </c>
      <c r="AE3414">
        <v>-0.187699999999978</v>
      </c>
      <c r="AF3414">
        <v>0.112032557730408</v>
      </c>
      <c r="AG3414">
        <v>-0.124961999999999</v>
      </c>
      <c r="AH3414">
        <v>0.64196187713214004</v>
      </c>
      <c r="AI3414">
        <v>100.85516563556401</v>
      </c>
      <c r="AJ3414">
        <v>80.100669131786503</v>
      </c>
      <c r="AK3414">
        <v>0.66353737432539395</v>
      </c>
      <c r="AL3414">
        <v>80.782203466148303</v>
      </c>
      <c r="AM3414">
        <v>92.751162367191299</v>
      </c>
      <c r="AN3414">
        <v>1.00000004678764</v>
      </c>
    </row>
    <row r="3415" spans="1:40" x14ac:dyDescent="0.3">
      <c r="A3415" t="str">
        <f>"20200111150928090"</f>
        <v>20200111150928090</v>
      </c>
      <c r="B3415" t="str">
        <f>"1578726568087867"</f>
        <v>1578726568087867</v>
      </c>
      <c r="C3415" t="s">
        <v>40</v>
      </c>
      <c r="D3415">
        <v>5.5314699999999997</v>
      </c>
      <c r="E3415">
        <v>0.568554</v>
      </c>
      <c r="F3415" t="s">
        <v>41</v>
      </c>
      <c r="G3415">
        <v>-145.2646</v>
      </c>
      <c r="H3415">
        <v>0.98765340000000001</v>
      </c>
      <c r="I3415">
        <v>136.84880000000001</v>
      </c>
      <c r="J3415">
        <v>-145.8877</v>
      </c>
      <c r="K3415">
        <v>1.1122749999999999</v>
      </c>
      <c r="L3415">
        <v>137.03319999999999</v>
      </c>
      <c r="M3415">
        <v>0.99300759999999999</v>
      </c>
      <c r="N3415">
        <v>0</v>
      </c>
      <c r="O3415">
        <v>-0.1122956</v>
      </c>
      <c r="P3415">
        <v>0.99025099999999999</v>
      </c>
      <c r="Q3415">
        <v>0.1242164</v>
      </c>
      <c r="R3415">
        <v>-6.3035209999999994E-2</v>
      </c>
      <c r="S3415">
        <v>3.040848</v>
      </c>
      <c r="T3415">
        <v>-0.48572460000000001</v>
      </c>
      <c r="U3415">
        <v>-0.80291749999999995</v>
      </c>
      <c r="V3415">
        <v>-4.8168389999999998E-2</v>
      </c>
      <c r="W3415">
        <v>0.1603657</v>
      </c>
      <c r="X3415">
        <v>0.98588169999999997</v>
      </c>
      <c r="Y3415">
        <v>0.14464689999999999</v>
      </c>
      <c r="Z3415">
        <v>6.160179E-3</v>
      </c>
      <c r="AA3415">
        <v>0.98946420000000002</v>
      </c>
      <c r="AB3415">
        <v>15</v>
      </c>
      <c r="AC3415">
        <v>0.62309999999999299</v>
      </c>
      <c r="AD3415">
        <v>-0.124621599999999</v>
      </c>
      <c r="AE3415">
        <v>-0.18439999999998199</v>
      </c>
      <c r="AF3415">
        <v>0.109197992124062</v>
      </c>
      <c r="AG3415">
        <v>-0.124621599999999</v>
      </c>
      <c r="AH3415">
        <v>0.61717499838288803</v>
      </c>
      <c r="AI3415">
        <v>101.245700975823</v>
      </c>
      <c r="AJ3415">
        <v>79.966385031575399</v>
      </c>
      <c r="AK3415">
        <v>0.63903029920294496</v>
      </c>
      <c r="AL3415">
        <v>80.771876975892297</v>
      </c>
      <c r="AM3415">
        <v>92.797143474169204</v>
      </c>
      <c r="AN3415">
        <v>1.0000000389632799</v>
      </c>
    </row>
    <row r="3416" spans="1:40" x14ac:dyDescent="0.3">
      <c r="A3416" t="str">
        <f>"20200111150928112"</f>
        <v>20200111150928112</v>
      </c>
      <c r="B3416" t="str">
        <f>"1578726568108364"</f>
        <v>1578726568108364</v>
      </c>
      <c r="C3416" t="s">
        <v>40</v>
      </c>
      <c r="D3416">
        <v>6.3766550000000004</v>
      </c>
      <c r="E3416">
        <v>0.55438390000000004</v>
      </c>
      <c r="F3416" t="s">
        <v>41</v>
      </c>
      <c r="G3416">
        <v>-145.1369</v>
      </c>
      <c r="H3416">
        <v>0.99095869999999997</v>
      </c>
      <c r="I3416">
        <v>136.83529999999999</v>
      </c>
      <c r="J3416">
        <v>-145.75460000000001</v>
      </c>
      <c r="K3416">
        <v>1.112603</v>
      </c>
      <c r="L3416">
        <v>137.0147</v>
      </c>
      <c r="M3416">
        <v>0.99268869999999998</v>
      </c>
      <c r="N3416">
        <v>0</v>
      </c>
      <c r="O3416">
        <v>-0.11488520000000001</v>
      </c>
      <c r="P3416">
        <v>0.99029840000000002</v>
      </c>
      <c r="Q3416">
        <v>0.1228274</v>
      </c>
      <c r="R3416">
        <v>-6.4979640000000005E-2</v>
      </c>
      <c r="S3416">
        <v>3.0401310000000001</v>
      </c>
      <c r="T3416">
        <v>-0.4912803</v>
      </c>
      <c r="U3416">
        <v>-0.80137630000000004</v>
      </c>
      <c r="V3416">
        <v>-4.8895029999999999E-2</v>
      </c>
      <c r="W3416">
        <v>0.1595627</v>
      </c>
      <c r="X3416">
        <v>0.98597619999999997</v>
      </c>
      <c r="Y3416">
        <v>0.141709</v>
      </c>
      <c r="Z3416">
        <v>6.8682669999999999E-3</v>
      </c>
      <c r="AA3416">
        <v>0.9898846</v>
      </c>
      <c r="AB3416">
        <v>15</v>
      </c>
      <c r="AC3416">
        <v>0.61770000000001302</v>
      </c>
      <c r="AD3416">
        <v>-0.1216443</v>
      </c>
      <c r="AE3416">
        <v>-0.17940000000001499</v>
      </c>
      <c r="AF3416">
        <v>0.10349572208639</v>
      </c>
      <c r="AG3416">
        <v>-0.1216443</v>
      </c>
      <c r="AH3416">
        <v>0.61232902037513903</v>
      </c>
      <c r="AI3416">
        <v>101.082783877593</v>
      </c>
      <c r="AJ3416">
        <v>80.406547947410999</v>
      </c>
      <c r="AK3416">
        <v>0.63281555717780102</v>
      </c>
      <c r="AL3416">
        <v>80.818485528035893</v>
      </c>
      <c r="AM3416">
        <v>92.838999319417994</v>
      </c>
      <c r="AN3416">
        <v>1.00000002307821</v>
      </c>
    </row>
    <row r="3417" spans="1:40" x14ac:dyDescent="0.3">
      <c r="A3417" t="str">
        <f>"20200111150928136"</f>
        <v>20200111150928136</v>
      </c>
      <c r="B3417" t="str">
        <f>"1578726568127883"</f>
        <v>1578726568127883</v>
      </c>
      <c r="C3417" t="s">
        <v>40</v>
      </c>
      <c r="D3417">
        <v>5.5763470000000002</v>
      </c>
      <c r="E3417">
        <v>0.50865709999999997</v>
      </c>
      <c r="F3417" t="s">
        <v>60</v>
      </c>
      <c r="G3417">
        <v>-50.865049999999997</v>
      </c>
      <c r="H3417">
        <v>-0.1</v>
      </c>
      <c r="I3417">
        <v>116.089</v>
      </c>
      <c r="J3417">
        <v>-145.6088</v>
      </c>
      <c r="K3417">
        <v>1.1129720000000001</v>
      </c>
      <c r="L3417">
        <v>136.994</v>
      </c>
      <c r="M3417">
        <v>0.99232830000000005</v>
      </c>
      <c r="N3417">
        <v>0</v>
      </c>
      <c r="O3417">
        <v>-0.117701399999999</v>
      </c>
      <c r="P3417">
        <v>0.99029769999999995</v>
      </c>
      <c r="Q3417">
        <v>0.1211016</v>
      </c>
      <c r="R3417">
        <v>-6.815388E-2</v>
      </c>
      <c r="S3417">
        <v>2.9908450000000002</v>
      </c>
      <c r="T3417">
        <v>-3.8220289999999997E-2</v>
      </c>
      <c r="U3417">
        <v>-0.65956119999999996</v>
      </c>
      <c r="V3417">
        <v>-4.8629319999999997E-2</v>
      </c>
      <c r="W3417">
        <v>0.1586225</v>
      </c>
      <c r="X3417">
        <v>0.98614100000000005</v>
      </c>
      <c r="Y3417">
        <v>9.8832699999999996E-2</v>
      </c>
      <c r="Z3417">
        <v>8.5595479999999997E-4</v>
      </c>
      <c r="AA3417">
        <v>0.99510370000000004</v>
      </c>
      <c r="AB3417">
        <v>14</v>
      </c>
      <c r="AC3417">
        <v>94.743750000000006</v>
      </c>
      <c r="AD3417">
        <v>-1.2129719999999999</v>
      </c>
      <c r="AE3417">
        <v>-20.905000000000001</v>
      </c>
      <c r="AF3417">
        <v>9.5985217762235298</v>
      </c>
      <c r="AG3417">
        <v>-1.2129719999999999</v>
      </c>
      <c r="AH3417">
        <v>96.5314645924921</v>
      </c>
      <c r="AI3417">
        <v>90.716383308901499</v>
      </c>
      <c r="AJ3417">
        <v>84.321509859677704</v>
      </c>
      <c r="AK3417">
        <v>97.015084279368494</v>
      </c>
      <c r="AL3417">
        <v>80.873049668089394</v>
      </c>
      <c r="AM3417">
        <v>92.823125290748905</v>
      </c>
      <c r="AN3417">
        <v>0.99999999007545604</v>
      </c>
    </row>
    <row r="3418" spans="1:40" x14ac:dyDescent="0.3">
      <c r="A3418" t="str">
        <f>"20200111150928159"</f>
        <v>20200111150928159</v>
      </c>
      <c r="B3418" t="str">
        <f>"1578726568148380"</f>
        <v>1578726568148380</v>
      </c>
      <c r="C3418" t="s">
        <v>40</v>
      </c>
      <c r="D3418">
        <v>5.5796000000000001</v>
      </c>
      <c r="E3418">
        <v>0.5009323</v>
      </c>
      <c r="F3418" t="s">
        <v>41</v>
      </c>
      <c r="G3418">
        <v>-144.8853</v>
      </c>
      <c r="H3418">
        <v>0.99478409999999995</v>
      </c>
      <c r="I3418">
        <v>136.9145</v>
      </c>
      <c r="J3418">
        <v>-145.48820000000001</v>
      </c>
      <c r="K3418">
        <v>1.113065</v>
      </c>
      <c r="L3418">
        <v>136.97669999999999</v>
      </c>
      <c r="M3418">
        <v>0.99202469999999998</v>
      </c>
      <c r="N3418">
        <v>0</v>
      </c>
      <c r="O3418">
        <v>-0.1201453</v>
      </c>
      <c r="P3418">
        <v>0.99019089999999998</v>
      </c>
      <c r="Q3418">
        <v>0.1202149</v>
      </c>
      <c r="R3418">
        <v>-7.1205790000000005E-2</v>
      </c>
      <c r="S3418">
        <v>3.0674899999999998</v>
      </c>
      <c r="T3418">
        <v>-0.50116799999999995</v>
      </c>
      <c r="U3418">
        <v>-0.33714290000000002</v>
      </c>
      <c r="V3418">
        <v>-4.8058089999999998E-2</v>
      </c>
      <c r="W3418">
        <v>0.1580077</v>
      </c>
      <c r="X3418">
        <v>0.98626769999999997</v>
      </c>
      <c r="Y3418">
        <v>-9.3683440000000007E-3</v>
      </c>
      <c r="Z3418">
        <v>2.014751E-2</v>
      </c>
      <c r="AA3418">
        <v>0.99975309999999995</v>
      </c>
      <c r="AB3418">
        <v>13</v>
      </c>
      <c r="AC3418">
        <v>0.60290000000000499</v>
      </c>
      <c r="AD3418">
        <v>-0.118280899999999</v>
      </c>
      <c r="AE3418">
        <v>-6.2199999999989999E-2</v>
      </c>
      <c r="AF3418">
        <v>-1.0345470126882099E-2</v>
      </c>
      <c r="AG3418">
        <v>-0.118280899999999</v>
      </c>
      <c r="AH3418">
        <v>0.583772583214616</v>
      </c>
      <c r="AI3418">
        <v>101.452157765346</v>
      </c>
      <c r="AJ3418">
        <v>91.015275041702694</v>
      </c>
      <c r="AK3418">
        <v>0.59572462511635504</v>
      </c>
      <c r="AL3418">
        <v>80.908725071187803</v>
      </c>
      <c r="AM3418">
        <v>92.789657976858194</v>
      </c>
      <c r="AN3418">
        <v>0.99999999466851397</v>
      </c>
    </row>
    <row r="3419" spans="1:40" x14ac:dyDescent="0.3">
      <c r="A3419" t="str">
        <f>"20200111150928189"</f>
        <v>20200111150928189</v>
      </c>
      <c r="B3419" t="str">
        <f>"1578726568177659"</f>
        <v>1578726568177659</v>
      </c>
      <c r="C3419" t="s">
        <v>40</v>
      </c>
      <c r="D3419">
        <v>9.939114</v>
      </c>
      <c r="E3419">
        <v>0.50034889999999999</v>
      </c>
      <c r="F3419" t="s">
        <v>41</v>
      </c>
      <c r="G3419">
        <v>-144.76410000000001</v>
      </c>
      <c r="H3419">
        <v>1.0080659999999999</v>
      </c>
      <c r="I3419">
        <v>136.91030000000001</v>
      </c>
      <c r="J3419">
        <v>-145.32079999999999</v>
      </c>
      <c r="K3419">
        <v>1.1127689999999999</v>
      </c>
      <c r="L3419">
        <v>136.95179999999999</v>
      </c>
      <c r="M3419">
        <v>0.99161849999999996</v>
      </c>
      <c r="N3419">
        <v>0</v>
      </c>
      <c r="O3419">
        <v>-0.123668</v>
      </c>
      <c r="P3419">
        <v>0.98976679999999995</v>
      </c>
      <c r="Q3419">
        <v>0.1214113</v>
      </c>
      <c r="R3419">
        <v>-7.4972559999999994E-2</v>
      </c>
      <c r="S3419">
        <v>3.0634769999999998</v>
      </c>
      <c r="T3419">
        <v>-0.44403369999999998</v>
      </c>
      <c r="U3419">
        <v>-0.28018189999999998</v>
      </c>
      <c r="V3419">
        <v>-4.7764029999999999E-2</v>
      </c>
      <c r="W3419">
        <v>0.1585105</v>
      </c>
      <c r="X3419">
        <v>0.98620129999999995</v>
      </c>
      <c r="Y3419">
        <v>-3.1264640000000003E-2</v>
      </c>
      <c r="Z3419">
        <v>1.999766E-2</v>
      </c>
      <c r="AA3419">
        <v>0.99931110000000001</v>
      </c>
      <c r="AB3419">
        <v>13</v>
      </c>
      <c r="AC3419">
        <v>0.55669999999997799</v>
      </c>
      <c r="AD3419">
        <v>-0.104703</v>
      </c>
      <c r="AE3419">
        <v>-4.1499999999984903E-2</v>
      </c>
      <c r="AF3419">
        <v>-2.6771438583694501E-2</v>
      </c>
      <c r="AG3419">
        <v>-0.104703</v>
      </c>
      <c r="AH3419">
        <v>0.53860927617050902</v>
      </c>
      <c r="AI3419">
        <v>100.987582512297</v>
      </c>
      <c r="AJ3419">
        <v>92.845530496473401</v>
      </c>
      <c r="AK3419">
        <v>0.54934450075499996</v>
      </c>
      <c r="AL3419">
        <v>80.879549047011096</v>
      </c>
      <c r="AM3419">
        <v>92.772801595757301</v>
      </c>
      <c r="AN3419">
        <v>0.99999999264688999</v>
      </c>
    </row>
    <row r="3420" spans="1:40" x14ac:dyDescent="0.3">
      <c r="A3420" t="str">
        <f>"20200111150928212"</f>
        <v>20200111150928212</v>
      </c>
      <c r="B3420" t="str">
        <f>"1578726568207915"</f>
        <v>1578726568207915</v>
      </c>
      <c r="C3420" t="s">
        <v>40</v>
      </c>
      <c r="D3420">
        <v>6.0278900000000002</v>
      </c>
      <c r="E3420">
        <v>0.48220689999999999</v>
      </c>
      <c r="F3420" t="s">
        <v>41</v>
      </c>
      <c r="G3420">
        <v>-144.55590000000001</v>
      </c>
      <c r="H3420">
        <v>0.98769739999999995</v>
      </c>
      <c r="I3420">
        <v>136.87899999999999</v>
      </c>
      <c r="J3420">
        <v>-145.1935</v>
      </c>
      <c r="K3420">
        <v>1.112614</v>
      </c>
      <c r="L3420">
        <v>136.9324</v>
      </c>
      <c r="M3420">
        <v>0.99130359999999995</v>
      </c>
      <c r="N3420">
        <v>0</v>
      </c>
      <c r="O3420">
        <v>-0.126336</v>
      </c>
      <c r="P3420">
        <v>0.98943349999999997</v>
      </c>
      <c r="Q3420">
        <v>0.1219596</v>
      </c>
      <c r="R3420">
        <v>-7.8402089999999994E-2</v>
      </c>
      <c r="S3420">
        <v>3.0704349999999998</v>
      </c>
      <c r="T3420">
        <v>-0.50195590000000001</v>
      </c>
      <c r="U3420">
        <v>-0.29231259999999998</v>
      </c>
      <c r="V3420">
        <v>-4.6983120000000003E-2</v>
      </c>
      <c r="W3420">
        <v>0.15848409999999999</v>
      </c>
      <c r="X3420">
        <v>0.98624310000000004</v>
      </c>
      <c r="Y3420">
        <v>-2.9796980000000001E-2</v>
      </c>
      <c r="Z3420">
        <v>2.2828020000000001E-2</v>
      </c>
      <c r="AA3420">
        <v>0.99929520000000005</v>
      </c>
      <c r="AB3420">
        <v>12</v>
      </c>
      <c r="AC3420">
        <v>0.63759999999999195</v>
      </c>
      <c r="AD3420">
        <v>-0.124916599999999</v>
      </c>
      <c r="AE3420">
        <v>-5.3400000000010502E-2</v>
      </c>
      <c r="AF3420">
        <v>-2.6620308221245399E-2</v>
      </c>
      <c r="AG3420">
        <v>-0.124916599999999</v>
      </c>
      <c r="AH3420">
        <v>0.61576466502430505</v>
      </c>
      <c r="AI3420">
        <v>101.457221363146</v>
      </c>
      <c r="AJ3420">
        <v>92.475429770010905</v>
      </c>
      <c r="AK3420">
        <v>0.628871147738428</v>
      </c>
      <c r="AL3420">
        <v>80.881081436901297</v>
      </c>
      <c r="AM3420">
        <v>92.7274217401052</v>
      </c>
      <c r="AN3420">
        <v>1.0000000379076699</v>
      </c>
    </row>
    <row r="3421" spans="1:40" x14ac:dyDescent="0.3">
      <c r="A3421" t="str">
        <f>"20200111150928234"</f>
        <v>20200111150928234</v>
      </c>
      <c r="B3421" t="str">
        <f>"1578726568228411"</f>
        <v>1578726568228411</v>
      </c>
      <c r="C3421" t="s">
        <v>40</v>
      </c>
      <c r="D3421">
        <v>5.1800009999999999</v>
      </c>
      <c r="E3421">
        <v>0.48479650000000002</v>
      </c>
      <c r="F3421" t="s">
        <v>49</v>
      </c>
      <c r="G3421">
        <v>0</v>
      </c>
      <c r="H3421">
        <v>0</v>
      </c>
      <c r="I3421">
        <v>0</v>
      </c>
      <c r="J3421">
        <v>-145.08590000000001</v>
      </c>
      <c r="K3421">
        <v>1.1126579999999999</v>
      </c>
      <c r="L3421">
        <v>136.91569999999999</v>
      </c>
      <c r="M3421">
        <v>0.99101729999999999</v>
      </c>
      <c r="N3421">
        <v>0</v>
      </c>
      <c r="O3421">
        <v>-0.12863050000000001</v>
      </c>
      <c r="P3421">
        <v>0.98920180000000002</v>
      </c>
      <c r="Q3421">
        <v>0.1222109</v>
      </c>
      <c r="R3421">
        <v>-8.089876E-2</v>
      </c>
      <c r="S3421">
        <v>3.0156710000000002</v>
      </c>
      <c r="T3421">
        <v>5.7843449999999998E-2</v>
      </c>
      <c r="U3421">
        <v>-0.1164398</v>
      </c>
      <c r="V3421">
        <v>-4.6800059999999997E-2</v>
      </c>
      <c r="W3421">
        <v>0.15849920000000001</v>
      </c>
      <c r="X3421">
        <v>0.9862493</v>
      </c>
      <c r="Y3421">
        <v>-9.0318869999999996E-2</v>
      </c>
      <c r="Z3421">
        <v>-3.3268769999999998E-3</v>
      </c>
      <c r="AA3421">
        <v>0.9959074</v>
      </c>
      <c r="AB3421">
        <v>12</v>
      </c>
      <c r="AC3421">
        <v>3.0156710000000002</v>
      </c>
      <c r="AD3421">
        <v>5.7843449999999998E-2</v>
      </c>
      <c r="AE3421">
        <v>-0.1164398</v>
      </c>
      <c r="AF3421">
        <v>-0.27259588942623802</v>
      </c>
      <c r="AG3421">
        <v>5.7843449999999998E-2</v>
      </c>
      <c r="AH3421">
        <v>3.0044688789428302</v>
      </c>
      <c r="AI3421">
        <v>88.901561695240503</v>
      </c>
      <c r="AJ3421">
        <v>95.184259794228794</v>
      </c>
      <c r="AK3421">
        <v>3.0173643512469601</v>
      </c>
      <c r="AL3421">
        <v>80.880204496008702</v>
      </c>
      <c r="AM3421">
        <v>92.716793805292298</v>
      </c>
      <c r="AN3421">
        <v>0.99999996188356599</v>
      </c>
    </row>
    <row r="3422" spans="1:40" x14ac:dyDescent="0.3">
      <c r="A3422" t="str">
        <f>"20200111150928256"</f>
        <v>20200111150928256</v>
      </c>
      <c r="B3422" t="str">
        <f>"1578726568247931"</f>
        <v>1578726568247931</v>
      </c>
      <c r="C3422" t="s">
        <v>40</v>
      </c>
      <c r="D3422">
        <v>8.7142320000000009</v>
      </c>
      <c r="E3422">
        <v>0.48774580000000001</v>
      </c>
      <c r="F3422" t="s">
        <v>49</v>
      </c>
      <c r="G3422">
        <v>0</v>
      </c>
      <c r="H3422">
        <v>0</v>
      </c>
      <c r="I3422">
        <v>0</v>
      </c>
      <c r="J3422">
        <v>-144.97829999999999</v>
      </c>
      <c r="K3422">
        <v>1.112792</v>
      </c>
      <c r="L3422">
        <v>136.89879999999999</v>
      </c>
      <c r="M3422">
        <v>0.9907087</v>
      </c>
      <c r="N3422">
        <v>0</v>
      </c>
      <c r="O3422">
        <v>-0.1310093</v>
      </c>
      <c r="P3422">
        <v>0.98897780000000002</v>
      </c>
      <c r="Q3422">
        <v>0.12274350000000001</v>
      </c>
      <c r="R3422">
        <v>-8.2807169999999999E-2</v>
      </c>
      <c r="S3422">
        <v>3.0140530000000001</v>
      </c>
      <c r="T3422">
        <v>5.5331949999999998E-2</v>
      </c>
      <c r="U3422">
        <v>-0.14482120000000001</v>
      </c>
      <c r="V3422">
        <v>-4.7302780000000003E-2</v>
      </c>
      <c r="W3422">
        <v>0.1589276</v>
      </c>
      <c r="X3422">
        <v>0.98615640000000004</v>
      </c>
      <c r="Y3422">
        <v>-8.3330650000000006E-2</v>
      </c>
      <c r="Z3422">
        <v>-3.1623659999999998E-3</v>
      </c>
      <c r="AA3422">
        <v>0.99651690000000004</v>
      </c>
      <c r="AB3422">
        <v>12</v>
      </c>
      <c r="AC3422">
        <v>3.0140530000000001</v>
      </c>
      <c r="AD3422">
        <v>5.5331949999999998E-2</v>
      </c>
      <c r="AE3422">
        <v>-0.14482120000000001</v>
      </c>
      <c r="AF3422">
        <v>-0.25147649517705001</v>
      </c>
      <c r="AG3422">
        <v>5.5331949999999998E-2</v>
      </c>
      <c r="AH3422">
        <v>3.00601531544726</v>
      </c>
      <c r="AI3422">
        <v>88.949141406017205</v>
      </c>
      <c r="AJ3422">
        <v>94.782101038970495</v>
      </c>
      <c r="AK3422">
        <v>3.0170233888753399</v>
      </c>
      <c r="AL3422">
        <v>80.855344127580096</v>
      </c>
      <c r="AM3422">
        <v>92.746191094522004</v>
      </c>
      <c r="AN3422">
        <v>0.99999999014922403</v>
      </c>
    </row>
    <row r="3423" spans="1:40" x14ac:dyDescent="0.3">
      <c r="A3423" t="str">
        <f>"20200111150928279"</f>
        <v>20200111150928279</v>
      </c>
      <c r="B3423" t="str">
        <f>"1578726568268427"</f>
        <v>1578726568268427</v>
      </c>
      <c r="C3423" t="s">
        <v>40</v>
      </c>
      <c r="D3423">
        <v>5.1203760000000003</v>
      </c>
      <c r="E3423">
        <v>0.49004779999999998</v>
      </c>
      <c r="F3423" t="s">
        <v>49</v>
      </c>
      <c r="G3423">
        <v>0</v>
      </c>
      <c r="H3423">
        <v>0</v>
      </c>
      <c r="I3423">
        <v>0</v>
      </c>
      <c r="J3423">
        <v>-144.87459999999999</v>
      </c>
      <c r="K3423">
        <v>1.112886</v>
      </c>
      <c r="L3423">
        <v>136.88220000000001</v>
      </c>
      <c r="M3423">
        <v>0.99040300000000003</v>
      </c>
      <c r="N3423">
        <v>0</v>
      </c>
      <c r="O3423">
        <v>-0.13333829999999999</v>
      </c>
      <c r="P3423">
        <v>0.98876180000000002</v>
      </c>
      <c r="Q3423">
        <v>0.1229565</v>
      </c>
      <c r="R3423">
        <v>-8.5041770000000003E-2</v>
      </c>
      <c r="S3423">
        <v>3.0098720000000001</v>
      </c>
      <c r="T3423">
        <v>7.3324920000000002E-2</v>
      </c>
      <c r="U3423">
        <v>-0.17279050000000001</v>
      </c>
      <c r="V3423">
        <v>-4.7424519999999998E-2</v>
      </c>
      <c r="W3423">
        <v>0.158995</v>
      </c>
      <c r="X3423">
        <v>0.98613969999999995</v>
      </c>
      <c r="Y3423">
        <v>-7.6344430000000005E-2</v>
      </c>
      <c r="Z3423">
        <v>-4.1659499999999999E-3</v>
      </c>
      <c r="AA3423">
        <v>0.99707279999999998</v>
      </c>
      <c r="AB3423">
        <v>11</v>
      </c>
      <c r="AC3423">
        <v>3.0098720000000001</v>
      </c>
      <c r="AD3423">
        <v>7.3324920000000002E-2</v>
      </c>
      <c r="AE3423">
        <v>-0.17279050000000001</v>
      </c>
      <c r="AF3423">
        <v>-0.23021521076437601</v>
      </c>
      <c r="AG3423">
        <v>7.3324920000000002E-2</v>
      </c>
      <c r="AH3423">
        <v>3.0042375764732201</v>
      </c>
      <c r="AI3423">
        <v>88.605935573053202</v>
      </c>
      <c r="AJ3423">
        <v>94.382020888502694</v>
      </c>
      <c r="AK3423">
        <v>3.0139374583846199</v>
      </c>
      <c r="AL3423">
        <v>80.851432761838197</v>
      </c>
      <c r="AM3423">
        <v>92.753294475423999</v>
      </c>
      <c r="AN3423">
        <v>1.0000000015191599</v>
      </c>
    </row>
    <row r="3424" spans="1:40" x14ac:dyDescent="0.3">
      <c r="A3424" t="str">
        <f>"20200111150928302"</f>
        <v>20200111150928302</v>
      </c>
      <c r="B3424" t="str">
        <f>"1578726568297708"</f>
        <v>1578726568297708</v>
      </c>
      <c r="C3424" t="s">
        <v>40</v>
      </c>
      <c r="D3424">
        <v>5.1260539999999999</v>
      </c>
      <c r="E3424">
        <v>0.44910499999999998</v>
      </c>
      <c r="F3424" t="s">
        <v>49</v>
      </c>
      <c r="G3424">
        <v>0</v>
      </c>
      <c r="H3424">
        <v>0</v>
      </c>
      <c r="I3424">
        <v>0</v>
      </c>
      <c r="J3424">
        <v>-144.76840000000001</v>
      </c>
      <c r="K3424">
        <v>1.1128990000000001</v>
      </c>
      <c r="L3424">
        <v>136.86500000000001</v>
      </c>
      <c r="M3424">
        <v>0.99010019999999999</v>
      </c>
      <c r="N3424">
        <v>0</v>
      </c>
      <c r="O3424">
        <v>-0.13564570000000001</v>
      </c>
      <c r="P3424">
        <v>0.98857450000000002</v>
      </c>
      <c r="Q3424">
        <v>0.1232042</v>
      </c>
      <c r="R3424">
        <v>-8.6841020000000005E-2</v>
      </c>
      <c r="S3424">
        <v>3.000397</v>
      </c>
      <c r="T3424">
        <v>0.13744379999999901</v>
      </c>
      <c r="U3424">
        <v>-0.19296260000000001</v>
      </c>
      <c r="V3424">
        <v>-4.7941159999999997E-2</v>
      </c>
      <c r="W3424">
        <v>0.1589516</v>
      </c>
      <c r="X3424">
        <v>0.98612169999999999</v>
      </c>
      <c r="Y3424">
        <v>-7.165299E-2</v>
      </c>
      <c r="Z3424">
        <v>-7.8255419999999996E-3</v>
      </c>
      <c r="AA3424">
        <v>0.99739889999999998</v>
      </c>
      <c r="AB3424">
        <v>11</v>
      </c>
      <c r="AC3424">
        <v>3.000397</v>
      </c>
      <c r="AD3424">
        <v>0.13744379999999901</v>
      </c>
      <c r="AE3424">
        <v>-0.19296260000000001</v>
      </c>
      <c r="AF3424">
        <v>-0.21562872214353099</v>
      </c>
      <c r="AG3424">
        <v>0.13744379999999901</v>
      </c>
      <c r="AH3424">
        <v>2.9925670391990602</v>
      </c>
      <c r="AI3424">
        <v>87.377135265422197</v>
      </c>
      <c r="AJ3424">
        <v>94.121311453329696</v>
      </c>
      <c r="AK3424">
        <v>3.0034719955532001</v>
      </c>
      <c r="AL3424">
        <v>80.853951291115095</v>
      </c>
      <c r="AM3424">
        <v>92.783292521857106</v>
      </c>
      <c r="AN3424">
        <v>0.99999998658779699</v>
      </c>
    </row>
    <row r="3425" spans="1:40" x14ac:dyDescent="0.3">
      <c r="A3425" t="str">
        <f>"20200111150928324"</f>
        <v>20200111150928324</v>
      </c>
      <c r="B3425" t="str">
        <f>"1578726568318206"</f>
        <v>1578726568318206</v>
      </c>
      <c r="C3425" t="s">
        <v>40</v>
      </c>
      <c r="D3425">
        <v>5.0882509999999996</v>
      </c>
      <c r="E3425">
        <v>0.48136060000000003</v>
      </c>
      <c r="F3425" t="s">
        <v>49</v>
      </c>
      <c r="G3425">
        <v>0</v>
      </c>
      <c r="H3425">
        <v>0</v>
      </c>
      <c r="I3425">
        <v>0</v>
      </c>
      <c r="J3425">
        <v>-144.67670000000001</v>
      </c>
      <c r="K3425">
        <v>1.112889</v>
      </c>
      <c r="L3425">
        <v>136.84989999999999</v>
      </c>
      <c r="M3425">
        <v>0.98984689999999997</v>
      </c>
      <c r="N3425">
        <v>0</v>
      </c>
      <c r="O3425">
        <v>-0.13756160000000001</v>
      </c>
      <c r="P3425">
        <v>0.98834359999999999</v>
      </c>
      <c r="Q3425">
        <v>0.1238172</v>
      </c>
      <c r="R3425">
        <v>-8.858075E-2</v>
      </c>
      <c r="S3425">
        <v>2.9690400000000001</v>
      </c>
      <c r="T3425">
        <v>0.64281880000000002</v>
      </c>
      <c r="U3425">
        <v>0.16484070000000001</v>
      </c>
      <c r="V3425">
        <v>-4.8114129999999998E-2</v>
      </c>
      <c r="W3425">
        <v>0.1592595</v>
      </c>
      <c r="X3425">
        <v>0.98606360000000004</v>
      </c>
      <c r="Y3425">
        <v>-0.18489530000000001</v>
      </c>
      <c r="Z3425">
        <v>-4.9167269999999999E-2</v>
      </c>
      <c r="AA3425">
        <v>0.9815275</v>
      </c>
      <c r="AB3425">
        <v>10</v>
      </c>
      <c r="AC3425">
        <v>2.9690400000000001</v>
      </c>
      <c r="AD3425">
        <v>0.64281880000000002</v>
      </c>
      <c r="AE3425">
        <v>0.16484070000000001</v>
      </c>
      <c r="AF3425">
        <v>-0.54642396291829898</v>
      </c>
      <c r="AG3425">
        <v>0.64281880000000002</v>
      </c>
      <c r="AH3425">
        <v>2.78780923453568</v>
      </c>
      <c r="AI3425">
        <v>77.250022086294294</v>
      </c>
      <c r="AJ3425">
        <v>101.08965981620899</v>
      </c>
      <c r="AK3425">
        <v>2.9126749707180202</v>
      </c>
      <c r="AL3425">
        <v>80.836082334086896</v>
      </c>
      <c r="AM3425">
        <v>92.793482991175907</v>
      </c>
      <c r="AN3425">
        <v>0.99999999054543298</v>
      </c>
    </row>
    <row r="3426" spans="1:40" x14ac:dyDescent="0.3">
      <c r="A3426" t="str">
        <f>"20200111150928346"</f>
        <v>20200111150928346</v>
      </c>
      <c r="B3426" t="str">
        <f>"1578726568337723"</f>
        <v>1578726568337723</v>
      </c>
      <c r="C3426" t="s">
        <v>40</v>
      </c>
      <c r="D3426">
        <v>9.5128439999999994</v>
      </c>
      <c r="E3426">
        <v>0.48169479999999998</v>
      </c>
      <c r="F3426" t="s">
        <v>49</v>
      </c>
      <c r="G3426">
        <v>0</v>
      </c>
      <c r="H3426">
        <v>0</v>
      </c>
      <c r="I3426">
        <v>0</v>
      </c>
      <c r="J3426">
        <v>-144.58539999999999</v>
      </c>
      <c r="K3426">
        <v>1.112919</v>
      </c>
      <c r="L3426">
        <v>136.8347</v>
      </c>
      <c r="M3426">
        <v>0.98959200000000003</v>
      </c>
      <c r="N3426">
        <v>0</v>
      </c>
      <c r="O3426">
        <v>-0.1394562</v>
      </c>
      <c r="P3426">
        <v>0.98824860000000003</v>
      </c>
      <c r="Q3426">
        <v>0.12336279999999999</v>
      </c>
      <c r="R3426">
        <v>-9.0256920000000004E-2</v>
      </c>
      <c r="S3426">
        <v>3.007034</v>
      </c>
      <c r="T3426">
        <v>0.12954489999999999</v>
      </c>
      <c r="U3426">
        <v>-0.13540650000000001</v>
      </c>
      <c r="V3426">
        <v>-4.83612E-2</v>
      </c>
      <c r="W3426">
        <v>0.15851570000000001</v>
      </c>
      <c r="X3426">
        <v>0.98617140000000003</v>
      </c>
      <c r="Y3426">
        <v>-9.4642829999999997E-2</v>
      </c>
      <c r="Z3426">
        <v>-8.0230019999999996E-3</v>
      </c>
      <c r="AA3426">
        <v>0.995479</v>
      </c>
      <c r="AB3426">
        <v>10</v>
      </c>
      <c r="AC3426">
        <v>3.007034</v>
      </c>
      <c r="AD3426">
        <v>0.12954489999999999</v>
      </c>
      <c r="AE3426">
        <v>-0.13540650000000001</v>
      </c>
      <c r="AF3426">
        <v>-0.285004355960992</v>
      </c>
      <c r="AG3426">
        <v>0.12954489999999999</v>
      </c>
      <c r="AH3426">
        <v>2.99096809944762</v>
      </c>
      <c r="AI3426">
        <v>87.531122781334801</v>
      </c>
      <c r="AJ3426">
        <v>95.443184398437296</v>
      </c>
      <c r="AK3426">
        <v>3.0073076889380799</v>
      </c>
      <c r="AL3426">
        <v>80.879247651199293</v>
      </c>
      <c r="AM3426">
        <v>92.807498423826701</v>
      </c>
      <c r="AN3426">
        <v>1.00000003149494</v>
      </c>
    </row>
    <row r="3427" spans="1:40" x14ac:dyDescent="0.3">
      <c r="A3427" t="str">
        <f>"20200111150928367"</f>
        <v>20200111150928367</v>
      </c>
      <c r="B3427" t="str">
        <f>"1578726568358219"</f>
        <v>1578726568358219</v>
      </c>
      <c r="C3427" t="s">
        <v>40</v>
      </c>
      <c r="D3427">
        <v>5.1158960000000002</v>
      </c>
      <c r="E3427">
        <v>0.44267410000000001</v>
      </c>
      <c r="F3427" t="s">
        <v>49</v>
      </c>
      <c r="G3427">
        <v>0</v>
      </c>
      <c r="H3427">
        <v>0</v>
      </c>
      <c r="I3427">
        <v>0</v>
      </c>
      <c r="J3427">
        <v>-144.4992</v>
      </c>
      <c r="K3427">
        <v>1.1129830000000001</v>
      </c>
      <c r="L3427">
        <v>136.8202</v>
      </c>
      <c r="M3427">
        <v>0.98934230000000001</v>
      </c>
      <c r="N3427">
        <v>0</v>
      </c>
      <c r="O3427">
        <v>-0.14128019999999999</v>
      </c>
      <c r="P3427">
        <v>0.98813609999999996</v>
      </c>
      <c r="Q3427">
        <v>0.12272089999999899</v>
      </c>
      <c r="R3427">
        <v>-9.2339660000000004E-2</v>
      </c>
      <c r="S3427">
        <v>3.0017849999999999</v>
      </c>
      <c r="T3427">
        <v>0.16889789999999999</v>
      </c>
      <c r="U3427">
        <v>-0.14025879999999999</v>
      </c>
      <c r="V3427">
        <v>-4.814015E-2</v>
      </c>
      <c r="W3427">
        <v>0.15761639999999999</v>
      </c>
      <c r="X3427">
        <v>0.98632629999999999</v>
      </c>
      <c r="Y3427">
        <v>-9.4637769999999996E-2</v>
      </c>
      <c r="Z3427">
        <v>-1.0575859999999999E-2</v>
      </c>
      <c r="AA3427">
        <v>0.9954556</v>
      </c>
      <c r="AB3427">
        <v>9</v>
      </c>
      <c r="AC3427">
        <v>3.0017849999999999</v>
      </c>
      <c r="AD3427">
        <v>0.16889789999999999</v>
      </c>
      <c r="AE3427">
        <v>-0.14025879999999999</v>
      </c>
      <c r="AF3427">
        <v>-0.28460707717706202</v>
      </c>
      <c r="AG3427">
        <v>0.16889789999999999</v>
      </c>
      <c r="AH3427">
        <v>2.9820464004471301</v>
      </c>
      <c r="AI3427">
        <v>86.772963207924093</v>
      </c>
      <c r="AJ3427">
        <v>95.451806946955998</v>
      </c>
      <c r="AK3427">
        <v>3.0003547162666302</v>
      </c>
      <c r="AL3427">
        <v>80.931429342639703</v>
      </c>
      <c r="AM3427">
        <v>92.794248061573001</v>
      </c>
      <c r="AN3427">
        <v>0.99999998683133595</v>
      </c>
    </row>
    <row r="3428" spans="1:40" x14ac:dyDescent="0.3">
      <c r="A3428" t="str">
        <f>"20200111150928390"</f>
        <v>20200111150928390</v>
      </c>
      <c r="B3428" t="str">
        <f>"1578726568388475"</f>
        <v>1578726568388475</v>
      </c>
      <c r="C3428" t="s">
        <v>40</v>
      </c>
      <c r="D3428">
        <v>5.1748129999999897</v>
      </c>
      <c r="E3428">
        <v>0.45457069999999999</v>
      </c>
      <c r="F3428" t="s">
        <v>49</v>
      </c>
      <c r="G3428">
        <v>0</v>
      </c>
      <c r="H3428">
        <v>0</v>
      </c>
      <c r="I3428">
        <v>0</v>
      </c>
      <c r="J3428">
        <v>-144.41460000000001</v>
      </c>
      <c r="K3428">
        <v>1.1130439999999999</v>
      </c>
      <c r="L3428">
        <v>136.8058</v>
      </c>
      <c r="M3428">
        <v>0.98909219999999998</v>
      </c>
      <c r="N3428">
        <v>0</v>
      </c>
      <c r="O3428">
        <v>-0.14308570000000001</v>
      </c>
      <c r="P3428">
        <v>0.98793819999999999</v>
      </c>
      <c r="Q3428">
        <v>0.1228146</v>
      </c>
      <c r="R3428">
        <v>-9.4314200000000001E-2</v>
      </c>
      <c r="S3428">
        <v>2.980804</v>
      </c>
      <c r="T3428">
        <v>0.59184230000000004</v>
      </c>
      <c r="U3428">
        <v>0.19557189999999999</v>
      </c>
      <c r="V3428">
        <v>-4.799287E-2</v>
      </c>
      <c r="W3428">
        <v>0.15744259999999999</v>
      </c>
      <c r="X3428">
        <v>0.9863613</v>
      </c>
      <c r="Y3428">
        <v>-0.2009706</v>
      </c>
      <c r="Z3428">
        <v>-4.7820330000000001E-2</v>
      </c>
      <c r="AA3428">
        <v>0.9784294</v>
      </c>
      <c r="AB3428">
        <v>9</v>
      </c>
      <c r="AC3428">
        <v>2.980804</v>
      </c>
      <c r="AD3428">
        <v>0.59184230000000004</v>
      </c>
      <c r="AE3428">
        <v>0.19557189999999999</v>
      </c>
      <c r="AF3428">
        <v>-0.59689813703824401</v>
      </c>
      <c r="AG3428">
        <v>0.59184230000000004</v>
      </c>
      <c r="AH3428">
        <v>2.81172368293393</v>
      </c>
      <c r="AI3428">
        <v>78.365265093683703</v>
      </c>
      <c r="AJ3428">
        <v>101.985334226476</v>
      </c>
      <c r="AK3428">
        <v>2.9346813733760899</v>
      </c>
      <c r="AL3428">
        <v>80.941513840323495</v>
      </c>
      <c r="AM3428">
        <v>92.785614131592794</v>
      </c>
      <c r="AN3428">
        <v>1.00000005100164</v>
      </c>
    </row>
    <row r="3429" spans="1:40" x14ac:dyDescent="0.3">
      <c r="A3429" t="str">
        <f>"20200111150928412"</f>
        <v>20200111150928412</v>
      </c>
      <c r="B3429" t="str">
        <f>"1578726568407995"</f>
        <v>1578726568407995</v>
      </c>
      <c r="C3429" t="s">
        <v>40</v>
      </c>
      <c r="D3429">
        <v>5.0192069999999998</v>
      </c>
      <c r="E3429">
        <v>0.4517639</v>
      </c>
      <c r="F3429" t="s">
        <v>49</v>
      </c>
      <c r="G3429">
        <v>0</v>
      </c>
      <c r="H3429">
        <v>0</v>
      </c>
      <c r="I3429">
        <v>0</v>
      </c>
      <c r="J3429">
        <v>-144.33369999999999</v>
      </c>
      <c r="K3429">
        <v>1.112938</v>
      </c>
      <c r="L3429">
        <v>136.792</v>
      </c>
      <c r="M3429">
        <v>0.98886169999999995</v>
      </c>
      <c r="N3429">
        <v>0</v>
      </c>
      <c r="O3429">
        <v>-0.1448255</v>
      </c>
      <c r="P3429">
        <v>0.98769059999999997</v>
      </c>
      <c r="Q3429">
        <v>0.1234263</v>
      </c>
      <c r="R3429">
        <v>-9.6089240000000006E-2</v>
      </c>
      <c r="S3429">
        <v>2.9754939999999999</v>
      </c>
      <c r="T3429">
        <v>0.56290709999999999</v>
      </c>
      <c r="U3429">
        <v>9.2681879999999994E-2</v>
      </c>
      <c r="V3429">
        <v>-4.7945189999999999E-2</v>
      </c>
      <c r="W3429">
        <v>0.15740499999999999</v>
      </c>
      <c r="X3429">
        <v>0.98636959999999996</v>
      </c>
      <c r="Y3429">
        <v>-0.1700711</v>
      </c>
      <c r="Z3429">
        <v>-4.3051409999999998E-2</v>
      </c>
      <c r="AA3429">
        <v>0.98449089999999995</v>
      </c>
      <c r="AB3429">
        <v>9</v>
      </c>
      <c r="AC3429">
        <v>2.9754939999999999</v>
      </c>
      <c r="AD3429">
        <v>0.56290709999999999</v>
      </c>
      <c r="AE3429">
        <v>9.2681879999999994E-2</v>
      </c>
      <c r="AF3429">
        <v>-0.50483480864601604</v>
      </c>
      <c r="AG3429">
        <v>0.56290709999999999</v>
      </c>
      <c r="AH3429">
        <v>2.8294884430648501</v>
      </c>
      <c r="AI3429">
        <v>78.918870173729701</v>
      </c>
      <c r="AJ3429">
        <v>100.116213890563</v>
      </c>
      <c r="AK3429">
        <v>2.9287757573239799</v>
      </c>
      <c r="AL3429">
        <v>80.943695184858797</v>
      </c>
      <c r="AM3429">
        <v>92.782827649560204</v>
      </c>
      <c r="AN3429">
        <v>1.00000003153664</v>
      </c>
    </row>
    <row r="3430" spans="1:40" x14ac:dyDescent="0.3">
      <c r="A3430" t="str">
        <f>"20200111150928436"</f>
        <v>20200111150928436</v>
      </c>
      <c r="B3430" t="str">
        <f>"1578726568428491"</f>
        <v>1578726568428491</v>
      </c>
      <c r="C3430" t="s">
        <v>40</v>
      </c>
      <c r="D3430">
        <v>6.9078059999999999</v>
      </c>
      <c r="E3430">
        <v>0.44702009999999998</v>
      </c>
      <c r="F3430" t="s">
        <v>49</v>
      </c>
      <c r="G3430">
        <v>0</v>
      </c>
      <c r="H3430">
        <v>0</v>
      </c>
      <c r="I3430">
        <v>0</v>
      </c>
      <c r="J3430">
        <v>-144.2508</v>
      </c>
      <c r="K3430">
        <v>1.112663</v>
      </c>
      <c r="L3430">
        <v>136.77760000000001</v>
      </c>
      <c r="M3430">
        <v>0.98863570000000001</v>
      </c>
      <c r="N3430">
        <v>0</v>
      </c>
      <c r="O3430">
        <v>-0.14663300000000001</v>
      </c>
      <c r="P3430">
        <v>0.98743360000000002</v>
      </c>
      <c r="Q3430">
        <v>0.1241901</v>
      </c>
      <c r="R3430">
        <v>-9.7732799999999995E-2</v>
      </c>
      <c r="S3430">
        <v>2.970383</v>
      </c>
      <c r="T3430">
        <v>0.62522299999999997</v>
      </c>
      <c r="U3430">
        <v>0.1141663</v>
      </c>
      <c r="V3430">
        <v>-4.807575E-2</v>
      </c>
      <c r="W3430">
        <v>0.1570047</v>
      </c>
      <c r="X3430">
        <v>0.98642700000000005</v>
      </c>
      <c r="Y3430">
        <v>-0.1775098</v>
      </c>
      <c r="Z3430">
        <v>-4.8945460000000003E-2</v>
      </c>
      <c r="AA3430">
        <v>0.98290120000000003</v>
      </c>
      <c r="AB3430">
        <v>8</v>
      </c>
      <c r="AC3430">
        <v>2.970383</v>
      </c>
      <c r="AD3430">
        <v>0.62522299999999997</v>
      </c>
      <c r="AE3430">
        <v>0.1141663</v>
      </c>
      <c r="AF3430">
        <v>-0.52547981625545204</v>
      </c>
      <c r="AG3430">
        <v>0.62522299999999997</v>
      </c>
      <c r="AH3430">
        <v>2.7977227257780202</v>
      </c>
      <c r="AI3430">
        <v>77.6125234486625</v>
      </c>
      <c r="AJ3430">
        <v>100.637594371216</v>
      </c>
      <c r="AK3430">
        <v>2.9144957175051198</v>
      </c>
      <c r="AL3430">
        <v>80.966919076190095</v>
      </c>
      <c r="AM3430">
        <v>92.790231517408699</v>
      </c>
      <c r="AN3430">
        <v>0.99999998994457595</v>
      </c>
    </row>
    <row r="3431" spans="1:40" x14ac:dyDescent="0.3">
      <c r="A3431" t="str">
        <f>"20200111150928457"</f>
        <v>20200111150928457</v>
      </c>
      <c r="B3431" t="str">
        <f>"1578726568448011"</f>
        <v>1578726568448011</v>
      </c>
      <c r="C3431" t="s">
        <v>40</v>
      </c>
      <c r="D3431">
        <v>6.0018260000000003</v>
      </c>
      <c r="E3431">
        <v>0.4440808</v>
      </c>
      <c r="F3431" t="s">
        <v>49</v>
      </c>
      <c r="G3431">
        <v>0</v>
      </c>
      <c r="H3431">
        <v>0</v>
      </c>
      <c r="I3431">
        <v>0</v>
      </c>
      <c r="J3431">
        <v>-144.17590000000001</v>
      </c>
      <c r="K3431">
        <v>1.112503</v>
      </c>
      <c r="L3431">
        <v>136.76439999999999</v>
      </c>
      <c r="M3431">
        <v>0.98842419999999998</v>
      </c>
      <c r="N3431">
        <v>0</v>
      </c>
      <c r="O3431">
        <v>-0.14826900000000001</v>
      </c>
      <c r="P3431">
        <v>0.98723360000000004</v>
      </c>
      <c r="Q3431">
        <v>0.1245971</v>
      </c>
      <c r="R3431">
        <v>-9.9223939999999997E-2</v>
      </c>
      <c r="S3431">
        <v>2.9696199999999999</v>
      </c>
      <c r="T3431">
        <v>0.66295340000000003</v>
      </c>
      <c r="U3431">
        <v>0.14968870000000001</v>
      </c>
      <c r="V3431">
        <v>-4.8205739999999997E-2</v>
      </c>
      <c r="W3431">
        <v>0.156436299999999</v>
      </c>
      <c r="X3431">
        <v>0.98651100000000003</v>
      </c>
      <c r="Y3431">
        <v>-0.18964880000000001</v>
      </c>
      <c r="Z3431">
        <v>-5.3531889999999999E-2</v>
      </c>
      <c r="AA3431">
        <v>0.98039160000000003</v>
      </c>
      <c r="AB3431">
        <v>8</v>
      </c>
      <c r="AC3431">
        <v>2.9696199999999999</v>
      </c>
      <c r="AD3431">
        <v>0.66295340000000003</v>
      </c>
      <c r="AE3431">
        <v>0.14968870000000001</v>
      </c>
      <c r="AF3431">
        <v>-0.56068978789967205</v>
      </c>
      <c r="AG3431">
        <v>0.66295340000000003</v>
      </c>
      <c r="AH3431">
        <v>2.7765299977650799</v>
      </c>
      <c r="AI3431">
        <v>76.827257273806097</v>
      </c>
      <c r="AJ3431">
        <v>101.41671802281201</v>
      </c>
      <c r="AK3431">
        <v>2.9091234207774499</v>
      </c>
      <c r="AL3431">
        <v>80.999893837359394</v>
      </c>
      <c r="AM3431">
        <v>92.797526089341901</v>
      </c>
      <c r="AN3431">
        <v>1.00000003122381</v>
      </c>
    </row>
    <row r="3432" spans="1:40" x14ac:dyDescent="0.3">
      <c r="A3432" t="str">
        <f>"20200111150928482"</f>
        <v>20200111150928482</v>
      </c>
      <c r="B3432" t="str">
        <f>"1578726568478267"</f>
        <v>1578726568478267</v>
      </c>
      <c r="C3432" t="s">
        <v>40</v>
      </c>
      <c r="D3432">
        <v>7.4127809999999998</v>
      </c>
      <c r="E3432">
        <v>0.4303594</v>
      </c>
      <c r="F3432" t="s">
        <v>49</v>
      </c>
      <c r="G3432">
        <v>0</v>
      </c>
      <c r="H3432">
        <v>0</v>
      </c>
      <c r="I3432">
        <v>0</v>
      </c>
      <c r="J3432">
        <v>-144.09899999999999</v>
      </c>
      <c r="K3432">
        <v>1.112541</v>
      </c>
      <c r="L3432">
        <v>136.75069999999999</v>
      </c>
      <c r="M3432">
        <v>0.98819089999999998</v>
      </c>
      <c r="N3432">
        <v>0</v>
      </c>
      <c r="O3432">
        <v>-0.14993860000000001</v>
      </c>
      <c r="P3432">
        <v>0.98709729999999996</v>
      </c>
      <c r="Q3432">
        <v>0.1242429</v>
      </c>
      <c r="R3432">
        <v>-0.1010089</v>
      </c>
      <c r="S3432">
        <v>2.9684750000000002</v>
      </c>
      <c r="T3432">
        <v>0.69307359999999996</v>
      </c>
      <c r="U3432">
        <v>0.17057800000000001</v>
      </c>
      <c r="V3432">
        <v>-4.8112660000000002E-2</v>
      </c>
      <c r="W3432">
        <v>0.1555107</v>
      </c>
      <c r="X3432">
        <v>0.98666189999999998</v>
      </c>
      <c r="Y3432">
        <v>-0.1971812</v>
      </c>
      <c r="Z3432">
        <v>-5.7165250000000001E-2</v>
      </c>
      <c r="AA3432">
        <v>0.97869899999999999</v>
      </c>
      <c r="AB3432">
        <v>8</v>
      </c>
      <c r="AC3432">
        <v>2.9684750000000002</v>
      </c>
      <c r="AD3432">
        <v>0.69307359999999996</v>
      </c>
      <c r="AE3432">
        <v>0.17057800000000001</v>
      </c>
      <c r="AF3432">
        <v>-0.58231986346016495</v>
      </c>
      <c r="AG3432">
        <v>0.69307359999999996</v>
      </c>
      <c r="AH3432">
        <v>2.75937092548005</v>
      </c>
      <c r="AI3432">
        <v>76.192733247408</v>
      </c>
      <c r="AJ3432">
        <v>101.916484578162</v>
      </c>
      <c r="AK3432">
        <v>2.9040618696546199</v>
      </c>
      <c r="AL3432">
        <v>81.053584129159304</v>
      </c>
      <c r="AM3432">
        <v>92.791706576274294</v>
      </c>
      <c r="AN3432">
        <v>1.0000000553891799</v>
      </c>
    </row>
    <row r="3433" spans="1:40" x14ac:dyDescent="0.3">
      <c r="A3433" t="str">
        <f>"20200111150928502"</f>
        <v>20200111150928502</v>
      </c>
      <c r="B3433" t="str">
        <f>"1578726568497788"</f>
        <v>1578726568497788</v>
      </c>
      <c r="C3433" t="s">
        <v>40</v>
      </c>
      <c r="D3433">
        <v>6.5088080000000001</v>
      </c>
      <c r="E3433">
        <v>0.43565979999999999</v>
      </c>
      <c r="F3433" t="s">
        <v>49</v>
      </c>
      <c r="G3433">
        <v>0</v>
      </c>
      <c r="H3433">
        <v>0</v>
      </c>
      <c r="I3433">
        <v>0</v>
      </c>
      <c r="J3433">
        <v>-144.0317</v>
      </c>
      <c r="K3433">
        <v>1.1129169999999999</v>
      </c>
      <c r="L3433">
        <v>136.73869999999999</v>
      </c>
      <c r="M3433">
        <v>0.98796309999999998</v>
      </c>
      <c r="N3433">
        <v>0</v>
      </c>
      <c r="O3433">
        <v>-0.1513341</v>
      </c>
      <c r="P3433">
        <v>0.98703750000000001</v>
      </c>
      <c r="Q3433">
        <v>0.1233293</v>
      </c>
      <c r="R3433">
        <v>-0.1026986</v>
      </c>
      <c r="S3433">
        <v>2.9458160000000002</v>
      </c>
      <c r="T3433">
        <v>0.98246869999999997</v>
      </c>
      <c r="U3433">
        <v>0.2957458</v>
      </c>
      <c r="V3433">
        <v>-4.7886600000000001E-2</v>
      </c>
      <c r="W3433">
        <v>0.1550482</v>
      </c>
      <c r="X3433">
        <v>0.98674569999999995</v>
      </c>
      <c r="Y3433">
        <v>-0.22896710000000001</v>
      </c>
      <c r="Z3433">
        <v>-8.6086850000000006E-2</v>
      </c>
      <c r="AA3433">
        <v>0.96962009999999998</v>
      </c>
      <c r="AB3433">
        <v>7</v>
      </c>
      <c r="AC3433">
        <v>2.9458160000000002</v>
      </c>
      <c r="AD3433">
        <v>0.98246869999999997</v>
      </c>
      <c r="AE3433">
        <v>0.2957458</v>
      </c>
      <c r="AF3433">
        <v>-0.66512340184173901</v>
      </c>
      <c r="AG3433">
        <v>0.98246869999999997</v>
      </c>
      <c r="AH3433">
        <v>2.5826672457443598</v>
      </c>
      <c r="AI3433">
        <v>69.776795194688006</v>
      </c>
      <c r="AJ3433">
        <v>104.441766548126</v>
      </c>
      <c r="AK3433">
        <v>2.8421477773680199</v>
      </c>
      <c r="AL3433">
        <v>81.080408957417902</v>
      </c>
      <c r="AM3433">
        <v>92.778374587589596</v>
      </c>
      <c r="AN3433">
        <v>1.00000007362564</v>
      </c>
    </row>
    <row r="3434" spans="1:40" x14ac:dyDescent="0.3">
      <c r="A3434" t="str">
        <f>"20200111150928525"</f>
        <v>20200111150928525</v>
      </c>
      <c r="B3434" t="str">
        <f>"1578726568517977"</f>
        <v>1578726568517977</v>
      </c>
      <c r="C3434" t="s">
        <v>40</v>
      </c>
      <c r="D3434">
        <v>5.9777430000000003</v>
      </c>
      <c r="E3434">
        <v>0.4377508</v>
      </c>
      <c r="F3434" t="s">
        <v>49</v>
      </c>
      <c r="G3434">
        <v>0</v>
      </c>
      <c r="H3434">
        <v>0</v>
      </c>
      <c r="I3434">
        <v>0</v>
      </c>
      <c r="J3434">
        <v>-143.9701</v>
      </c>
      <c r="K3434">
        <v>1.1133679999999999</v>
      </c>
      <c r="L3434">
        <v>136.7277</v>
      </c>
      <c r="M3434">
        <v>0.98774839999999997</v>
      </c>
      <c r="N3434">
        <v>0</v>
      </c>
      <c r="O3434">
        <v>-0.1525328</v>
      </c>
      <c r="P3434">
        <v>0.98703160000000001</v>
      </c>
      <c r="Q3434">
        <v>0.12194430000000001</v>
      </c>
      <c r="R3434">
        <v>-0.104393</v>
      </c>
      <c r="S3434">
        <v>2.9540250000000001</v>
      </c>
      <c r="T3434">
        <v>0.88408580000000003</v>
      </c>
      <c r="U3434">
        <v>0.24125669999999999</v>
      </c>
      <c r="V3434">
        <v>-4.7470569999999997E-2</v>
      </c>
      <c r="W3434">
        <v>0.15455959999999999</v>
      </c>
      <c r="X3434">
        <v>0.98684240000000001</v>
      </c>
      <c r="Y3434">
        <v>-0.21647359999999999</v>
      </c>
      <c r="Z3434">
        <v>-7.6209230000000003E-2</v>
      </c>
      <c r="AA3434">
        <v>0.97330950000000005</v>
      </c>
      <c r="AB3434">
        <v>7</v>
      </c>
      <c r="AC3434">
        <v>2.9540250000000001</v>
      </c>
      <c r="AD3434">
        <v>0.88408580000000003</v>
      </c>
      <c r="AE3434">
        <v>0.24125669999999999</v>
      </c>
      <c r="AF3434">
        <v>-0.63294436721191205</v>
      </c>
      <c r="AG3434">
        <v>0.88408580000000003</v>
      </c>
      <c r="AH3434">
        <v>2.6470744532434001</v>
      </c>
      <c r="AI3434">
        <v>72.004691833240202</v>
      </c>
      <c r="AJ3434">
        <v>103.44755657999799</v>
      </c>
      <c r="AK3434">
        <v>2.8616829724413502</v>
      </c>
      <c r="AL3434">
        <v>81.108744813995798</v>
      </c>
      <c r="AM3434">
        <v>92.754004436038002</v>
      </c>
      <c r="AN3434">
        <v>1.00000002370302</v>
      </c>
    </row>
    <row r="3435" spans="1:40" x14ac:dyDescent="0.3">
      <c r="A3435" t="str">
        <f>"20200111150928550"</f>
        <v>20200111150928550</v>
      </c>
      <c r="B3435" t="str">
        <f>"1578726568548235"</f>
        <v>1578726568548235</v>
      </c>
      <c r="C3435" t="s">
        <v>40</v>
      </c>
      <c r="D3435">
        <v>6.0695779999999999</v>
      </c>
      <c r="E3435">
        <v>0.44024649999999999</v>
      </c>
      <c r="F3435" t="s">
        <v>49</v>
      </c>
      <c r="G3435">
        <v>0</v>
      </c>
      <c r="H3435">
        <v>0</v>
      </c>
      <c r="I3435">
        <v>0</v>
      </c>
      <c r="J3435">
        <v>-143.90960000000001</v>
      </c>
      <c r="K3435">
        <v>1.113704</v>
      </c>
      <c r="L3435">
        <v>136.71690000000001</v>
      </c>
      <c r="M3435">
        <v>0.98755090000000001</v>
      </c>
      <c r="N3435">
        <v>0</v>
      </c>
      <c r="O3435">
        <v>-0.1536023</v>
      </c>
      <c r="P3435">
        <v>0.9869327</v>
      </c>
      <c r="Q3435">
        <v>0.12137100000000001</v>
      </c>
      <c r="R3435">
        <v>-0.10598630000000001</v>
      </c>
      <c r="S3435">
        <v>2.953354</v>
      </c>
      <c r="T3435">
        <v>0.88424400000000003</v>
      </c>
      <c r="U3435">
        <v>0.21928410000000001</v>
      </c>
      <c r="V3435">
        <v>-4.6992220000000001E-2</v>
      </c>
      <c r="W3435">
        <v>0.15490870000000001</v>
      </c>
      <c r="X3435">
        <v>0.98681050000000003</v>
      </c>
      <c r="Y3435">
        <v>-0.21053959999999999</v>
      </c>
      <c r="Z3435">
        <v>-7.5697680000000003E-2</v>
      </c>
      <c r="AA3435">
        <v>0.97465009999999996</v>
      </c>
      <c r="AB3435">
        <v>6</v>
      </c>
      <c r="AC3435">
        <v>2.953354</v>
      </c>
      <c r="AD3435">
        <v>0.88424400000000003</v>
      </c>
      <c r="AE3435">
        <v>0.21928410000000001</v>
      </c>
      <c r="AF3435">
        <v>-0.61569222763446796</v>
      </c>
      <c r="AG3435">
        <v>0.88424400000000003</v>
      </c>
      <c r="AH3435">
        <v>2.6484515642463098</v>
      </c>
      <c r="AI3435">
        <v>71.985463428478099</v>
      </c>
      <c r="AJ3435">
        <v>103.087239416278</v>
      </c>
      <c r="AK3435">
        <v>2.85924116836342</v>
      </c>
      <c r="AL3435">
        <v>81.088498524313593</v>
      </c>
      <c r="AM3435">
        <v>92.726383048063397</v>
      </c>
      <c r="AN3435">
        <v>0.99999996849323303</v>
      </c>
    </row>
    <row r="3436" spans="1:40" x14ac:dyDescent="0.3">
      <c r="A3436" t="str">
        <f>"20200111150928573"</f>
        <v>20200111150928573</v>
      </c>
      <c r="B3436" t="str">
        <f>"1578726568567754"</f>
        <v>1578726568567754</v>
      </c>
      <c r="C3436" t="s">
        <v>40</v>
      </c>
      <c r="D3436">
        <v>6.9402979999999896</v>
      </c>
      <c r="E3436">
        <v>0.48143320000000001</v>
      </c>
      <c r="F3436" t="s">
        <v>49</v>
      </c>
      <c r="G3436">
        <v>0</v>
      </c>
      <c r="H3436">
        <v>0</v>
      </c>
      <c r="I3436">
        <v>0</v>
      </c>
      <c r="J3436">
        <v>-143.857</v>
      </c>
      <c r="K3436">
        <v>1.113707</v>
      </c>
      <c r="L3436">
        <v>136.70740000000001</v>
      </c>
      <c r="M3436">
        <v>0.987398</v>
      </c>
      <c r="N3436">
        <v>0</v>
      </c>
      <c r="O3436">
        <v>-0.1545426</v>
      </c>
      <c r="P3436">
        <v>0.98669340000000005</v>
      </c>
      <c r="Q3436">
        <v>0.1213347</v>
      </c>
      <c r="R3436">
        <v>-0.1082308</v>
      </c>
      <c r="S3436">
        <v>2.9492189999999998</v>
      </c>
      <c r="T3436">
        <v>0.90751910000000002</v>
      </c>
      <c r="U3436">
        <v>0.19656370000000001</v>
      </c>
      <c r="V3436">
        <v>-4.5680169999999999E-2</v>
      </c>
      <c r="W3436">
        <v>0.15505429999999901</v>
      </c>
      <c r="X3436">
        <v>0.98684930000000004</v>
      </c>
      <c r="Y3436">
        <v>-0.20349239999999999</v>
      </c>
      <c r="Z3436">
        <v>-7.6942590000000005E-2</v>
      </c>
      <c r="AA3436">
        <v>0.97604849999999999</v>
      </c>
      <c r="AB3436">
        <v>6</v>
      </c>
      <c r="AC3436">
        <v>2.9492189999999998</v>
      </c>
      <c r="AD3436">
        <v>0.90751910000000002</v>
      </c>
      <c r="AE3436">
        <v>0.19656370000000001</v>
      </c>
      <c r="AF3436">
        <v>-0.59422676763330495</v>
      </c>
      <c r="AG3436">
        <v>0.90751910000000002</v>
      </c>
      <c r="AH3436">
        <v>2.6349542598039899</v>
      </c>
      <c r="AI3436">
        <v>71.428789704812104</v>
      </c>
      <c r="AJ3436">
        <v>102.708570545841</v>
      </c>
      <c r="AK3436">
        <v>2.8495052762709401</v>
      </c>
      <c r="AL3436">
        <v>81.080054758954304</v>
      </c>
      <c r="AM3436">
        <v>92.650266896339303</v>
      </c>
      <c r="AN3436">
        <v>1.0000000273951</v>
      </c>
    </row>
    <row r="3437" spans="1:40" x14ac:dyDescent="0.3">
      <c r="A3437" t="str">
        <f>"20200111150928596"</f>
        <v>20200111150928596</v>
      </c>
      <c r="B3437" t="str">
        <f>"1578726568588250"</f>
        <v>1578726568588250</v>
      </c>
      <c r="C3437" t="s">
        <v>40</v>
      </c>
      <c r="D3437">
        <v>5.8708799999999997</v>
      </c>
      <c r="E3437">
        <v>0.48334349999999998</v>
      </c>
      <c r="F3437" t="s">
        <v>43</v>
      </c>
      <c r="G3437">
        <v>-136.4641</v>
      </c>
      <c r="H3437" s="1">
        <v>-2.116431E-6</v>
      </c>
      <c r="I3437">
        <v>136.13659999999999</v>
      </c>
      <c r="J3437">
        <v>-143.80500000000001</v>
      </c>
      <c r="K3437">
        <v>1.1134329999999999</v>
      </c>
      <c r="L3437">
        <v>136.69799999999901</v>
      </c>
      <c r="M3437">
        <v>0.98725549999999995</v>
      </c>
      <c r="N3437">
        <v>0</v>
      </c>
      <c r="O3437">
        <v>-0.15558820000000001</v>
      </c>
      <c r="P3437">
        <v>0.98635170000000005</v>
      </c>
      <c r="Q3437">
        <v>0.12212969999999999</v>
      </c>
      <c r="R3437">
        <v>-0.1104289</v>
      </c>
      <c r="S3437">
        <v>3.0713499999999998</v>
      </c>
      <c r="T3437">
        <v>-0.4626865</v>
      </c>
      <c r="U3437">
        <v>-0.23713680000000001</v>
      </c>
      <c r="V3437">
        <v>-4.4478999999999998E-2</v>
      </c>
      <c r="W3437">
        <v>0.1552239</v>
      </c>
      <c r="X3437">
        <v>0.98687749999999996</v>
      </c>
      <c r="Y3437">
        <v>-7.6585E-2</v>
      </c>
      <c r="Z3437">
        <v>2.890765E-2</v>
      </c>
      <c r="AA3437">
        <v>0.99664390000000003</v>
      </c>
      <c r="AB3437">
        <v>5</v>
      </c>
      <c r="AC3437">
        <v>7.3409000000000004</v>
      </c>
      <c r="AD3437">
        <v>-1.1134351164309999</v>
      </c>
      <c r="AE3437">
        <v>-0.56139999999999102</v>
      </c>
      <c r="AF3437">
        <v>-0.57508811204589605</v>
      </c>
      <c r="AG3437">
        <v>-1.1134351164309999</v>
      </c>
      <c r="AH3437">
        <v>7.1747002559264699</v>
      </c>
      <c r="AI3437">
        <v>98.793551482721298</v>
      </c>
      <c r="AJ3437">
        <v>94.582745624371</v>
      </c>
      <c r="AK3437">
        <v>7.2833225836502304</v>
      </c>
      <c r="AL3437">
        <v>81.070218237461404</v>
      </c>
      <c r="AM3437">
        <v>92.580599393444203</v>
      </c>
      <c r="AN3437">
        <v>1.0000000202892201</v>
      </c>
    </row>
    <row r="3438" spans="1:40" x14ac:dyDescent="0.3">
      <c r="A3438" t="str">
        <f>"20200111150928615"</f>
        <v>20200111150928615</v>
      </c>
      <c r="B3438" t="str">
        <f>"1578726568607768"</f>
        <v>1578726568607768</v>
      </c>
      <c r="C3438" t="s">
        <v>40</v>
      </c>
      <c r="D3438">
        <v>6.4881070000000003</v>
      </c>
      <c r="E3438">
        <v>0.44158510000000001</v>
      </c>
      <c r="F3438" t="s">
        <v>43</v>
      </c>
      <c r="G3438">
        <v>-131.5907</v>
      </c>
      <c r="H3438" s="1">
        <v>-4.2817519999999998E-6</v>
      </c>
      <c r="I3438">
        <v>135.7159</v>
      </c>
      <c r="J3438">
        <v>-143.7638</v>
      </c>
      <c r="K3438">
        <v>1.1132500000000001</v>
      </c>
      <c r="L3438">
        <v>136.69040000000001</v>
      </c>
      <c r="M3438">
        <v>0.98713399999999996</v>
      </c>
      <c r="N3438">
        <v>0</v>
      </c>
      <c r="O3438">
        <v>-0.15647749999999999</v>
      </c>
      <c r="P3438">
        <v>0.98602069999999997</v>
      </c>
      <c r="Q3438">
        <v>0.1229818</v>
      </c>
      <c r="R3438">
        <v>-0.1124217</v>
      </c>
      <c r="S3438">
        <v>3.0484770000000001</v>
      </c>
      <c r="T3438">
        <v>-0.27789249999999999</v>
      </c>
      <c r="U3438">
        <v>-0.24511720000000001</v>
      </c>
      <c r="V3438">
        <v>-4.3335800000000001E-2</v>
      </c>
      <c r="W3438">
        <v>0.15551589999999901</v>
      </c>
      <c r="X3438">
        <v>0.98688240000000005</v>
      </c>
      <c r="Y3438">
        <v>-7.5948199999999993E-2</v>
      </c>
      <c r="Z3438">
        <v>1.7602050000000001E-2</v>
      </c>
      <c r="AA3438">
        <v>0.99695639999999996</v>
      </c>
      <c r="AB3438">
        <v>5</v>
      </c>
      <c r="AC3438">
        <v>12.1731</v>
      </c>
      <c r="AD3438">
        <v>-1.1132542817519999</v>
      </c>
      <c r="AE3438">
        <v>-0.97450000000000603</v>
      </c>
      <c r="AF3438">
        <v>-0.93558937536298903</v>
      </c>
      <c r="AG3438">
        <v>-1.1132542817519999</v>
      </c>
      <c r="AH3438">
        <v>12.0752049575147</v>
      </c>
      <c r="AI3438">
        <v>95.251751512517899</v>
      </c>
      <c r="AJ3438">
        <v>94.430437409765204</v>
      </c>
      <c r="AK3438">
        <v>12.162451946097001</v>
      </c>
      <c r="AL3438">
        <v>81.053282284321796</v>
      </c>
      <c r="AM3438">
        <v>92.514346558435903</v>
      </c>
      <c r="AN3438">
        <v>1.0000000290721001</v>
      </c>
    </row>
    <row r="3439" spans="1:40" x14ac:dyDescent="0.3">
      <c r="A3439" t="str">
        <f>"20200111150928638"</f>
        <v>20200111150928638</v>
      </c>
      <c r="B3439" t="str">
        <f>"1578726568628367"</f>
        <v>1578726568628367</v>
      </c>
      <c r="C3439" t="s">
        <v>40</v>
      </c>
      <c r="D3439">
        <v>7.7039499999999999</v>
      </c>
      <c r="E3439">
        <v>0.52302380000000004</v>
      </c>
      <c r="F3439" t="s">
        <v>49</v>
      </c>
      <c r="G3439">
        <v>0</v>
      </c>
      <c r="H3439">
        <v>0</v>
      </c>
      <c r="I3439">
        <v>0</v>
      </c>
      <c r="J3439">
        <v>-143.7201</v>
      </c>
      <c r="K3439">
        <v>1.113208</v>
      </c>
      <c r="L3439">
        <v>136.6823</v>
      </c>
      <c r="M3439">
        <v>0.98699130000000002</v>
      </c>
      <c r="N3439">
        <v>0</v>
      </c>
      <c r="O3439">
        <v>-0.1574382</v>
      </c>
      <c r="P3439">
        <v>0.98573920000000004</v>
      </c>
      <c r="Q3439">
        <v>0.12342019999999999</v>
      </c>
      <c r="R3439">
        <v>-0.11439340000000001</v>
      </c>
      <c r="S3439">
        <v>2.9631349999999999</v>
      </c>
      <c r="T3439">
        <v>0.77878380000000003</v>
      </c>
      <c r="U3439">
        <v>0.15557860000000001</v>
      </c>
      <c r="V3439">
        <v>-4.2309890000000003E-2</v>
      </c>
      <c r="W3439">
        <v>0.1556582</v>
      </c>
      <c r="X3439">
        <v>0.98690440000000001</v>
      </c>
      <c r="Y3439">
        <v>-0.19708149999999999</v>
      </c>
      <c r="Z3439">
        <v>-6.6043939999999995E-2</v>
      </c>
      <c r="AA3439">
        <v>0.97816000000000003</v>
      </c>
      <c r="AB3439">
        <v>5</v>
      </c>
      <c r="AC3439">
        <v>2.9631349999999999</v>
      </c>
      <c r="AD3439">
        <v>0.77878380000000003</v>
      </c>
      <c r="AE3439">
        <v>0.15557860000000001</v>
      </c>
      <c r="AF3439">
        <v>-0.58041202605898701</v>
      </c>
      <c r="AG3439">
        <v>0.77878380000000003</v>
      </c>
      <c r="AH3439">
        <v>2.7146326660394502</v>
      </c>
      <c r="AI3439">
        <v>74.328910962204702</v>
      </c>
      <c r="AJ3439">
        <v>102.068622397832</v>
      </c>
      <c r="AK3439">
        <v>2.8831602173075299</v>
      </c>
      <c r="AL3439">
        <v>81.045027854544003</v>
      </c>
      <c r="AM3439">
        <v>92.454842223653998</v>
      </c>
      <c r="AN3439">
        <v>0.99999994837920403</v>
      </c>
    </row>
    <row r="3440" spans="1:40" x14ac:dyDescent="0.3">
      <c r="A3440" t="str">
        <f>"20200111150928660"</f>
        <v>20200111150928660</v>
      </c>
      <c r="B3440" t="str">
        <f>"1578726568657649"</f>
        <v>1578726568657649</v>
      </c>
      <c r="C3440" t="s">
        <v>40</v>
      </c>
      <c r="D3440">
        <v>5.7433110000000003</v>
      </c>
      <c r="E3440">
        <v>0.55383459999999995</v>
      </c>
      <c r="F3440" t="s">
        <v>49</v>
      </c>
      <c r="G3440">
        <v>0</v>
      </c>
      <c r="H3440">
        <v>0</v>
      </c>
      <c r="I3440">
        <v>0</v>
      </c>
      <c r="J3440">
        <v>-143.68020000000001</v>
      </c>
      <c r="K3440">
        <v>1.1132770000000001</v>
      </c>
      <c r="L3440">
        <v>136.6748</v>
      </c>
      <c r="M3440">
        <v>0.98684810000000001</v>
      </c>
      <c r="N3440">
        <v>0</v>
      </c>
      <c r="O3440">
        <v>-0.15834479999999901</v>
      </c>
      <c r="P3440">
        <v>0.98548919999999995</v>
      </c>
      <c r="Q3440">
        <v>0.1238262</v>
      </c>
      <c r="R3440">
        <v>-0.1160943</v>
      </c>
      <c r="S3440">
        <v>2.8848419999999999</v>
      </c>
      <c r="T3440">
        <v>0.80795319999999904</v>
      </c>
      <c r="U3440">
        <v>-0.49467470000000002</v>
      </c>
      <c r="V3440">
        <v>-4.1516049999999999E-2</v>
      </c>
      <c r="W3440">
        <v>0.1560039</v>
      </c>
      <c r="X3440">
        <v>0.98688359999999997</v>
      </c>
      <c r="Y3440">
        <v>1.5976009999999999E-2</v>
      </c>
      <c r="Z3440">
        <v>-4.0773169999999997E-2</v>
      </c>
      <c r="AA3440">
        <v>0.9990407</v>
      </c>
      <c r="AB3440">
        <v>5</v>
      </c>
      <c r="AC3440">
        <v>2.8848419999999999</v>
      </c>
      <c r="AD3440">
        <v>0.80795319999999904</v>
      </c>
      <c r="AE3440">
        <v>-0.49467470000000002</v>
      </c>
      <c r="AF3440">
        <v>2.9163467780625101E-2</v>
      </c>
      <c r="AG3440">
        <v>0.80795319999999904</v>
      </c>
      <c r="AH3440">
        <v>2.7195541045743199</v>
      </c>
      <c r="AI3440">
        <v>73.454724389770604</v>
      </c>
      <c r="AJ3440">
        <v>89.385605320090605</v>
      </c>
      <c r="AK3440">
        <v>2.8371840632835701</v>
      </c>
      <c r="AL3440">
        <v>81.024976384591994</v>
      </c>
      <c r="AM3440">
        <v>92.408888689123998</v>
      </c>
      <c r="AN3440">
        <v>1.00000001958588</v>
      </c>
    </row>
    <row r="3441" spans="1:40" x14ac:dyDescent="0.3">
      <c r="A3441" t="str">
        <f>"20200111150928681"</f>
        <v>20200111150928681</v>
      </c>
      <c r="B3441" t="str">
        <f>"1578726568678144"</f>
        <v>1578726568678144</v>
      </c>
      <c r="C3441" t="s">
        <v>40</v>
      </c>
      <c r="D3441">
        <v>5.7695860000000003</v>
      </c>
      <c r="E3441">
        <v>0.55600969999999905</v>
      </c>
      <c r="F3441" t="s">
        <v>41</v>
      </c>
      <c r="G3441">
        <v>-142.97200000000001</v>
      </c>
      <c r="H3441">
        <v>0.97227750000000002</v>
      </c>
      <c r="I3441">
        <v>136.477</v>
      </c>
      <c r="J3441">
        <v>-143.64689999999999</v>
      </c>
      <c r="K3441">
        <v>1.1133040000000001</v>
      </c>
      <c r="L3441">
        <v>136.6686</v>
      </c>
      <c r="M3441">
        <v>0.98672749999999998</v>
      </c>
      <c r="N3441">
        <v>0</v>
      </c>
      <c r="O3441">
        <v>-0.15912209999999999</v>
      </c>
      <c r="P3441">
        <v>0.98529500000000003</v>
      </c>
      <c r="Q3441">
        <v>0.12474349999999999</v>
      </c>
      <c r="R3441">
        <v>-0.1167593</v>
      </c>
      <c r="S3441">
        <v>3.0204010000000001</v>
      </c>
      <c r="T3441">
        <v>-0.6011687</v>
      </c>
      <c r="U3441">
        <v>-0.84301759999999903</v>
      </c>
      <c r="V3441">
        <v>-4.1621930000000001E-2</v>
      </c>
      <c r="W3441">
        <v>0.15677859999999999</v>
      </c>
      <c r="X3441">
        <v>0.98675630000000003</v>
      </c>
      <c r="Y3441">
        <v>0.11287510000000001</v>
      </c>
      <c r="Z3441">
        <v>1.9622199999999999E-2</v>
      </c>
      <c r="AA3441">
        <v>0.99341539999999995</v>
      </c>
      <c r="AB3441">
        <v>4</v>
      </c>
      <c r="AC3441">
        <v>0.67489999999997896</v>
      </c>
      <c r="AD3441">
        <v>-0.1410265</v>
      </c>
      <c r="AE3441">
        <v>-0.191599999999994</v>
      </c>
      <c r="AF3441">
        <v>7.8534968446627995E-2</v>
      </c>
      <c r="AG3441">
        <v>-0.1410265</v>
      </c>
      <c r="AH3441">
        <v>0.66973365061524703</v>
      </c>
      <c r="AI3441">
        <v>101.81247047853699</v>
      </c>
      <c r="AJ3441">
        <v>83.311869427248595</v>
      </c>
      <c r="AK3441">
        <v>0.68891173435904596</v>
      </c>
      <c r="AL3441">
        <v>80.9800357780816</v>
      </c>
      <c r="AM3441">
        <v>92.415336097055501</v>
      </c>
      <c r="AN3441">
        <v>0.999999955032286</v>
      </c>
    </row>
    <row r="3442" spans="1:40" x14ac:dyDescent="0.3">
      <c r="A3442" t="str">
        <f>"20200111150928703"</f>
        <v>20200111150928703</v>
      </c>
      <c r="B3442" t="str">
        <f>"1578726568697663"</f>
        <v>1578726568697663</v>
      </c>
      <c r="C3442" t="s">
        <v>40</v>
      </c>
      <c r="D3442">
        <v>5.8229579999999999</v>
      </c>
      <c r="E3442">
        <v>0.55723780000000001</v>
      </c>
      <c r="F3442" t="s">
        <v>41</v>
      </c>
      <c r="G3442">
        <v>-142.93879999999999</v>
      </c>
      <c r="H3442">
        <v>0.98026250000000004</v>
      </c>
      <c r="I3442">
        <v>136.46639999999999</v>
      </c>
      <c r="J3442">
        <v>-143.61359999999999</v>
      </c>
      <c r="K3442">
        <v>1.1132820000000001</v>
      </c>
      <c r="L3442">
        <v>136.66229999999999</v>
      </c>
      <c r="M3442">
        <v>0.98661829999999995</v>
      </c>
      <c r="N3442">
        <v>0</v>
      </c>
      <c r="O3442">
        <v>-0.15986359999999999</v>
      </c>
      <c r="P3442">
        <v>0.98515109999999995</v>
      </c>
      <c r="Q3442">
        <v>0.1250984</v>
      </c>
      <c r="R3442">
        <v>-0.117591</v>
      </c>
      <c r="S3442">
        <v>3.0145110000000002</v>
      </c>
      <c r="T3442">
        <v>-0.56629359999999995</v>
      </c>
      <c r="U3442">
        <v>-0.86036679999999999</v>
      </c>
      <c r="V3442">
        <v>-4.1528589999999997E-2</v>
      </c>
      <c r="W3442">
        <v>0.15680639999999901</v>
      </c>
      <c r="X3442">
        <v>0.98675579999999996</v>
      </c>
      <c r="Y3442">
        <v>0.1177697</v>
      </c>
      <c r="Z3442">
        <v>1.8205220000000001E-2</v>
      </c>
      <c r="AA3442">
        <v>0.99287400000000003</v>
      </c>
      <c r="AB3442">
        <v>4</v>
      </c>
      <c r="AC3442">
        <v>0.67480000000000395</v>
      </c>
      <c r="AD3442">
        <v>-0.13301949999999901</v>
      </c>
      <c r="AE3442">
        <v>-0.195899999999994</v>
      </c>
      <c r="AF3442">
        <v>8.2490240686855107E-2</v>
      </c>
      <c r="AG3442">
        <v>-0.13301949999999901</v>
      </c>
      <c r="AH3442">
        <v>0.67331581916838101</v>
      </c>
      <c r="AI3442">
        <v>101.09451036380401</v>
      </c>
      <c r="AJ3442">
        <v>83.015303579409206</v>
      </c>
      <c r="AK3442">
        <v>0.69126913682820601</v>
      </c>
      <c r="AL3442">
        <v>80.978422869795097</v>
      </c>
      <c r="AM3442">
        <v>92.409927155125303</v>
      </c>
      <c r="AN3442">
        <v>0.999999939850992</v>
      </c>
    </row>
    <row r="3443" spans="1:40" x14ac:dyDescent="0.3">
      <c r="A3443" t="str">
        <f>"20200111150928726"</f>
        <v>20200111150928726</v>
      </c>
      <c r="B3443" t="str">
        <f>"1578726568718159"</f>
        <v>1578726568718159</v>
      </c>
      <c r="C3443" t="s">
        <v>40</v>
      </c>
      <c r="D3443">
        <v>5.8510849999999897</v>
      </c>
      <c r="E3443">
        <v>0.55798269999999905</v>
      </c>
      <c r="F3443" t="s">
        <v>41</v>
      </c>
      <c r="G3443">
        <v>-142.91380000000001</v>
      </c>
      <c r="H3443">
        <v>0.97618349999999998</v>
      </c>
      <c r="I3443">
        <v>136.45920000000001</v>
      </c>
      <c r="J3443">
        <v>-143.58199999999999</v>
      </c>
      <c r="K3443">
        <v>1.1132610000000001</v>
      </c>
      <c r="L3443">
        <v>136.65629999999999</v>
      </c>
      <c r="M3443">
        <v>0.98652479999999998</v>
      </c>
      <c r="N3443">
        <v>0</v>
      </c>
      <c r="O3443">
        <v>-0.16051399999999999</v>
      </c>
      <c r="P3443">
        <v>0.9849561</v>
      </c>
      <c r="Q3443">
        <v>0.1249876</v>
      </c>
      <c r="R3443">
        <v>-0.1193303</v>
      </c>
      <c r="S3443">
        <v>3.0158689999999999</v>
      </c>
      <c r="T3443">
        <v>-0.59067269999999905</v>
      </c>
      <c r="U3443">
        <v>-0.87425229999999998</v>
      </c>
      <c r="V3443">
        <v>-4.0440049999999998E-2</v>
      </c>
      <c r="W3443">
        <v>0.15632979999999999</v>
      </c>
      <c r="X3443">
        <v>0.98687670000000005</v>
      </c>
      <c r="Y3443">
        <v>0.1212274</v>
      </c>
      <c r="Z3443">
        <v>1.8745370000000001E-2</v>
      </c>
      <c r="AA3443">
        <v>0.99244770000000004</v>
      </c>
      <c r="AB3443">
        <v>3</v>
      </c>
      <c r="AC3443">
        <v>0.66819999999998403</v>
      </c>
      <c r="AD3443">
        <v>-0.13707749999999999</v>
      </c>
      <c r="AE3443">
        <v>-0.19709999999997699</v>
      </c>
      <c r="AF3443">
        <v>8.3981008689833103E-2</v>
      </c>
      <c r="AG3443">
        <v>-0.13707749999999999</v>
      </c>
      <c r="AH3443">
        <v>0.665418167999415</v>
      </c>
      <c r="AI3443">
        <v>101.551071984964</v>
      </c>
      <c r="AJ3443">
        <v>82.806852744607696</v>
      </c>
      <c r="AK3443">
        <v>0.68456145752628295</v>
      </c>
      <c r="AL3443">
        <v>81.006071679228896</v>
      </c>
      <c r="AM3443">
        <v>92.3465429683324</v>
      </c>
      <c r="AN3443">
        <v>1.00000001250746</v>
      </c>
    </row>
    <row r="3444" spans="1:40" x14ac:dyDescent="0.3">
      <c r="A3444" t="str">
        <f>"20200111150928749"</f>
        <v>20200111150928749</v>
      </c>
      <c r="B3444" t="str">
        <f>"1578726568737679"</f>
        <v>1578726568737679</v>
      </c>
      <c r="C3444" t="s">
        <v>40</v>
      </c>
      <c r="D3444">
        <v>5.8300179999999999</v>
      </c>
      <c r="E3444">
        <v>0.55799319999999997</v>
      </c>
      <c r="F3444" t="s">
        <v>41</v>
      </c>
      <c r="G3444">
        <v>-142.8912</v>
      </c>
      <c r="H3444">
        <v>0.97252269999999996</v>
      </c>
      <c r="I3444">
        <v>136.4537</v>
      </c>
      <c r="J3444">
        <v>-143.55670000000001</v>
      </c>
      <c r="K3444">
        <v>1.113297</v>
      </c>
      <c r="L3444">
        <v>136.6515</v>
      </c>
      <c r="M3444">
        <v>0.98645210000000005</v>
      </c>
      <c r="N3444">
        <v>0</v>
      </c>
      <c r="O3444">
        <v>-0.16101109999999999</v>
      </c>
      <c r="P3444">
        <v>0.98483560000000003</v>
      </c>
      <c r="Q3444">
        <v>0.1237159</v>
      </c>
      <c r="R3444">
        <v>-0.121629</v>
      </c>
      <c r="S3444">
        <v>3.0166780000000002</v>
      </c>
      <c r="T3444">
        <v>-0.6144927</v>
      </c>
      <c r="U3444">
        <v>-0.88435359999999996</v>
      </c>
      <c r="V3444">
        <v>-3.8662080000000001E-2</v>
      </c>
      <c r="W3444">
        <v>0.15480839999999901</v>
      </c>
      <c r="X3444">
        <v>0.9871877</v>
      </c>
      <c r="Y3444">
        <v>0.1237352</v>
      </c>
      <c r="Z3444">
        <v>1.9319940000000001E-2</v>
      </c>
      <c r="AA3444">
        <v>0.99212719999999999</v>
      </c>
      <c r="AB3444">
        <v>3</v>
      </c>
      <c r="AC3444">
        <v>0.66550000000000797</v>
      </c>
      <c r="AD3444">
        <v>-0.14077429999999999</v>
      </c>
      <c r="AE3444">
        <v>-0.1978</v>
      </c>
      <c r="AF3444">
        <v>8.4535258622121898E-2</v>
      </c>
      <c r="AG3444">
        <v>-0.14077429999999999</v>
      </c>
      <c r="AH3444">
        <v>0.66147633422682095</v>
      </c>
      <c r="AI3444">
        <v>101.920208261394</v>
      </c>
      <c r="AJ3444">
        <v>82.717199166991406</v>
      </c>
      <c r="AK3444">
        <v>0.68155304579537501</v>
      </c>
      <c r="AL3444">
        <v>81.094315531106105</v>
      </c>
      <c r="AM3444">
        <v>92.242777641869395</v>
      </c>
      <c r="AN3444">
        <v>0.99999997608588698</v>
      </c>
    </row>
    <row r="3445" spans="1:40" x14ac:dyDescent="0.3">
      <c r="A3445" t="str">
        <f>"20200111150928770"</f>
        <v>20200111150928770</v>
      </c>
      <c r="B3445" t="str">
        <f>"1578726568767938"</f>
        <v>1578726568767938</v>
      </c>
      <c r="C3445" t="s">
        <v>40</v>
      </c>
      <c r="D3445">
        <v>5.8696859999999997</v>
      </c>
      <c r="E3445">
        <v>0.55837320000000001</v>
      </c>
      <c r="F3445" t="s">
        <v>41</v>
      </c>
      <c r="G3445">
        <v>-142.8766</v>
      </c>
      <c r="H3445">
        <v>0.95830400000000004</v>
      </c>
      <c r="I3445">
        <v>136.44999999999999</v>
      </c>
      <c r="J3445">
        <v>-143.53489999999999</v>
      </c>
      <c r="K3445">
        <v>1.113353</v>
      </c>
      <c r="L3445">
        <v>136.6474</v>
      </c>
      <c r="M3445">
        <v>0.98638990000000004</v>
      </c>
      <c r="N3445">
        <v>0</v>
      </c>
      <c r="O3445">
        <v>-0.16142889999999999</v>
      </c>
      <c r="P3445">
        <v>0.98439460000000001</v>
      </c>
      <c r="Q3445">
        <v>0.1245617</v>
      </c>
      <c r="R3445">
        <v>-0.1243055</v>
      </c>
      <c r="S3445">
        <v>3.0222020000000001</v>
      </c>
      <c r="T3445">
        <v>-0.68861909999999904</v>
      </c>
      <c r="U3445">
        <v>-0.89483639999999998</v>
      </c>
      <c r="V3445">
        <v>-3.6382270000000001E-2</v>
      </c>
      <c r="W3445">
        <v>0.1554584</v>
      </c>
      <c r="X3445">
        <v>0.98717220000000006</v>
      </c>
      <c r="Y3445">
        <v>0.12611459999999999</v>
      </c>
      <c r="Z3445">
        <v>2.1377299999999998E-2</v>
      </c>
      <c r="AA3445">
        <v>0.99178529999999998</v>
      </c>
      <c r="AB3445">
        <v>3</v>
      </c>
      <c r="AC3445">
        <v>0.658299999999997</v>
      </c>
      <c r="AD3445">
        <v>-0.15504899999999999</v>
      </c>
      <c r="AE3445">
        <v>-0.19740000000001601</v>
      </c>
      <c r="AF3445">
        <v>8.4202217705834304E-2</v>
      </c>
      <c r="AG3445">
        <v>-0.15504899999999999</v>
      </c>
      <c r="AH3445">
        <v>0.64853051881409496</v>
      </c>
      <c r="AI3445">
        <v>103.33784096270099</v>
      </c>
      <c r="AJ3445">
        <v>82.602362359169206</v>
      </c>
      <c r="AK3445">
        <v>0.67210270026303198</v>
      </c>
      <c r="AL3445">
        <v>81.056616802956697</v>
      </c>
      <c r="AM3445">
        <v>92.110682895839304</v>
      </c>
      <c r="AN3445">
        <v>0.99999996807687597</v>
      </c>
    </row>
    <row r="3446" spans="1:40" x14ac:dyDescent="0.3">
      <c r="A3446" t="str">
        <f>"20200111150928797"</f>
        <v>20200111150928797</v>
      </c>
      <c r="B3446" t="str">
        <f>"1578726568788431"</f>
        <v>1578726568788431</v>
      </c>
      <c r="C3446" t="s">
        <v>40</v>
      </c>
      <c r="D3446">
        <v>5.866384</v>
      </c>
      <c r="E3446">
        <v>0.55848719999999996</v>
      </c>
      <c r="F3446" t="s">
        <v>41</v>
      </c>
      <c r="G3446">
        <v>-142.86279999999999</v>
      </c>
      <c r="H3446">
        <v>0.94849629999999996</v>
      </c>
      <c r="I3446">
        <v>136.44470000000001</v>
      </c>
      <c r="J3446">
        <v>-143.51140000000001</v>
      </c>
      <c r="K3446">
        <v>1.113399</v>
      </c>
      <c r="L3446">
        <v>136.643</v>
      </c>
      <c r="M3446">
        <v>0.98632739999999997</v>
      </c>
      <c r="N3446">
        <v>0</v>
      </c>
      <c r="O3446">
        <v>-0.16185350000000001</v>
      </c>
      <c r="P3446">
        <v>0.98362130000000003</v>
      </c>
      <c r="Q3446">
        <v>0.12815960000000001</v>
      </c>
      <c r="R3446">
        <v>-0.12674489999999999</v>
      </c>
      <c r="S3446">
        <v>3.0262910000000001</v>
      </c>
      <c r="T3446">
        <v>-0.74213859999999998</v>
      </c>
      <c r="U3446">
        <v>-0.9121399</v>
      </c>
      <c r="V3446">
        <v>-3.4289630000000001E-2</v>
      </c>
      <c r="W3446">
        <v>0.1588165</v>
      </c>
      <c r="X3446">
        <v>0.98671249999999999</v>
      </c>
      <c r="Y3446">
        <v>0.13054489999999999</v>
      </c>
      <c r="Z3446">
        <v>2.2518920000000001E-2</v>
      </c>
      <c r="AA3446">
        <v>0.99118660000000003</v>
      </c>
      <c r="AB3446">
        <v>2</v>
      </c>
      <c r="AC3446">
        <v>0.64860000000001605</v>
      </c>
      <c r="AD3446">
        <v>-0.16490270000000001</v>
      </c>
      <c r="AE3446">
        <v>-0.19829999999998901</v>
      </c>
      <c r="AF3446">
        <v>8.5594291761291699E-2</v>
      </c>
      <c r="AG3446">
        <v>-0.16490270000000001</v>
      </c>
      <c r="AH3446">
        <v>0.63463474558634903</v>
      </c>
      <c r="AI3446">
        <v>104.44035353844799</v>
      </c>
      <c r="AJ3446">
        <v>82.318769632369097</v>
      </c>
      <c r="AK3446">
        <v>0.66127191347800096</v>
      </c>
      <c r="AL3446">
        <v>80.861791746017701</v>
      </c>
      <c r="AM3446">
        <v>91.990306980424407</v>
      </c>
      <c r="AN3446">
        <v>1.00000000852701</v>
      </c>
    </row>
    <row r="3447" spans="1:40" x14ac:dyDescent="0.3">
      <c r="A3447" t="str">
        <f>"20200111150928818"</f>
        <v>20200111150928818</v>
      </c>
      <c r="B3447" t="str">
        <f>"1578726568807952"</f>
        <v>1578726568807952</v>
      </c>
      <c r="C3447" t="s">
        <v>40</v>
      </c>
      <c r="D3447">
        <v>5.8234649999999997</v>
      </c>
      <c r="E3447">
        <v>0.5585502</v>
      </c>
      <c r="F3447" t="s">
        <v>41</v>
      </c>
      <c r="G3447">
        <v>-142.84620000000001</v>
      </c>
      <c r="H3447">
        <v>0.94908990000000004</v>
      </c>
      <c r="I3447">
        <v>136.44</v>
      </c>
      <c r="J3447">
        <v>-143.4958</v>
      </c>
      <c r="K3447">
        <v>1.113407</v>
      </c>
      <c r="L3447">
        <v>136.64019999999999</v>
      </c>
      <c r="M3447">
        <v>0.98629290000000003</v>
      </c>
      <c r="N3447">
        <v>0</v>
      </c>
      <c r="O3447">
        <v>-0.1621039</v>
      </c>
      <c r="P3447">
        <v>0.98278149999999997</v>
      </c>
      <c r="Q3447">
        <v>0.1331243</v>
      </c>
      <c r="R3447">
        <v>-0.12813479999999999</v>
      </c>
      <c r="S3447">
        <v>3.028397</v>
      </c>
      <c r="T3447">
        <v>-0.74789759999999905</v>
      </c>
      <c r="U3447">
        <v>-0.92356870000000002</v>
      </c>
      <c r="V3447">
        <v>-3.3037560000000001E-2</v>
      </c>
      <c r="W3447">
        <v>0.16355549999999999</v>
      </c>
      <c r="X3447">
        <v>0.98598079999999999</v>
      </c>
      <c r="Y3447">
        <v>0.13346710000000001</v>
      </c>
      <c r="Z3447">
        <v>2.237022E-2</v>
      </c>
      <c r="AA3447">
        <v>0.99080069999999998</v>
      </c>
      <c r="AB3447">
        <v>2</v>
      </c>
      <c r="AC3447">
        <v>0.64959999999999196</v>
      </c>
      <c r="AD3447">
        <v>-0.16431709999999999</v>
      </c>
      <c r="AE3447">
        <v>-0.20019999999999499</v>
      </c>
      <c r="AF3447">
        <v>8.7106867905876198E-2</v>
      </c>
      <c r="AG3447">
        <v>-0.16431709999999999</v>
      </c>
      <c r="AH3447">
        <v>0.63628763741234295</v>
      </c>
      <c r="AI3447">
        <v>104.351647984522</v>
      </c>
      <c r="AJ3447">
        <v>82.204746201785397</v>
      </c>
      <c r="AK3447">
        <v>0.66291000393157695</v>
      </c>
      <c r="AL3447">
        <v>80.586669292551207</v>
      </c>
      <c r="AM3447">
        <v>91.919109189810001</v>
      </c>
      <c r="AN3447">
        <v>1.0000000099598201</v>
      </c>
    </row>
    <row r="3448" spans="1:40" x14ac:dyDescent="0.3">
      <c r="A3448" t="str">
        <f>"20200111150928838"</f>
        <v>20200111150928838</v>
      </c>
      <c r="B3448" t="str">
        <f>"1578726568828448"</f>
        <v>1578726568828448</v>
      </c>
      <c r="C3448" t="s">
        <v>40</v>
      </c>
      <c r="D3448">
        <v>5.8781650000000001</v>
      </c>
      <c r="E3448">
        <v>0.55848959999999903</v>
      </c>
      <c r="F3448" t="s">
        <v>41</v>
      </c>
      <c r="G3448">
        <v>-142.8321</v>
      </c>
      <c r="H3448">
        <v>0.94950489999999999</v>
      </c>
      <c r="I3448">
        <v>136.43629999999999</v>
      </c>
      <c r="J3448">
        <v>-143.4838</v>
      </c>
      <c r="K3448">
        <v>1.1133820000000001</v>
      </c>
      <c r="L3448">
        <v>136.63800000000001</v>
      </c>
      <c r="M3448">
        <v>0.98627180000000003</v>
      </c>
      <c r="N3448">
        <v>0</v>
      </c>
      <c r="O3448">
        <v>-0.162278799999999</v>
      </c>
      <c r="P3448">
        <v>0.9825277</v>
      </c>
      <c r="Q3448">
        <v>0.13521140000000001</v>
      </c>
      <c r="R3448">
        <v>-0.1278936</v>
      </c>
      <c r="S3448">
        <v>3.032578</v>
      </c>
      <c r="T3448">
        <v>-0.74877729999999998</v>
      </c>
      <c r="U3448">
        <v>-0.9311218</v>
      </c>
      <c r="V3448">
        <v>-3.3408979999999998E-2</v>
      </c>
      <c r="W3448">
        <v>0.16538559999999999</v>
      </c>
      <c r="X3448">
        <v>0.98566290000000001</v>
      </c>
      <c r="Y3448">
        <v>0.13512689999999999</v>
      </c>
      <c r="Z3448">
        <v>2.2200910000000001E-2</v>
      </c>
      <c r="AA3448">
        <v>0.99057949999999995</v>
      </c>
      <c r="AB3448">
        <v>2</v>
      </c>
      <c r="AC3448">
        <v>0.65170000000000505</v>
      </c>
      <c r="AD3448">
        <v>-0.163877099999999</v>
      </c>
      <c r="AE3448">
        <v>-0.20170000000001601</v>
      </c>
      <c r="AF3448">
        <v>8.8131795855658002E-2</v>
      </c>
      <c r="AG3448">
        <v>-0.163877099999999</v>
      </c>
      <c r="AH3448">
        <v>0.63893091493296605</v>
      </c>
      <c r="AI3448">
        <v>104.25608375202</v>
      </c>
      <c r="AJ3448">
        <v>82.146388043346704</v>
      </c>
      <c r="AK3448">
        <v>0.66547399002683105</v>
      </c>
      <c r="AL3448">
        <v>80.480364080950096</v>
      </c>
      <c r="AM3448">
        <v>91.941293525100406</v>
      </c>
      <c r="AN3448">
        <v>0.99999995453420398</v>
      </c>
    </row>
    <row r="3449" spans="1:40" x14ac:dyDescent="0.3">
      <c r="A3449" t="str">
        <f>"20200111150928863"</f>
        <v>20200111150928863</v>
      </c>
      <c r="B3449" t="str">
        <f>"1578726568857727"</f>
        <v>1578726568857727</v>
      </c>
      <c r="C3449" t="s">
        <v>40</v>
      </c>
      <c r="D3449">
        <v>5.8852089999999997</v>
      </c>
      <c r="E3449">
        <v>0.55889899999999904</v>
      </c>
      <c r="F3449" t="s">
        <v>41</v>
      </c>
      <c r="G3449">
        <v>-142.82089999999999</v>
      </c>
      <c r="H3449">
        <v>0.94847349999999997</v>
      </c>
      <c r="I3449">
        <v>136.4341</v>
      </c>
      <c r="J3449">
        <v>-143.47219999999999</v>
      </c>
      <c r="K3449">
        <v>1.113302</v>
      </c>
      <c r="L3449">
        <v>136.63589999999999</v>
      </c>
      <c r="M3449">
        <v>0.9862573</v>
      </c>
      <c r="N3449">
        <v>0</v>
      </c>
      <c r="O3449">
        <v>-0.16245000000000001</v>
      </c>
      <c r="P3449">
        <v>0.98269629999999997</v>
      </c>
      <c r="Q3449">
        <v>0.13425770000000001</v>
      </c>
      <c r="R3449">
        <v>-0.1276032</v>
      </c>
      <c r="S3449">
        <v>3.0358429999999998</v>
      </c>
      <c r="T3449">
        <v>-0.75512089999999998</v>
      </c>
      <c r="U3449">
        <v>-0.93293760000000003</v>
      </c>
      <c r="V3449">
        <v>-3.3888830000000002E-2</v>
      </c>
      <c r="W3449">
        <v>0.16399620000000001</v>
      </c>
      <c r="X3449">
        <v>0.9858787</v>
      </c>
      <c r="Y3449">
        <v>0.1352122</v>
      </c>
      <c r="Z3449">
        <v>2.238878E-2</v>
      </c>
      <c r="AA3449">
        <v>0.99056370000000005</v>
      </c>
      <c r="AB3449">
        <v>2</v>
      </c>
      <c r="AC3449">
        <v>0.651299999999992</v>
      </c>
      <c r="AD3449">
        <v>-0.16482849999999899</v>
      </c>
      <c r="AE3449">
        <v>-0.20179999999999099</v>
      </c>
      <c r="AF3449">
        <v>8.8116046460758504E-2</v>
      </c>
      <c r="AG3449">
        <v>-0.16482849999999899</v>
      </c>
      <c r="AH3449">
        <v>0.63814637794253204</v>
      </c>
      <c r="AI3449">
        <v>104.352072925288</v>
      </c>
      <c r="AJ3449">
        <v>82.138241112230801</v>
      </c>
      <c r="AK3449">
        <v>0.66495388692547597</v>
      </c>
      <c r="AL3449">
        <v>80.561073425099494</v>
      </c>
      <c r="AM3449">
        <v>91.968723652481799</v>
      </c>
      <c r="AN3449">
        <v>1.00000000876344</v>
      </c>
    </row>
    <row r="3450" spans="1:40" x14ac:dyDescent="0.3">
      <c r="A3450" t="str">
        <f>"20200111150928882"</f>
        <v>20200111150928882</v>
      </c>
      <c r="B3450" t="str">
        <f>"1578726568878224"</f>
        <v>1578726568878224</v>
      </c>
      <c r="C3450" t="s">
        <v>40</v>
      </c>
      <c r="D3450">
        <v>5.8385099999999897</v>
      </c>
      <c r="E3450">
        <v>0.5587126</v>
      </c>
      <c r="F3450" t="s">
        <v>41</v>
      </c>
      <c r="G3450">
        <v>-142.8048</v>
      </c>
      <c r="H3450">
        <v>0.9458394</v>
      </c>
      <c r="I3450">
        <v>136.42949999999999</v>
      </c>
      <c r="J3450">
        <v>-143.4648</v>
      </c>
      <c r="K3450">
        <v>1.1132040000000001</v>
      </c>
      <c r="L3450">
        <v>136.63460000000001</v>
      </c>
      <c r="M3450">
        <v>0.98625309999999999</v>
      </c>
      <c r="N3450">
        <v>0</v>
      </c>
      <c r="O3450">
        <v>-0.16256289999999901</v>
      </c>
      <c r="P3450">
        <v>0.98288799999999998</v>
      </c>
      <c r="Q3450">
        <v>0.13114410000000001</v>
      </c>
      <c r="R3450">
        <v>-0.12935389999999999</v>
      </c>
      <c r="S3450">
        <v>3.0350799999999998</v>
      </c>
      <c r="T3450">
        <v>-0.76144599999999996</v>
      </c>
      <c r="U3450">
        <v>-0.93771360000000004</v>
      </c>
      <c r="V3450">
        <v>-3.2297380000000001E-2</v>
      </c>
      <c r="W3450">
        <v>0.16043209999999999</v>
      </c>
      <c r="X3450">
        <v>0.98651829999999996</v>
      </c>
      <c r="Y3450">
        <v>0.13657149999999901</v>
      </c>
      <c r="Z3450">
        <v>2.2432170000000001E-2</v>
      </c>
      <c r="AA3450">
        <v>0.99037620000000004</v>
      </c>
      <c r="AB3450">
        <v>1</v>
      </c>
      <c r="AC3450">
        <v>0.65999999999999603</v>
      </c>
      <c r="AD3450">
        <v>-0.1673646</v>
      </c>
      <c r="AE3450">
        <v>-0.20510000000001499</v>
      </c>
      <c r="AF3450">
        <v>8.9766703033343206E-2</v>
      </c>
      <c r="AG3450">
        <v>-0.1673646</v>
      </c>
      <c r="AH3450">
        <v>0.64664905370685699</v>
      </c>
      <c r="AI3450">
        <v>104.378691589615</v>
      </c>
      <c r="AJ3450">
        <v>82.096806916884702</v>
      </c>
      <c r="AK3450">
        <v>0.67396140020524198</v>
      </c>
      <c r="AL3450">
        <v>80.768021969032006</v>
      </c>
      <c r="AM3450">
        <v>91.875122690468601</v>
      </c>
      <c r="AN3450">
        <v>0.99999996785008105</v>
      </c>
    </row>
    <row r="3451" spans="1:40" x14ac:dyDescent="0.3">
      <c r="A3451" t="str">
        <f>"20200111150928904"</f>
        <v>20200111150928904</v>
      </c>
      <c r="B3451" t="str">
        <f>"1578726568897743"</f>
        <v>1578726568897743</v>
      </c>
      <c r="C3451" t="s">
        <v>40</v>
      </c>
      <c r="D3451">
        <v>5.8272389999999996</v>
      </c>
      <c r="E3451">
        <v>0.53236890000000003</v>
      </c>
      <c r="F3451" t="s">
        <v>41</v>
      </c>
      <c r="G3451">
        <v>-142.7996</v>
      </c>
      <c r="H3451">
        <v>0.94329549999999995</v>
      </c>
      <c r="I3451">
        <v>136.4282</v>
      </c>
      <c r="J3451">
        <v>-143.45740000000001</v>
      </c>
      <c r="K3451">
        <v>1.1130389999999999</v>
      </c>
      <c r="L3451">
        <v>136.63329999999999</v>
      </c>
      <c r="M3451">
        <v>0.98625680000000004</v>
      </c>
      <c r="N3451">
        <v>0</v>
      </c>
      <c r="O3451">
        <v>-0.1626803</v>
      </c>
      <c r="P3451">
        <v>0.9828827</v>
      </c>
      <c r="Q3451">
        <v>0.12929009999999999</v>
      </c>
      <c r="R3451">
        <v>-0.13124839999999999</v>
      </c>
      <c r="S3451">
        <v>3.0317539999999998</v>
      </c>
      <c r="T3451">
        <v>-0.77438009999999902</v>
      </c>
      <c r="U3451">
        <v>-0.94055180000000005</v>
      </c>
      <c r="V3451">
        <v>-3.0531699999999998E-2</v>
      </c>
      <c r="W3451">
        <v>0.1578273</v>
      </c>
      <c r="X3451">
        <v>0.98699460000000006</v>
      </c>
      <c r="Y3451">
        <v>0.13760790000000001</v>
      </c>
      <c r="Z3451">
        <v>2.272153E-2</v>
      </c>
      <c r="AA3451">
        <v>0.9902261</v>
      </c>
      <c r="AB3451">
        <v>1</v>
      </c>
      <c r="AC3451">
        <v>0.65780000000000804</v>
      </c>
      <c r="AD3451">
        <v>-0.16974349999999899</v>
      </c>
      <c r="AE3451">
        <v>-0.20509999999998699</v>
      </c>
      <c r="AF3451">
        <v>8.9856600034473696E-2</v>
      </c>
      <c r="AG3451">
        <v>-0.16974349999999899</v>
      </c>
      <c r="AH3451">
        <v>0.64336481222729003</v>
      </c>
      <c r="AI3451">
        <v>104.644006860668</v>
      </c>
      <c r="AJ3451">
        <v>82.049123555982504</v>
      </c>
      <c r="AK3451">
        <v>0.67142039436873002</v>
      </c>
      <c r="AL3451">
        <v>80.919192538160303</v>
      </c>
      <c r="AM3451">
        <v>91.771823152431693</v>
      </c>
      <c r="AN3451">
        <v>0.99999999087966995</v>
      </c>
    </row>
    <row r="3452" spans="1:40" x14ac:dyDescent="0.3">
      <c r="A3452" t="str">
        <f>"20200111150928928"</f>
        <v>20200111150928928</v>
      </c>
      <c r="B3452" t="str">
        <f>"1578726568917635"</f>
        <v>1578726568917635</v>
      </c>
      <c r="C3452" t="s">
        <v>40</v>
      </c>
      <c r="D3452">
        <v>5.8166190000000002</v>
      </c>
      <c r="E3452">
        <v>0.53280229999999995</v>
      </c>
      <c r="F3452" t="s">
        <v>41</v>
      </c>
      <c r="G3452">
        <v>-142.80510000000001</v>
      </c>
      <c r="H3452">
        <v>0.90615730000000005</v>
      </c>
      <c r="I3452">
        <v>136.47389999999999</v>
      </c>
      <c r="J3452">
        <v>-143.4513</v>
      </c>
      <c r="K3452">
        <v>1.112846</v>
      </c>
      <c r="L3452">
        <v>136.63220000000001</v>
      </c>
      <c r="M3452">
        <v>0.98626800000000003</v>
      </c>
      <c r="N3452">
        <v>0</v>
      </c>
      <c r="O3452">
        <v>-0.16277910000000001</v>
      </c>
      <c r="P3452">
        <v>0.98254799999999998</v>
      </c>
      <c r="Q3452">
        <v>0.1316967</v>
      </c>
      <c r="R3452">
        <v>-0.1313599</v>
      </c>
      <c r="S3452">
        <v>3.0803069999999999</v>
      </c>
      <c r="T3452">
        <v>-0.97684550000000003</v>
      </c>
      <c r="U3452">
        <v>-0.75218200000000002</v>
      </c>
      <c r="V3452">
        <v>-3.0451530000000001E-2</v>
      </c>
      <c r="W3452">
        <v>0.15928399999999901</v>
      </c>
      <c r="X3452">
        <v>0.9867631</v>
      </c>
      <c r="Y3452">
        <v>7.9628779999999996E-2</v>
      </c>
      <c r="Z3452">
        <v>3.7160249999999999E-2</v>
      </c>
      <c r="AA3452">
        <v>0.99613169999999995</v>
      </c>
      <c r="AB3452">
        <v>1</v>
      </c>
      <c r="AC3452">
        <v>0.646199999999993</v>
      </c>
      <c r="AD3452">
        <v>-0.206688699999999</v>
      </c>
      <c r="AE3452">
        <v>-0.158300000000025</v>
      </c>
      <c r="AF3452">
        <v>4.6472928403210302E-2</v>
      </c>
      <c r="AG3452">
        <v>-0.206688699999999</v>
      </c>
      <c r="AH3452">
        <v>0.60496506956837703</v>
      </c>
      <c r="AI3452">
        <v>108.811425088709</v>
      </c>
      <c r="AJ3452">
        <v>85.607211793149403</v>
      </c>
      <c r="AK3452">
        <v>0.64098571526979498</v>
      </c>
      <c r="AL3452">
        <v>80.834661004085405</v>
      </c>
      <c r="AM3452">
        <v>91.767587986666001</v>
      </c>
      <c r="AN3452">
        <v>1.00000005192847</v>
      </c>
    </row>
    <row r="3453" spans="1:40" x14ac:dyDescent="0.3">
      <c r="A3453" t="str">
        <f>"20200111150928954"</f>
        <v>20200111150928954</v>
      </c>
      <c r="B3453" t="str">
        <f>"1578726568947889"</f>
        <v>1578726568947889</v>
      </c>
      <c r="C3453" t="s">
        <v>40</v>
      </c>
      <c r="D3453">
        <v>7.2258550000000001</v>
      </c>
      <c r="E3453">
        <v>0.53260649999999998</v>
      </c>
      <c r="F3453" t="s">
        <v>41</v>
      </c>
      <c r="G3453">
        <v>-142.79820000000001</v>
      </c>
      <c r="H3453">
        <v>0.91181299999999998</v>
      </c>
      <c r="I3453">
        <v>136.47120000000001</v>
      </c>
      <c r="J3453">
        <v>-143.4462</v>
      </c>
      <c r="K3453">
        <v>1.112643</v>
      </c>
      <c r="L3453">
        <v>136.63140000000001</v>
      </c>
      <c r="M3453">
        <v>0.98628439999999995</v>
      </c>
      <c r="N3453">
        <v>0</v>
      </c>
      <c r="O3453">
        <v>-0.16286120000000001</v>
      </c>
      <c r="P3453">
        <v>0.98206360000000004</v>
      </c>
      <c r="Q3453">
        <v>0.13517100000000001</v>
      </c>
      <c r="R3453">
        <v>-0.13145179999999901</v>
      </c>
      <c r="S3453">
        <v>3.0789029999999999</v>
      </c>
      <c r="T3453">
        <v>-0.94762670000000004</v>
      </c>
      <c r="U3453">
        <v>-0.75845340000000006</v>
      </c>
      <c r="V3453">
        <v>-3.0349259999999999E-2</v>
      </c>
      <c r="W3453">
        <v>0.1616697</v>
      </c>
      <c r="X3453">
        <v>0.98637810000000004</v>
      </c>
      <c r="Y3453">
        <v>8.1284700000000001E-2</v>
      </c>
      <c r="Z3453">
        <v>3.5878630000000002E-2</v>
      </c>
      <c r="AA3453">
        <v>0.99604490000000001</v>
      </c>
      <c r="AB3453">
        <v>1</v>
      </c>
      <c r="AC3453">
        <v>0.64799999999999602</v>
      </c>
      <c r="AD3453">
        <v>-0.20083000000000001</v>
      </c>
      <c r="AE3453">
        <v>-0.16020000000000301</v>
      </c>
      <c r="AF3453">
        <v>4.8130798332966199E-2</v>
      </c>
      <c r="AG3453">
        <v>-0.20083000000000001</v>
      </c>
      <c r="AH3453">
        <v>0.61020632983201395</v>
      </c>
      <c r="AI3453">
        <v>108.16461882638001</v>
      </c>
      <c r="AJ3453">
        <v>85.490060055055196</v>
      </c>
      <c r="AK3453">
        <v>0.64420573391986002</v>
      </c>
      <c r="AL3453">
        <v>80.696174772351398</v>
      </c>
      <c r="AM3453">
        <v>91.762342544540999</v>
      </c>
      <c r="AN3453">
        <v>0.99999996282012305</v>
      </c>
    </row>
    <row r="3454" spans="1:40" x14ac:dyDescent="0.3">
      <c r="A3454" t="str">
        <f>"20200111150928973"</f>
        <v>20200111150928973</v>
      </c>
      <c r="B3454" t="str">
        <f>"1578726568968385"</f>
        <v>1578726568968385</v>
      </c>
      <c r="C3454" t="s">
        <v>40</v>
      </c>
      <c r="D3454">
        <v>6.0354390000000002</v>
      </c>
      <c r="E3454">
        <v>0.53313949999999999</v>
      </c>
      <c r="F3454" t="s">
        <v>41</v>
      </c>
      <c r="G3454">
        <v>-142.7954</v>
      </c>
      <c r="H3454">
        <v>0.90982030000000003</v>
      </c>
      <c r="I3454">
        <v>136.47049999999999</v>
      </c>
      <c r="J3454">
        <v>-143.44290000000001</v>
      </c>
      <c r="K3454">
        <v>1.112476</v>
      </c>
      <c r="L3454">
        <v>136.63079999999999</v>
      </c>
      <c r="M3454">
        <v>0.98630070000000003</v>
      </c>
      <c r="N3454">
        <v>0</v>
      </c>
      <c r="O3454">
        <v>-0.16291639999999999</v>
      </c>
      <c r="P3454">
        <v>0.98171280000000005</v>
      </c>
      <c r="Q3454">
        <v>0.13616020000000001</v>
      </c>
      <c r="R3454">
        <v>-0.13304440000000001</v>
      </c>
      <c r="S3454">
        <v>3.0850369999999998</v>
      </c>
      <c r="T3454">
        <v>-0.96140289999999995</v>
      </c>
      <c r="U3454">
        <v>-0.76264949999999998</v>
      </c>
      <c r="V3454">
        <v>-2.8764350000000001E-2</v>
      </c>
      <c r="W3454">
        <v>0.16173090000000001</v>
      </c>
      <c r="X3454">
        <v>0.98641559999999995</v>
      </c>
      <c r="Y3454">
        <v>8.2101250000000001E-2</v>
      </c>
      <c r="Z3454">
        <v>3.619667E-2</v>
      </c>
      <c r="AA3454">
        <v>0.99596640000000003</v>
      </c>
      <c r="AB3454">
        <v>1</v>
      </c>
      <c r="AC3454">
        <v>0.64750000000000696</v>
      </c>
      <c r="AD3454">
        <v>-0.20265569999999899</v>
      </c>
      <c r="AE3454">
        <v>-0.16030000000000599</v>
      </c>
      <c r="AF3454">
        <v>4.8185682968083399E-2</v>
      </c>
      <c r="AG3454">
        <v>-0.20265569999999899</v>
      </c>
      <c r="AH3454">
        <v>0.60877727040691898</v>
      </c>
      <c r="AI3454">
        <v>108.358519389883</v>
      </c>
      <c r="AJ3454">
        <v>85.474383726692295</v>
      </c>
      <c r="AK3454">
        <v>0.64342906194054506</v>
      </c>
      <c r="AL3454">
        <v>80.692621894857496</v>
      </c>
      <c r="AM3454">
        <v>91.670298964873496</v>
      </c>
      <c r="AN3454">
        <v>1.00000000388454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TestNight_on_with_headDir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knight</dc:creator>
  <cp:lastModifiedBy>knight</cp:lastModifiedBy>
  <dcterms:created xsi:type="dcterms:W3CDTF">2022-04-01T02:49:59Z</dcterms:created>
  <dcterms:modified xsi:type="dcterms:W3CDTF">2022-04-01T02:49:59Z</dcterms:modified>
</cp:coreProperties>
</file>